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activeTab="1"/>
  </bookViews>
  <sheets>
    <sheet name="з.пл." sheetId="1" r:id="rId1"/>
    <sheet name="материалы" sheetId="4" r:id="rId2"/>
    <sheet name="иные" sheetId="5" r:id="rId3"/>
  </sheets>
  <definedNames>
    <definedName name="_xlnm.Print_Titles" localSheetId="2">иные!$5:$6</definedName>
    <definedName name="_xlnm.Print_Titles" localSheetId="1">материалы!$4:$4</definedName>
  </definedNames>
  <calcPr calcId="124519"/>
</workbook>
</file>

<file path=xl/calcChain.xml><?xml version="1.0" encoding="utf-8"?>
<calcChain xmlns="http://schemas.openxmlformats.org/spreadsheetml/2006/main">
  <c r="H52" i="4"/>
  <c r="K54"/>
  <c r="K40"/>
  <c r="H96" l="1"/>
  <c r="K98"/>
  <c r="H88"/>
  <c r="K91"/>
  <c r="H81"/>
  <c r="K83"/>
  <c r="K76"/>
  <c r="H65"/>
  <c r="K68"/>
  <c r="H45"/>
  <c r="K47"/>
  <c r="H30"/>
  <c r="K33"/>
  <c r="H23"/>
  <c r="K26"/>
  <c r="H17"/>
  <c r="K19"/>
  <c r="H8"/>
  <c r="K11"/>
  <c r="K61"/>
  <c r="H58"/>
  <c r="F105"/>
  <c r="L19" i="1"/>
  <c r="L18"/>
  <c r="L16"/>
  <c r="L15"/>
  <c r="L14"/>
  <c r="L12"/>
  <c r="L11"/>
  <c r="L9"/>
  <c r="L8"/>
  <c r="L7"/>
  <c r="L6"/>
  <c r="K129" i="4"/>
  <c r="L13" i="1"/>
  <c r="L10" l="1"/>
  <c r="G48" i="5"/>
  <c r="G44"/>
  <c r="N6" i="1" l="1"/>
  <c r="C6" l="1"/>
  <c r="C12"/>
  <c r="C14"/>
  <c r="C8"/>
  <c r="C7"/>
  <c r="C19"/>
  <c r="C13"/>
  <c r="I19"/>
  <c r="I18"/>
  <c r="I7"/>
  <c r="I8"/>
  <c r="I9"/>
  <c r="I10"/>
  <c r="I11"/>
  <c r="I12"/>
  <c r="I13"/>
  <c r="I14"/>
  <c r="I15"/>
  <c r="I16"/>
  <c r="I6"/>
  <c r="C10"/>
  <c r="N7" l="1"/>
  <c r="G57" i="5" l="1"/>
  <c r="G53"/>
  <c r="G39"/>
  <c r="G35"/>
  <c r="G27"/>
  <c r="G15"/>
  <c r="G11"/>
  <c r="G7"/>
  <c r="C11" i="1" l="1"/>
  <c r="C16"/>
  <c r="C18"/>
  <c r="C15"/>
  <c r="E57" i="5" l="1"/>
  <c r="E58" s="1"/>
  <c r="E53"/>
  <c r="E54" s="1"/>
  <c r="E48"/>
  <c r="E49" s="1"/>
  <c r="E44"/>
  <c r="E45" s="1"/>
  <c r="E40"/>
  <c r="E39"/>
  <c r="E35"/>
  <c r="E36" s="1"/>
  <c r="E31"/>
  <c r="E32" s="1"/>
  <c r="E27"/>
  <c r="E28" s="1"/>
  <c r="E23"/>
  <c r="E24" s="1"/>
  <c r="E19"/>
  <c r="E20" s="1"/>
  <c r="E15"/>
  <c r="E16" s="1"/>
  <c r="E11"/>
  <c r="E12" s="1"/>
  <c r="E7"/>
  <c r="E8" s="1"/>
  <c r="E13" i="4"/>
  <c r="E110" s="1"/>
  <c r="E93"/>
  <c r="E166" s="1"/>
  <c r="E86"/>
  <c r="E78"/>
  <c r="E79" s="1"/>
  <c r="E80" s="1"/>
  <c r="E81" s="1"/>
  <c r="E71"/>
  <c r="E150" s="1"/>
  <c r="E63"/>
  <c r="E145" s="1"/>
  <c r="E56"/>
  <c r="E140" s="1"/>
  <c r="E49"/>
  <c r="E50" s="1"/>
  <c r="E51" s="1"/>
  <c r="E52" s="1"/>
  <c r="E42"/>
  <c r="E130" s="1"/>
  <c r="E35"/>
  <c r="E36" s="1"/>
  <c r="E28"/>
  <c r="E120" s="1"/>
  <c r="E21"/>
  <c r="E22" s="1"/>
  <c r="E23" s="1"/>
  <c r="E24" s="1"/>
  <c r="J160"/>
  <c r="I105"/>
  <c r="I108" s="1"/>
  <c r="E37" l="1"/>
  <c r="F37" s="1"/>
  <c r="I37" s="1"/>
  <c r="J37" s="1"/>
  <c r="E38"/>
  <c r="F125"/>
  <c r="I125" s="1"/>
  <c r="I128" s="1"/>
  <c r="J128" s="1"/>
  <c r="F126"/>
  <c r="I126" s="1"/>
  <c r="J126" s="1"/>
  <c r="E29"/>
  <c r="E30" s="1"/>
  <c r="E31" s="1"/>
  <c r="E64"/>
  <c r="E65" s="1"/>
  <c r="E66" s="1"/>
  <c r="E87"/>
  <c r="J92" s="1"/>
  <c r="E105"/>
  <c r="E167"/>
  <c r="F167" s="1"/>
  <c r="I167" s="1"/>
  <c r="J167" s="1"/>
  <c r="F166"/>
  <c r="I166" s="1"/>
  <c r="I169" s="1"/>
  <c r="J169" s="1"/>
  <c r="E94"/>
  <c r="F145"/>
  <c r="I145" s="1"/>
  <c r="I148" s="1"/>
  <c r="J148" s="1"/>
  <c r="E146"/>
  <c r="F146" s="1"/>
  <c r="I146" s="1"/>
  <c r="J146" s="1"/>
  <c r="E57"/>
  <c r="E58" s="1"/>
  <c r="E59" s="1"/>
  <c r="F130"/>
  <c r="I130" s="1"/>
  <c r="J130" s="1"/>
  <c r="E131"/>
  <c r="F131" s="1"/>
  <c r="I131" s="1"/>
  <c r="J131" s="1"/>
  <c r="F120"/>
  <c r="I120" s="1"/>
  <c r="J120" s="1"/>
  <c r="E121"/>
  <c r="F121" s="1"/>
  <c r="I121" s="1"/>
  <c r="J121" s="1"/>
  <c r="E151"/>
  <c r="F151" s="1"/>
  <c r="I151" s="1"/>
  <c r="J151" s="1"/>
  <c r="F150"/>
  <c r="I150" s="1"/>
  <c r="J150" s="1"/>
  <c r="F110"/>
  <c r="I110" s="1"/>
  <c r="I113" s="1"/>
  <c r="J113" s="1"/>
  <c r="E111"/>
  <c r="F111" s="1"/>
  <c r="I111" s="1"/>
  <c r="J111" s="1"/>
  <c r="E141"/>
  <c r="F141" s="1"/>
  <c r="I141" s="1"/>
  <c r="J141" s="1"/>
  <c r="F140"/>
  <c r="I140" s="1"/>
  <c r="I143" s="1"/>
  <c r="J143" s="1"/>
  <c r="F162"/>
  <c r="I162" s="1"/>
  <c r="J162" s="1"/>
  <c r="F161"/>
  <c r="I161" s="1"/>
  <c r="J161" s="1"/>
  <c r="E115"/>
  <c r="E135"/>
  <c r="E43"/>
  <c r="E44" s="1"/>
  <c r="E45" s="1"/>
  <c r="E72"/>
  <c r="E73" s="1"/>
  <c r="E74" s="1"/>
  <c r="E88"/>
  <c r="E89" s="1"/>
  <c r="E14"/>
  <c r="E15" s="1"/>
  <c r="E16" s="1"/>
  <c r="E17" s="1"/>
  <c r="J166"/>
  <c r="I122"/>
  <c r="I168" l="1"/>
  <c r="J168" s="1"/>
  <c r="J110"/>
  <c r="J125"/>
  <c r="I133"/>
  <c r="J133" s="1"/>
  <c r="J105"/>
  <c r="E106"/>
  <c r="F106" s="1"/>
  <c r="I106" s="1"/>
  <c r="J108"/>
  <c r="I127"/>
  <c r="I129" s="1"/>
  <c r="J129" s="1"/>
  <c r="I123"/>
  <c r="J123" s="1"/>
  <c r="J145"/>
  <c r="J140"/>
  <c r="J99"/>
  <c r="E95"/>
  <c r="E96" s="1"/>
  <c r="I163"/>
  <c r="I165" s="1"/>
  <c r="J165" s="1"/>
  <c r="I147"/>
  <c r="I149" s="1"/>
  <c r="J149" s="1"/>
  <c r="E116"/>
  <c r="F116" s="1"/>
  <c r="I116" s="1"/>
  <c r="J116" s="1"/>
  <c r="F115"/>
  <c r="I115" s="1"/>
  <c r="E136"/>
  <c r="F136" s="1"/>
  <c r="I136" s="1"/>
  <c r="J136" s="1"/>
  <c r="F135"/>
  <c r="I135" s="1"/>
  <c r="I170"/>
  <c r="J170" s="1"/>
  <c r="F155"/>
  <c r="I155" s="1"/>
  <c r="F156"/>
  <c r="I156" s="1"/>
  <c r="J156" s="1"/>
  <c r="I164"/>
  <c r="J164" s="1"/>
  <c r="I153"/>
  <c r="J153" s="1"/>
  <c r="I124"/>
  <c r="J124" s="1"/>
  <c r="I142"/>
  <c r="I152"/>
  <c r="I132"/>
  <c r="I112"/>
  <c r="I107" l="1"/>
  <c r="I109" s="1"/>
  <c r="J109" s="1"/>
  <c r="J106"/>
  <c r="I117"/>
  <c r="I118"/>
  <c r="J118" s="1"/>
  <c r="J115"/>
  <c r="I158"/>
  <c r="J158" s="1"/>
  <c r="J155"/>
  <c r="I157"/>
  <c r="I138"/>
  <c r="J138" s="1"/>
  <c r="J135"/>
  <c r="I137"/>
  <c r="I154"/>
  <c r="J154" s="1"/>
  <c r="I134"/>
  <c r="J134" s="1"/>
  <c r="I144"/>
  <c r="J144" s="1"/>
  <c r="I114"/>
  <c r="J114" s="1"/>
  <c r="I159" l="1"/>
  <c r="J159" s="1"/>
  <c r="I119"/>
  <c r="J119" s="1"/>
  <c r="I139"/>
  <c r="J139" s="1"/>
  <c r="C9" i="1"/>
  <c r="F30" i="4" l="1"/>
  <c r="F15" l="1"/>
  <c r="I15" s="1"/>
  <c r="J20" l="1"/>
  <c r="J15"/>
  <c r="F7"/>
  <c r="F8"/>
  <c r="F9"/>
  <c r="I8" l="1"/>
  <c r="J8" s="1"/>
  <c r="J12" l="1"/>
  <c r="F16" l="1"/>
  <c r="I16" s="1"/>
  <c r="J16" s="1"/>
  <c r="F23"/>
  <c r="I23" s="1"/>
  <c r="I30"/>
  <c r="F44"/>
  <c r="I44" s="1"/>
  <c r="F51"/>
  <c r="I51" s="1"/>
  <c r="F58"/>
  <c r="I58" s="1"/>
  <c r="F80"/>
  <c r="I80" s="1"/>
  <c r="F65"/>
  <c r="I65" s="1"/>
  <c r="F88"/>
  <c r="I88" s="1"/>
  <c r="F95"/>
  <c r="I95" s="1"/>
  <c r="F73"/>
  <c r="I73" s="1"/>
  <c r="F74"/>
  <c r="J80" l="1"/>
  <c r="J84"/>
  <c r="J51"/>
  <c r="J55"/>
  <c r="J58"/>
  <c r="J62"/>
  <c r="J44"/>
  <c r="J48"/>
  <c r="J65"/>
  <c r="J69"/>
  <c r="J95"/>
  <c r="J88"/>
  <c r="J73"/>
  <c r="J77"/>
  <c r="J30"/>
  <c r="J34"/>
  <c r="J23"/>
  <c r="J27"/>
  <c r="H59" i="5"/>
  <c r="F58"/>
  <c r="H58" s="1"/>
  <c r="F57"/>
  <c r="H57" s="1"/>
  <c r="H55"/>
  <c r="F54"/>
  <c r="H54" s="1"/>
  <c r="F53"/>
  <c r="H53" s="1"/>
  <c r="H50"/>
  <c r="F49"/>
  <c r="H49" s="1"/>
  <c r="F48"/>
  <c r="H48" s="1"/>
  <c r="H46"/>
  <c r="F45"/>
  <c r="H45" s="1"/>
  <c r="F44"/>
  <c r="H44" s="1"/>
  <c r="F96" i="4"/>
  <c r="I96" s="1"/>
  <c r="J96" s="1"/>
  <c r="F94"/>
  <c r="I94" s="1"/>
  <c r="J94" s="1"/>
  <c r="F93"/>
  <c r="I93" s="1"/>
  <c r="F89"/>
  <c r="I89" s="1"/>
  <c r="J89" s="1"/>
  <c r="F87"/>
  <c r="I87" s="1"/>
  <c r="J87" s="1"/>
  <c r="F86"/>
  <c r="I86" s="1"/>
  <c r="J86" s="1"/>
  <c r="F81"/>
  <c r="I81" s="1"/>
  <c r="J81" s="1"/>
  <c r="F79"/>
  <c r="I79" s="1"/>
  <c r="J79" s="1"/>
  <c r="F78"/>
  <c r="I78" s="1"/>
  <c r="I74"/>
  <c r="J74" s="1"/>
  <c r="F72"/>
  <c r="I72" s="1"/>
  <c r="J72" s="1"/>
  <c r="F71"/>
  <c r="I71" s="1"/>
  <c r="H41" i="5"/>
  <c r="F40"/>
  <c r="H40" s="1"/>
  <c r="F39"/>
  <c r="H39" s="1"/>
  <c r="H37"/>
  <c r="F36"/>
  <c r="H36" s="1"/>
  <c r="F35"/>
  <c r="H35" s="1"/>
  <c r="H33"/>
  <c r="F32"/>
  <c r="H32" s="1"/>
  <c r="F31"/>
  <c r="H31" s="1"/>
  <c r="F66" i="4"/>
  <c r="I66" s="1"/>
  <c r="J66" s="1"/>
  <c r="F64"/>
  <c r="I64" s="1"/>
  <c r="J64" s="1"/>
  <c r="F63"/>
  <c r="I63" s="1"/>
  <c r="F59"/>
  <c r="I59" s="1"/>
  <c r="J59" s="1"/>
  <c r="F57"/>
  <c r="I57" s="1"/>
  <c r="J57" s="1"/>
  <c r="F56"/>
  <c r="I56" s="1"/>
  <c r="F52"/>
  <c r="I52" s="1"/>
  <c r="J52" s="1"/>
  <c r="F50"/>
  <c r="I50" s="1"/>
  <c r="J50" s="1"/>
  <c r="F49"/>
  <c r="I49" s="1"/>
  <c r="H29" i="5"/>
  <c r="F28"/>
  <c r="H28" s="1"/>
  <c r="F27"/>
  <c r="H27" s="1"/>
  <c r="H25"/>
  <c r="F24"/>
  <c r="H24" s="1"/>
  <c r="F23"/>
  <c r="H23" s="1"/>
  <c r="H21"/>
  <c r="F20"/>
  <c r="H20" s="1"/>
  <c r="F19"/>
  <c r="H19" s="1"/>
  <c r="F45" i="4"/>
  <c r="I45" s="1"/>
  <c r="J45" s="1"/>
  <c r="F43"/>
  <c r="I43" s="1"/>
  <c r="J43" s="1"/>
  <c r="F42"/>
  <c r="I42" s="1"/>
  <c r="F38"/>
  <c r="I38" s="1"/>
  <c r="J38" s="1"/>
  <c r="F36"/>
  <c r="I36" s="1"/>
  <c r="F35"/>
  <c r="I35" s="1"/>
  <c r="F31"/>
  <c r="I31" s="1"/>
  <c r="J31" s="1"/>
  <c r="F29"/>
  <c r="I29" s="1"/>
  <c r="J29" s="1"/>
  <c r="F28"/>
  <c r="I28" s="1"/>
  <c r="F24"/>
  <c r="I24" s="1"/>
  <c r="J24" s="1"/>
  <c r="F22"/>
  <c r="I22" s="1"/>
  <c r="J22" s="1"/>
  <c r="F21"/>
  <c r="I21" s="1"/>
  <c r="F17"/>
  <c r="I17" s="1"/>
  <c r="J17" s="1"/>
  <c r="F14"/>
  <c r="I14" s="1"/>
  <c r="J14" s="1"/>
  <c r="F13"/>
  <c r="I13" s="1"/>
  <c r="H17" i="5"/>
  <c r="F16"/>
  <c r="H16" s="1"/>
  <c r="F15"/>
  <c r="H15" s="1"/>
  <c r="H13"/>
  <c r="F12"/>
  <c r="H12" s="1"/>
  <c r="F11"/>
  <c r="H11" s="1"/>
  <c r="I39" i="4" l="1"/>
  <c r="H30" i="5"/>
  <c r="I30" s="1"/>
  <c r="I25" i="4"/>
  <c r="I26" s="1"/>
  <c r="J26" s="1"/>
  <c r="L26" s="1"/>
  <c r="J36"/>
  <c r="J41"/>
  <c r="I75"/>
  <c r="I76" s="1"/>
  <c r="J76" s="1"/>
  <c r="L76" s="1"/>
  <c r="H56" i="5"/>
  <c r="I56" s="1"/>
  <c r="H60"/>
  <c r="I60" s="1"/>
  <c r="H51"/>
  <c r="I51" s="1"/>
  <c r="H47"/>
  <c r="I47" s="1"/>
  <c r="I97" i="4"/>
  <c r="I98" s="1"/>
  <c r="J93"/>
  <c r="I90"/>
  <c r="I91" s="1"/>
  <c r="J71"/>
  <c r="I82"/>
  <c r="J78"/>
  <c r="H42" i="5"/>
  <c r="I42" s="1"/>
  <c r="H38"/>
  <c r="I38" s="1"/>
  <c r="H34"/>
  <c r="I34" s="1"/>
  <c r="I67" i="4"/>
  <c r="J63"/>
  <c r="I60"/>
  <c r="J56"/>
  <c r="I53"/>
  <c r="J49"/>
  <c r="H26" i="5"/>
  <c r="I26" s="1"/>
  <c r="H22"/>
  <c r="I22" s="1"/>
  <c r="I46" i="4"/>
  <c r="J42"/>
  <c r="J35"/>
  <c r="I32"/>
  <c r="J28"/>
  <c r="J21"/>
  <c r="I18"/>
  <c r="J13"/>
  <c r="H18" i="5"/>
  <c r="I18" s="1"/>
  <c r="H14"/>
  <c r="I14" s="1"/>
  <c r="I9" i="4"/>
  <c r="J9" s="1"/>
  <c r="I7"/>
  <c r="J7" s="1"/>
  <c r="N8" i="1"/>
  <c r="N9"/>
  <c r="N10"/>
  <c r="N11"/>
  <c r="N12"/>
  <c r="N13"/>
  <c r="N16"/>
  <c r="N14"/>
  <c r="N18"/>
  <c r="N19"/>
  <c r="N15"/>
  <c r="G19"/>
  <c r="H19" s="1"/>
  <c r="G18"/>
  <c r="H18" s="1"/>
  <c r="G16"/>
  <c r="H16" s="1"/>
  <c r="K17"/>
  <c r="M17" s="1"/>
  <c r="G10"/>
  <c r="H10" s="1"/>
  <c r="G11"/>
  <c r="H11" s="1"/>
  <c r="G12"/>
  <c r="H12" s="1"/>
  <c r="G13"/>
  <c r="H13" s="1"/>
  <c r="G14"/>
  <c r="H14" s="1"/>
  <c r="G15"/>
  <c r="H15" s="1"/>
  <c r="G6"/>
  <c r="J75" i="4" l="1"/>
  <c r="J25"/>
  <c r="J39"/>
  <c r="I40"/>
  <c r="J40" s="1"/>
  <c r="L40" s="1"/>
  <c r="J46"/>
  <c r="I47"/>
  <c r="J47" s="1"/>
  <c r="L47" s="1"/>
  <c r="J60"/>
  <c r="I61"/>
  <c r="J61" s="1"/>
  <c r="L61" s="1"/>
  <c r="J82"/>
  <c r="I83"/>
  <c r="J83" s="1"/>
  <c r="L83" s="1"/>
  <c r="J67"/>
  <c r="I68"/>
  <c r="J68" s="1"/>
  <c r="L68" s="1"/>
  <c r="J97"/>
  <c r="J98"/>
  <c r="L98" s="1"/>
  <c r="J90"/>
  <c r="J91"/>
  <c r="L91" s="1"/>
  <c r="J53"/>
  <c r="I54"/>
  <c r="J54" s="1"/>
  <c r="L54" s="1"/>
  <c r="J32"/>
  <c r="I33"/>
  <c r="J33" s="1"/>
  <c r="L33" s="1"/>
  <c r="J18"/>
  <c r="I19"/>
  <c r="J19" s="1"/>
  <c r="L19" s="1"/>
  <c r="J18" i="1"/>
  <c r="K18" s="1"/>
  <c r="M18" s="1"/>
  <c r="J19"/>
  <c r="K19" s="1"/>
  <c r="M19" s="1"/>
  <c r="J16"/>
  <c r="K16" s="1"/>
  <c r="M16" s="1"/>
  <c r="J14"/>
  <c r="K14" s="1"/>
  <c r="M14" s="1"/>
  <c r="J13"/>
  <c r="K13" s="1"/>
  <c r="M13" s="1"/>
  <c r="J12"/>
  <c r="K12" s="1"/>
  <c r="M12" s="1"/>
  <c r="J11"/>
  <c r="K11" s="1"/>
  <c r="M11" s="1"/>
  <c r="J10"/>
  <c r="K10" s="1"/>
  <c r="M10" s="1"/>
  <c r="J15"/>
  <c r="K15" s="1"/>
  <c r="M15" s="1"/>
  <c r="G9" l="1"/>
  <c r="H9" s="1"/>
  <c r="G8"/>
  <c r="H8" s="1"/>
  <c r="G7"/>
  <c r="H7" s="1"/>
  <c r="J7" s="1"/>
  <c r="K7" s="1"/>
  <c r="J9" l="1"/>
  <c r="K9" s="1"/>
  <c r="M9" s="1"/>
  <c r="M7"/>
  <c r="J8"/>
  <c r="K8" s="1"/>
  <c r="M8" s="1"/>
  <c r="F8" i="5" l="1"/>
  <c r="H9"/>
  <c r="H8" l="1"/>
  <c r="F7"/>
  <c r="H7" s="1"/>
  <c r="F6" i="4"/>
  <c r="I6" s="1"/>
  <c r="I10" l="1"/>
  <c r="H10" i="5"/>
  <c r="I10" s="1"/>
  <c r="J6" i="4"/>
  <c r="I11" l="1"/>
  <c r="J11" s="1"/>
  <c r="L11" s="1"/>
  <c r="J10"/>
  <c r="H6" i="1"/>
  <c r="J6" l="1"/>
  <c r="K6" l="1"/>
  <c r="M6" s="1"/>
</calcChain>
</file>

<file path=xl/sharedStrings.xml><?xml version="1.0" encoding="utf-8"?>
<sst xmlns="http://schemas.openxmlformats.org/spreadsheetml/2006/main" count="375" uniqueCount="60">
  <si>
    <t>Затраты на оплату труда (с начислениями) работников непосредственно связанных с оказанием услуги</t>
  </si>
  <si>
    <t>кол-во ставок по штатному расписанию</t>
  </si>
  <si>
    <t>количество рабочих часов в год (произв.календ.)</t>
  </si>
  <si>
    <t>Наименование учреждения</t>
  </si>
  <si>
    <t xml:space="preserve">Количество затраченных человеко-часов </t>
  </si>
  <si>
    <t>7=3*6</t>
  </si>
  <si>
    <t>Норма трудозатрат на оказание 1 ед. услуги (человеко-часов)</t>
  </si>
  <si>
    <t>8=7/5</t>
  </si>
  <si>
    <t>Стоимость 1 человека-часа</t>
  </si>
  <si>
    <t>9=4/6</t>
  </si>
  <si>
    <t>Нормативные затраты</t>
  </si>
  <si>
    <t>10=8*9</t>
  </si>
  <si>
    <t>Заработная плата на 1 ставку</t>
  </si>
  <si>
    <t>Затраты на приобретение материальных запасов и особо ценного движимого имущества, потребляемых в процессе оказания услуги</t>
  </si>
  <si>
    <t>Наименование запасов и особо ценного движимого имущества по группам</t>
  </si>
  <si>
    <t>Нормативное количество материальных запасов, ОЦДИ</t>
  </si>
  <si>
    <t>Срок полезного использования, лет</t>
  </si>
  <si>
    <t>Цена 1 ед., ресурса, рублей</t>
  </si>
  <si>
    <t>6=4/5</t>
  </si>
  <si>
    <t>Единица измерения нормы</t>
  </si>
  <si>
    <t>9=6*8</t>
  </si>
  <si>
    <t>Писчая бумага</t>
  </si>
  <si>
    <t>пач.</t>
  </si>
  <si>
    <t>Наименование затрат</t>
  </si>
  <si>
    <t>Нормативный объем</t>
  </si>
  <si>
    <t>медицинский осмотр</t>
  </si>
  <si>
    <t>договор</t>
  </si>
  <si>
    <t>Цена , рублей</t>
  </si>
  <si>
    <t xml:space="preserve">командировочные </t>
  </si>
  <si>
    <t>УСЛУГА "Реализация основных общеобразовательных программ дошкольного образования"</t>
  </si>
  <si>
    <t>д/сад Аленка</t>
  </si>
  <si>
    <t>Категория работников по штатному расписанию</t>
  </si>
  <si>
    <t>д/сад Вишенка</t>
  </si>
  <si>
    <t>д/сад Капитошка</t>
  </si>
  <si>
    <t>д/сад Катюша</t>
  </si>
  <si>
    <t>д/сад Колосок</t>
  </si>
  <si>
    <t>д/сад Теремок</t>
  </si>
  <si>
    <t>д/сад Калинка</t>
  </si>
  <si>
    <t>д/сад № 6</t>
  </si>
  <si>
    <t>д/сад Росинка</t>
  </si>
  <si>
    <t>д/сад Сибирячок</t>
  </si>
  <si>
    <t>д/сад Тополек</t>
  </si>
  <si>
    <t>Норма на 1 воспитанника, шт.</t>
  </si>
  <si>
    <t>Показатель объема, воспитанники</t>
  </si>
  <si>
    <t>Канцелярия</t>
  </si>
  <si>
    <t>Игрушки</t>
  </si>
  <si>
    <t>Показатель объема, воспитанник</t>
  </si>
  <si>
    <t>Продукты питания</t>
  </si>
  <si>
    <t>краевой бюджет</t>
  </si>
  <si>
    <t>муниципальный бюджет</t>
  </si>
  <si>
    <t xml:space="preserve">Иные затраты, непосредственно связанные с оказанием услуги </t>
  </si>
  <si>
    <t>УСЛУГА "Присмотр и уход"</t>
  </si>
  <si>
    <t>призы</t>
  </si>
  <si>
    <t>пед. работники+ АУП и уч.вспомог. персонал</t>
  </si>
  <si>
    <t>по норме</t>
  </si>
  <si>
    <t>в бюджете</t>
  </si>
  <si>
    <t>мебель</t>
  </si>
  <si>
    <t>Школа №4</t>
  </si>
  <si>
    <t>норма</t>
  </si>
  <si>
    <t>филиал СШ№3</t>
  </si>
</sst>
</file>

<file path=xl/styles.xml><?xml version="1.0" encoding="utf-8"?>
<styleSheet xmlns="http://schemas.openxmlformats.org/spreadsheetml/2006/main">
  <numFmts count="3">
    <numFmt numFmtId="164" formatCode="0.00000"/>
    <numFmt numFmtId="165" formatCode="0.0"/>
    <numFmt numFmtId="166" formatCode="0.00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2" fontId="1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2" fontId="0" fillId="0" borderId="1" xfId="0" applyNumberFormat="1" applyBorder="1"/>
    <xf numFmtId="2" fontId="1" fillId="0" borderId="1" xfId="0" applyNumberFormat="1" applyFont="1" applyBorder="1"/>
    <xf numFmtId="0" fontId="4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3" xfId="0" applyFont="1" applyBorder="1"/>
    <xf numFmtId="0" fontId="0" fillId="0" borderId="4" xfId="0" applyBorder="1"/>
    <xf numFmtId="0" fontId="1" fillId="0" borderId="5" xfId="0" applyFont="1" applyBorder="1"/>
    <xf numFmtId="2" fontId="0" fillId="0" borderId="5" xfId="0" applyNumberFormat="1" applyBorder="1"/>
    <xf numFmtId="0" fontId="0" fillId="0" borderId="7" xfId="0" applyBorder="1"/>
    <xf numFmtId="0" fontId="0" fillId="0" borderId="9" xfId="0" applyBorder="1"/>
    <xf numFmtId="0" fontId="1" fillId="0" borderId="10" xfId="0" applyFont="1" applyBorder="1"/>
    <xf numFmtId="2" fontId="0" fillId="0" borderId="10" xfId="0" applyNumberFormat="1" applyBorder="1"/>
    <xf numFmtId="1" fontId="0" fillId="0" borderId="1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2" fontId="3" fillId="0" borderId="10" xfId="0" applyNumberFormat="1" applyFont="1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4" fontId="1" fillId="0" borderId="5" xfId="0" applyNumberFormat="1" applyFont="1" applyBorder="1"/>
    <xf numFmtId="164" fontId="1" fillId="0" borderId="1" xfId="0" applyNumberFormat="1" applyFont="1" applyBorder="1"/>
    <xf numFmtId="164" fontId="1" fillId="0" borderId="12" xfId="0" applyNumberFormat="1" applyFont="1" applyBorder="1"/>
    <xf numFmtId="0" fontId="7" fillId="0" borderId="0" xfId="0" applyFont="1"/>
    <xf numFmtId="0" fontId="1" fillId="0" borderId="14" xfId="0" applyFont="1" applyBorder="1"/>
    <xf numFmtId="2" fontId="0" fillId="0" borderId="14" xfId="0" applyNumberFormat="1" applyBorder="1"/>
    <xf numFmtId="2" fontId="1" fillId="0" borderId="14" xfId="0" applyNumberFormat="1" applyFont="1" applyBorder="1"/>
    <xf numFmtId="164" fontId="1" fillId="0" borderId="0" xfId="0" applyNumberFormat="1" applyFont="1"/>
    <xf numFmtId="0" fontId="4" fillId="0" borderId="13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164" fontId="1" fillId="0" borderId="10" xfId="0" applyNumberFormat="1" applyFont="1" applyBorder="1"/>
    <xf numFmtId="1" fontId="0" fillId="0" borderId="10" xfId="0" applyNumberFormat="1" applyBorder="1" applyAlignment="1">
      <alignment horizontal="center"/>
    </xf>
    <xf numFmtId="0" fontId="0" fillId="0" borderId="0" xfId="0" applyBorder="1"/>
    <xf numFmtId="0" fontId="1" fillId="0" borderId="0" xfId="0" applyFont="1" applyBorder="1"/>
    <xf numFmtId="164" fontId="1" fillId="0" borderId="0" xfId="0" applyNumberFormat="1" applyFont="1" applyBorder="1"/>
    <xf numFmtId="1" fontId="0" fillId="0" borderId="0" xfId="0" applyNumberFormat="1" applyBorder="1" applyAlignment="1">
      <alignment horizontal="center"/>
    </xf>
    <xf numFmtId="2" fontId="0" fillId="0" borderId="0" xfId="0" applyNumberFormat="1" applyBorder="1"/>
    <xf numFmtId="2" fontId="1" fillId="0" borderId="5" xfId="0" applyNumberFormat="1" applyFont="1" applyBorder="1"/>
    <xf numFmtId="2" fontId="1" fillId="0" borderId="10" xfId="0" applyNumberFormat="1" applyFont="1" applyBorder="1"/>
    <xf numFmtId="0" fontId="0" fillId="0" borderId="17" xfId="0" applyBorder="1"/>
    <xf numFmtId="165" fontId="1" fillId="0" borderId="0" xfId="0" applyNumberFormat="1" applyFont="1"/>
    <xf numFmtId="164" fontId="1" fillId="0" borderId="14" xfId="0" applyNumberFormat="1" applyFont="1" applyBorder="1"/>
    <xf numFmtId="1" fontId="0" fillId="0" borderId="14" xfId="0" applyNumberFormat="1" applyBorder="1" applyAlignment="1">
      <alignment horizontal="center"/>
    </xf>
    <xf numFmtId="0" fontId="8" fillId="0" borderId="0" xfId="0" applyFont="1"/>
    <xf numFmtId="0" fontId="0" fillId="0" borderId="18" xfId="0" applyBorder="1"/>
    <xf numFmtId="0" fontId="1" fillId="0" borderId="19" xfId="0" applyFont="1" applyBorder="1"/>
    <xf numFmtId="164" fontId="1" fillId="0" borderId="19" xfId="0" applyNumberFormat="1" applyFont="1" applyBorder="1"/>
    <xf numFmtId="1" fontId="0" fillId="0" borderId="19" xfId="0" applyNumberFormat="1" applyBorder="1" applyAlignment="1">
      <alignment horizontal="center"/>
    </xf>
    <xf numFmtId="2" fontId="0" fillId="0" borderId="19" xfId="0" applyNumberFormat="1" applyBorder="1"/>
    <xf numFmtId="0" fontId="1" fillId="0" borderId="2" xfId="0" applyFont="1" applyBorder="1"/>
    <xf numFmtId="2" fontId="0" fillId="0" borderId="2" xfId="0" applyNumberFormat="1" applyBorder="1"/>
    <xf numFmtId="0" fontId="0" fillId="0" borderId="21" xfId="0" applyBorder="1"/>
    <xf numFmtId="0" fontId="1" fillId="0" borderId="22" xfId="0" applyFont="1" applyBorder="1"/>
    <xf numFmtId="164" fontId="1" fillId="0" borderId="22" xfId="0" applyNumberFormat="1" applyFont="1" applyBorder="1"/>
    <xf numFmtId="1" fontId="0" fillId="0" borderId="22" xfId="0" applyNumberFormat="1" applyBorder="1" applyAlignment="1">
      <alignment horizontal="center"/>
    </xf>
    <xf numFmtId="2" fontId="0" fillId="0" borderId="22" xfId="0" applyNumberFormat="1" applyBorder="1"/>
    <xf numFmtId="0" fontId="1" fillId="0" borderId="5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0" fillId="0" borderId="13" xfId="0" applyBorder="1"/>
    <xf numFmtId="164" fontId="1" fillId="0" borderId="2" xfId="0" applyNumberFormat="1" applyFont="1" applyBorder="1"/>
    <xf numFmtId="1" fontId="0" fillId="0" borderId="2" xfId="0" applyNumberFormat="1" applyBorder="1" applyAlignment="1">
      <alignment horizontal="center"/>
    </xf>
    <xf numFmtId="0" fontId="0" fillId="0" borderId="14" xfId="0" applyBorder="1"/>
    <xf numFmtId="166" fontId="1" fillId="0" borderId="0" xfId="0" applyNumberFormat="1" applyFont="1"/>
    <xf numFmtId="166" fontId="2" fillId="0" borderId="0" xfId="0" applyNumberFormat="1" applyFont="1" applyBorder="1"/>
    <xf numFmtId="166" fontId="1" fillId="0" borderId="6" xfId="0" applyNumberFormat="1" applyFont="1" applyBorder="1" applyAlignment="1">
      <alignment horizontal="center" vertical="center" wrapText="1"/>
    </xf>
    <xf numFmtId="166" fontId="5" fillId="0" borderId="16" xfId="0" applyNumberFormat="1" applyFont="1" applyBorder="1" applyAlignment="1">
      <alignment horizontal="center"/>
    </xf>
    <xf numFmtId="2" fontId="1" fillId="2" borderId="0" xfId="0" applyNumberFormat="1" applyFont="1" applyFill="1"/>
    <xf numFmtId="164" fontId="2" fillId="0" borderId="6" xfId="0" applyNumberFormat="1" applyFont="1" applyBorder="1"/>
    <xf numFmtId="164" fontId="2" fillId="0" borderId="8" xfId="0" applyNumberFormat="1" applyFont="1" applyBorder="1"/>
    <xf numFmtId="164" fontId="2" fillId="0" borderId="11" xfId="0" applyNumberFormat="1" applyFont="1" applyBorder="1"/>
    <xf numFmtId="164" fontId="1" fillId="0" borderId="15" xfId="0" applyNumberFormat="1" applyFont="1" applyBorder="1"/>
    <xf numFmtId="164" fontId="1" fillId="0" borderId="6" xfId="0" applyNumberFormat="1" applyFont="1" applyBorder="1"/>
    <xf numFmtId="164" fontId="1" fillId="0" borderId="8" xfId="0" applyNumberFormat="1" applyFont="1" applyBorder="1"/>
    <xf numFmtId="164" fontId="2" fillId="2" borderId="11" xfId="0" applyNumberFormat="1" applyFont="1" applyFill="1" applyBorder="1"/>
    <xf numFmtId="164" fontId="2" fillId="2" borderId="20" xfId="0" applyNumberFormat="1" applyFont="1" applyFill="1" applyBorder="1"/>
    <xf numFmtId="164" fontId="2" fillId="2" borderId="15" xfId="0" applyNumberFormat="1" applyFont="1" applyFill="1" applyBorder="1"/>
    <xf numFmtId="164" fontId="2" fillId="2" borderId="23" xfId="0" applyNumberFormat="1" applyFont="1" applyFill="1" applyBorder="1"/>
    <xf numFmtId="164" fontId="2" fillId="2" borderId="8" xfId="0" applyNumberFormat="1" applyFont="1" applyFill="1" applyBorder="1"/>
    <xf numFmtId="164" fontId="2" fillId="2" borderId="16" xfId="0" applyNumberFormat="1" applyFont="1" applyFill="1" applyBorder="1"/>
    <xf numFmtId="2" fontId="1" fillId="3" borderId="1" xfId="0" applyNumberFormat="1" applyFont="1" applyFill="1" applyBorder="1"/>
    <xf numFmtId="2" fontId="1" fillId="3" borderId="10" xfId="0" applyNumberFormat="1" applyFont="1" applyFill="1" applyBorder="1"/>
    <xf numFmtId="2" fontId="1" fillId="3" borderId="5" xfId="0" applyNumberFormat="1" applyFont="1" applyFill="1" applyBorder="1"/>
    <xf numFmtId="0" fontId="1" fillId="4" borderId="0" xfId="0" applyFont="1" applyFill="1"/>
    <xf numFmtId="0" fontId="1" fillId="4" borderId="5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/>
    </xf>
    <xf numFmtId="0" fontId="1" fillId="4" borderId="5" xfId="0" applyFont="1" applyFill="1" applyBorder="1"/>
    <xf numFmtId="0" fontId="1" fillId="4" borderId="10" xfId="0" applyFont="1" applyFill="1" applyBorder="1"/>
    <xf numFmtId="0" fontId="1" fillId="4" borderId="19" xfId="0" applyFont="1" applyFill="1" applyBorder="1"/>
    <xf numFmtId="0" fontId="1" fillId="4" borderId="14" xfId="0" applyFont="1" applyFill="1" applyBorder="1"/>
    <xf numFmtId="0" fontId="1" fillId="4" borderId="1" xfId="0" applyFont="1" applyFill="1" applyBorder="1"/>
    <xf numFmtId="0" fontId="1" fillId="4" borderId="22" xfId="0" applyFont="1" applyFill="1" applyBorder="1"/>
    <xf numFmtId="0" fontId="1" fillId="4" borderId="0" xfId="0" applyFont="1" applyFill="1" applyBorder="1"/>
    <xf numFmtId="0" fontId="1" fillId="4" borderId="2" xfId="0" applyFont="1" applyFill="1" applyBorder="1"/>
    <xf numFmtId="0" fontId="5" fillId="4" borderId="10" xfId="0" applyFont="1" applyFill="1" applyBorder="1" applyAlignment="1">
      <alignment horizontal="center"/>
    </xf>
    <xf numFmtId="0" fontId="1" fillId="4" borderId="3" xfId="0" applyFont="1" applyFill="1" applyBorder="1"/>
    <xf numFmtId="2" fontId="1" fillId="4" borderId="0" xfId="0" applyNumberFormat="1" applyFont="1" applyFill="1"/>
    <xf numFmtId="165" fontId="1" fillId="4" borderId="0" xfId="0" applyNumberFormat="1" applyFont="1" applyFill="1"/>
    <xf numFmtId="0" fontId="1" fillId="4" borderId="0" xfId="0" applyFont="1" applyFill="1" applyAlignment="1">
      <alignment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T19"/>
  <sheetViews>
    <sheetView workbookViewId="0">
      <pane xSplit="1" ySplit="5" topLeftCell="B21" activePane="bottomRight" state="frozen"/>
      <selection pane="topRight" activeCell="B1" sqref="B1"/>
      <selection pane="bottomLeft" activeCell="A6" sqref="A6"/>
      <selection pane="bottomRight" activeCell="L19" sqref="L19"/>
    </sheetView>
  </sheetViews>
  <sheetFormatPr defaultRowHeight="15"/>
  <cols>
    <col min="1" max="1" width="17.42578125" customWidth="1"/>
    <col min="2" max="2" width="25.28515625" style="1" customWidth="1"/>
    <col min="3" max="3" width="7.85546875" style="1" customWidth="1"/>
    <col min="4" max="4" width="10.28515625" style="1" customWidth="1"/>
    <col min="5" max="5" width="5.85546875" style="1" customWidth="1"/>
    <col min="6" max="6" width="8.85546875" style="1" customWidth="1"/>
    <col min="7" max="7" width="12.5703125" customWidth="1"/>
    <col min="8" max="8" width="10.42578125" customWidth="1"/>
    <col min="9" max="9" width="7.85546875" style="1" customWidth="1"/>
    <col min="10" max="10" width="16.28515625" style="1" customWidth="1"/>
    <col min="11" max="11" width="11.7109375" style="1" customWidth="1"/>
    <col min="12" max="12" width="11.85546875" style="1" customWidth="1"/>
    <col min="13" max="13" width="5.28515625" style="1" customWidth="1"/>
    <col min="14" max="14" width="11.42578125" style="1" bestFit="1" customWidth="1"/>
    <col min="15" max="15" width="17.28515625" style="1" customWidth="1"/>
    <col min="16" max="20" width="9.140625" style="1"/>
  </cols>
  <sheetData>
    <row r="1" spans="1:14" ht="18.75">
      <c r="A1" s="31" t="s">
        <v>29</v>
      </c>
    </row>
    <row r="2" spans="1:14" ht="18.75">
      <c r="A2" s="107" t="s">
        <v>0</v>
      </c>
      <c r="B2" s="107"/>
      <c r="C2" s="107"/>
      <c r="D2" s="107"/>
      <c r="E2" s="107"/>
      <c r="F2" s="107"/>
      <c r="G2" s="107"/>
      <c r="H2" s="107"/>
      <c r="I2" s="107"/>
      <c r="J2" s="107"/>
    </row>
    <row r="3" spans="1:14">
      <c r="I3" s="51" t="s">
        <v>48</v>
      </c>
    </row>
    <row r="4" spans="1:14" ht="105.4" customHeight="1">
      <c r="A4" s="4" t="s">
        <v>3</v>
      </c>
      <c r="B4" s="4" t="s">
        <v>31</v>
      </c>
      <c r="C4" s="4" t="s">
        <v>1</v>
      </c>
      <c r="D4" s="4" t="s">
        <v>12</v>
      </c>
      <c r="E4" s="4" t="s">
        <v>43</v>
      </c>
      <c r="F4" s="4" t="s">
        <v>2</v>
      </c>
      <c r="G4" s="4" t="s">
        <v>4</v>
      </c>
      <c r="H4" s="4" t="s">
        <v>6</v>
      </c>
      <c r="I4" s="4" t="s">
        <v>8</v>
      </c>
      <c r="J4" s="4" t="s">
        <v>10</v>
      </c>
      <c r="K4" s="2" t="s">
        <v>54</v>
      </c>
      <c r="L4" s="2" t="s">
        <v>55</v>
      </c>
      <c r="M4" s="2"/>
    </row>
    <row r="5" spans="1:14" ht="15.75" thickBot="1">
      <c r="A5" s="8">
        <v>1</v>
      </c>
      <c r="B5" s="9">
        <v>2</v>
      </c>
      <c r="C5" s="9">
        <v>3</v>
      </c>
      <c r="D5" s="9">
        <v>4</v>
      </c>
      <c r="E5" s="9">
        <v>5</v>
      </c>
      <c r="F5" s="9">
        <v>6</v>
      </c>
      <c r="G5" s="9" t="s">
        <v>5</v>
      </c>
      <c r="H5" s="8" t="s">
        <v>7</v>
      </c>
      <c r="I5" s="9" t="s">
        <v>9</v>
      </c>
      <c r="J5" s="9" t="s">
        <v>11</v>
      </c>
    </row>
    <row r="6" spans="1:14" ht="28.15" customHeight="1">
      <c r="A6" s="11" t="s">
        <v>32</v>
      </c>
      <c r="B6" s="64" t="s">
        <v>53</v>
      </c>
      <c r="C6" s="90">
        <f>28+12.25</f>
        <v>40.25</v>
      </c>
      <c r="D6" s="45">
        <v>28662.38595</v>
      </c>
      <c r="E6" s="94">
        <v>239</v>
      </c>
      <c r="F6" s="5">
        <v>1979</v>
      </c>
      <c r="G6" s="13">
        <f>C6*F6</f>
        <v>79654.75</v>
      </c>
      <c r="H6" s="13">
        <f>G6/E6</f>
        <v>333.28347280334731</v>
      </c>
      <c r="I6" s="7">
        <f>D6*12*1.302/1979</f>
        <v>226.2865680054573</v>
      </c>
      <c r="J6" s="76">
        <f>I6*H6</f>
        <v>75417.573233609626</v>
      </c>
      <c r="K6" s="3">
        <f>J6*E6</f>
        <v>18024800.0028327</v>
      </c>
      <c r="L6" s="104">
        <f>8989478+4854455+2714822+1466045</f>
        <v>18024800</v>
      </c>
      <c r="M6" s="3">
        <f>L6-K6</f>
        <v>-2.8326995670795441E-3</v>
      </c>
      <c r="N6" s="35">
        <f>L6/12/1.302/C6</f>
        <v>28662.385945495542</v>
      </c>
    </row>
    <row r="7" spans="1:14" ht="30">
      <c r="A7" s="14" t="s">
        <v>33</v>
      </c>
      <c r="B7" s="65" t="s">
        <v>53</v>
      </c>
      <c r="C7" s="88">
        <f>3+22+5.8+16.5</f>
        <v>47.3</v>
      </c>
      <c r="D7" s="7">
        <v>25042.786670000001</v>
      </c>
      <c r="E7" s="98">
        <v>192</v>
      </c>
      <c r="F7" s="5">
        <v>1979</v>
      </c>
      <c r="G7" s="6">
        <f>C7*F7</f>
        <v>93606.7</v>
      </c>
      <c r="H7" s="6">
        <f>G7/E7</f>
        <v>487.53489583333334</v>
      </c>
      <c r="I7" s="7">
        <f t="shared" ref="I7:I16" si="0">D7*12*1.302/1979</f>
        <v>197.71020663571502</v>
      </c>
      <c r="J7" s="77">
        <f>I7*H7</f>
        <v>96390.624997330131</v>
      </c>
      <c r="K7" s="3">
        <f>J7*E7</f>
        <v>18506999.999487385</v>
      </c>
      <c r="L7" s="104">
        <f>8896621+5317665+2686779+1605935</f>
        <v>18507000</v>
      </c>
      <c r="M7" s="3">
        <f t="shared" ref="M7:M19" si="1">L7-K7</f>
        <v>5.1261484622955322E-4</v>
      </c>
      <c r="N7" s="35">
        <f>L7/12/1.302/C7</f>
        <v>25042.786670693647</v>
      </c>
    </row>
    <row r="8" spans="1:14" ht="30">
      <c r="A8" s="14" t="s">
        <v>34</v>
      </c>
      <c r="B8" s="65" t="s">
        <v>53</v>
      </c>
      <c r="C8" s="88">
        <f>1+1+2+19+2.25+1+0.75+0.25+2+12</f>
        <v>41.25</v>
      </c>
      <c r="D8" s="7">
        <v>24483.855449999999</v>
      </c>
      <c r="E8" s="98">
        <v>214</v>
      </c>
      <c r="F8" s="5">
        <v>1979</v>
      </c>
      <c r="G8" s="6">
        <f t="shared" ref="G8:G9" si="2">C8*F8</f>
        <v>81633.75</v>
      </c>
      <c r="H8" s="6">
        <f t="shared" ref="H8:H9" si="3">G8/E8</f>
        <v>381.46612149532712</v>
      </c>
      <c r="I8" s="7">
        <f t="shared" si="0"/>
        <v>193.29750255219807</v>
      </c>
      <c r="J8" s="77">
        <f t="shared" ref="J8:J9" si="4">I8*H8</f>
        <v>73736.448593320092</v>
      </c>
      <c r="K8" s="3">
        <f t="shared" ref="K8:K19" si="5">J8*E8</f>
        <v>15779599.998970499</v>
      </c>
      <c r="L8" s="104">
        <f>7690553+4428955+2322547+1337545</f>
        <v>15779600</v>
      </c>
      <c r="M8" s="3">
        <f t="shared" si="1"/>
        <v>1.029500737786293E-3</v>
      </c>
      <c r="N8" s="35">
        <f t="shared" ref="N8:N19" si="6">L8/12/1.302/C8</f>
        <v>24483.855451597388</v>
      </c>
    </row>
    <row r="9" spans="1:14" ht="30">
      <c r="A9" s="14" t="s">
        <v>35</v>
      </c>
      <c r="B9" s="65" t="s">
        <v>53</v>
      </c>
      <c r="C9" s="88">
        <f>1+14+4.75+8+1+1</f>
        <v>29.75</v>
      </c>
      <c r="D9" s="7">
        <v>25408.873230000001</v>
      </c>
      <c r="E9" s="98">
        <v>152</v>
      </c>
      <c r="F9" s="5">
        <v>1979</v>
      </c>
      <c r="G9" s="6">
        <f t="shared" si="2"/>
        <v>58875.25</v>
      </c>
      <c r="H9" s="6">
        <f t="shared" si="3"/>
        <v>387.33717105263156</v>
      </c>
      <c r="I9" s="7">
        <f t="shared" si="0"/>
        <v>200.60042210486105</v>
      </c>
      <c r="J9" s="77">
        <f t="shared" si="4"/>
        <v>77700.000010060656</v>
      </c>
      <c r="K9" s="3">
        <f t="shared" si="5"/>
        <v>11810400.00152922</v>
      </c>
      <c r="L9" s="104">
        <f>5650230+3420737+1706370+1033063</f>
        <v>11810400</v>
      </c>
      <c r="M9" s="3">
        <f t="shared" si="1"/>
        <v>-1.5292204916477203E-3</v>
      </c>
      <c r="N9" s="35">
        <f t="shared" si="6"/>
        <v>25408.873226710039</v>
      </c>
    </row>
    <row r="10" spans="1:14" ht="30">
      <c r="A10" s="14" t="s">
        <v>59</v>
      </c>
      <c r="B10" s="65" t="s">
        <v>53</v>
      </c>
      <c r="C10" s="88">
        <f>4+2.5</f>
        <v>6.5</v>
      </c>
      <c r="D10" s="7">
        <v>27358.304779999999</v>
      </c>
      <c r="E10" s="98">
        <v>35</v>
      </c>
      <c r="F10" s="5">
        <v>1979</v>
      </c>
      <c r="G10" s="6">
        <f t="shared" ref="G10:G14" si="7">C10*F10</f>
        <v>12863.5</v>
      </c>
      <c r="H10" s="6">
        <f t="shared" ref="H10:H14" si="8">G10/E10</f>
        <v>367.52857142857141</v>
      </c>
      <c r="I10" s="7">
        <f t="shared" si="0"/>
        <v>215.99098225503789</v>
      </c>
      <c r="J10" s="77">
        <f t="shared" ref="J10:J14" si="9">I10*H10</f>
        <v>79382.857149648</v>
      </c>
      <c r="K10" s="3">
        <f t="shared" si="5"/>
        <v>2778400.00023768</v>
      </c>
      <c r="L10" s="104">
        <f>1303840+393760+830108+250692</f>
        <v>2778400</v>
      </c>
      <c r="M10" s="3">
        <f t="shared" si="1"/>
        <v>-2.3768004029989243E-4</v>
      </c>
      <c r="N10" s="35">
        <f t="shared" si="6"/>
        <v>27358.304777659614</v>
      </c>
    </row>
    <row r="11" spans="1:14" ht="30">
      <c r="A11" s="14" t="s">
        <v>39</v>
      </c>
      <c r="B11" s="65" t="s">
        <v>53</v>
      </c>
      <c r="C11" s="88">
        <f>3.5+26.5+13.2</f>
        <v>43.2</v>
      </c>
      <c r="D11" s="7">
        <v>22990.063959999999</v>
      </c>
      <c r="E11" s="98">
        <v>212</v>
      </c>
      <c r="F11" s="5">
        <v>1979</v>
      </c>
      <c r="G11" s="6">
        <f t="shared" si="7"/>
        <v>85492.800000000003</v>
      </c>
      <c r="H11" s="6">
        <f t="shared" si="8"/>
        <v>403.26792452830188</v>
      </c>
      <c r="I11" s="7">
        <f t="shared" si="0"/>
        <v>181.50417347702879</v>
      </c>
      <c r="J11" s="77">
        <f t="shared" si="9"/>
        <v>73194.811331306249</v>
      </c>
      <c r="K11" s="3">
        <f t="shared" si="5"/>
        <v>15517300.002236925</v>
      </c>
      <c r="L11" s="104">
        <f>7308986+4609063+2207314+1391937</f>
        <v>15517300</v>
      </c>
      <c r="M11" s="3">
        <f t="shared" si="1"/>
        <v>-2.2369250655174255E-3</v>
      </c>
      <c r="N11" s="35">
        <f t="shared" si="6"/>
        <v>22990.063956685815</v>
      </c>
    </row>
    <row r="12" spans="1:14" ht="30">
      <c r="A12" s="14" t="s">
        <v>40</v>
      </c>
      <c r="B12" s="65" t="s">
        <v>53</v>
      </c>
      <c r="C12" s="88">
        <f>31.25+14.25</f>
        <v>45.5</v>
      </c>
      <c r="D12" s="7">
        <v>26911.82346</v>
      </c>
      <c r="E12" s="98">
        <v>252</v>
      </c>
      <c r="F12" s="5">
        <v>1979</v>
      </c>
      <c r="G12" s="6">
        <f t="shared" si="7"/>
        <v>90044.5</v>
      </c>
      <c r="H12" s="6">
        <f t="shared" si="8"/>
        <v>357.31944444444446</v>
      </c>
      <c r="I12" s="7">
        <f t="shared" si="0"/>
        <v>212.46605848359778</v>
      </c>
      <c r="J12" s="77">
        <f t="shared" si="9"/>
        <v>75918.253980659996</v>
      </c>
      <c r="K12" s="3">
        <f t="shared" si="5"/>
        <v>19131400.003126319</v>
      </c>
      <c r="L12" s="104">
        <f>10210215+4483641+3083485+1354059</f>
        <v>19131400</v>
      </c>
      <c r="M12" s="3">
        <f t="shared" si="1"/>
        <v>-3.1263194978237152E-3</v>
      </c>
      <c r="N12" s="35">
        <f t="shared" si="6"/>
        <v>26911.823455602254</v>
      </c>
    </row>
    <row r="13" spans="1:14" ht="30">
      <c r="A13" s="14" t="s">
        <v>57</v>
      </c>
      <c r="B13" s="65" t="s">
        <v>53</v>
      </c>
      <c r="C13" s="88">
        <f>15+8.25</f>
        <v>23.25</v>
      </c>
      <c r="D13" s="7">
        <v>24690.440399999999</v>
      </c>
      <c r="E13" s="98">
        <v>130</v>
      </c>
      <c r="F13" s="5">
        <v>1979</v>
      </c>
      <c r="G13" s="6">
        <f t="shared" si="7"/>
        <v>46011.75</v>
      </c>
      <c r="H13" s="6">
        <f t="shared" si="8"/>
        <v>353.93653846153848</v>
      </c>
      <c r="I13" s="7">
        <f t="shared" si="0"/>
        <v>194.92846933279438</v>
      </c>
      <c r="J13" s="77">
        <f t="shared" si="9"/>
        <v>68992.307683255407</v>
      </c>
      <c r="K13" s="3">
        <f t="shared" si="5"/>
        <v>8968999.9988232031</v>
      </c>
      <c r="L13" s="104">
        <f>3839017+3049616+1159383+920984</f>
        <v>8969000</v>
      </c>
      <c r="M13" s="3">
        <f t="shared" si="1"/>
        <v>1.1767968535423279E-3</v>
      </c>
      <c r="N13" s="35">
        <f t="shared" si="6"/>
        <v>24690.440403239565</v>
      </c>
    </row>
    <row r="14" spans="1:14" ht="30">
      <c r="A14" s="14" t="s">
        <v>41</v>
      </c>
      <c r="B14" s="65" t="s">
        <v>53</v>
      </c>
      <c r="C14" s="88">
        <f>14.75+8.25</f>
        <v>23</v>
      </c>
      <c r="D14" s="7">
        <v>31149.12398</v>
      </c>
      <c r="E14" s="98">
        <v>125</v>
      </c>
      <c r="F14" s="5">
        <v>1979</v>
      </c>
      <c r="G14" s="6">
        <f t="shared" si="7"/>
        <v>45517</v>
      </c>
      <c r="H14" s="6">
        <f t="shared" si="8"/>
        <v>364.13600000000002</v>
      </c>
      <c r="I14" s="7">
        <f t="shared" si="0"/>
        <v>245.91910715690753</v>
      </c>
      <c r="J14" s="77">
        <f t="shared" si="9"/>
        <v>89548.000003687688</v>
      </c>
      <c r="K14" s="3">
        <f t="shared" si="5"/>
        <v>11193500.000460962</v>
      </c>
      <c r="L14" s="104">
        <f>5631260+2965899+1700640+895701</f>
        <v>11193500</v>
      </c>
      <c r="M14" s="3">
        <f t="shared" si="1"/>
        <v>-4.6096183359622955E-4</v>
      </c>
      <c r="N14" s="35">
        <f t="shared" si="6"/>
        <v>31149.123978717242</v>
      </c>
    </row>
    <row r="15" spans="1:14" ht="30.2" customHeight="1">
      <c r="A15" s="14" t="s">
        <v>30</v>
      </c>
      <c r="B15" s="65" t="s">
        <v>53</v>
      </c>
      <c r="C15" s="88">
        <f>37.5+14</f>
        <v>51.5</v>
      </c>
      <c r="D15" s="7">
        <v>30213.288990000001</v>
      </c>
      <c r="E15" s="98">
        <v>191</v>
      </c>
      <c r="F15" s="5">
        <v>1979</v>
      </c>
      <c r="G15" s="6">
        <f>C15*F15</f>
        <v>101918.5</v>
      </c>
      <c r="H15" s="6">
        <f>G15/E15</f>
        <v>533.6047120418848</v>
      </c>
      <c r="I15" s="7">
        <f t="shared" si="0"/>
        <v>238.53078685182416</v>
      </c>
      <c r="J15" s="77">
        <f>I15*H15</f>
        <v>127281.15183119183</v>
      </c>
      <c r="K15" s="3">
        <f>J15*E15</f>
        <v>24310699.99975764</v>
      </c>
      <c r="L15" s="104">
        <f>13841244+4830568+4180056+1458832</f>
        <v>24310700</v>
      </c>
      <c r="M15" s="3">
        <f t="shared" si="1"/>
        <v>2.4235993623733521E-4</v>
      </c>
      <c r="N15" s="35">
        <f t="shared" si="6"/>
        <v>30213.288990301207</v>
      </c>
    </row>
    <row r="16" spans="1:14" ht="30.75" thickBot="1">
      <c r="A16" s="15" t="s">
        <v>36</v>
      </c>
      <c r="B16" s="66" t="s">
        <v>53</v>
      </c>
      <c r="C16" s="89">
        <f>37+16.5</f>
        <v>53.5</v>
      </c>
      <c r="D16" s="46">
        <v>27601.557150000001</v>
      </c>
      <c r="E16" s="95">
        <v>257</v>
      </c>
      <c r="F16" s="5">
        <v>1979</v>
      </c>
      <c r="G16" s="17">
        <f>C16*F16</f>
        <v>105876.5</v>
      </c>
      <c r="H16" s="17">
        <f>G16/E16</f>
        <v>411.97081712062254</v>
      </c>
      <c r="I16" s="7">
        <f t="shared" si="0"/>
        <v>217.91143451824152</v>
      </c>
      <c r="J16" s="78">
        <f>I16*H16</f>
        <v>89773.151738406988</v>
      </c>
      <c r="K16" s="3">
        <f t="shared" si="5"/>
        <v>23071699.996770594</v>
      </c>
      <c r="L16" s="104">
        <f>12199539+5520661+3684261+1667239</f>
        <v>23071700</v>
      </c>
      <c r="M16" s="3">
        <f t="shared" si="1"/>
        <v>3.2294057309627533E-3</v>
      </c>
      <c r="N16" s="35">
        <f t="shared" si="6"/>
        <v>27601.557153863454</v>
      </c>
    </row>
    <row r="17" spans="1:14" ht="15.75" thickBot="1">
      <c r="A17" s="47"/>
      <c r="B17" s="32"/>
      <c r="C17" s="34"/>
      <c r="D17" s="34"/>
      <c r="E17" s="97"/>
      <c r="F17" s="32"/>
      <c r="G17" s="33"/>
      <c r="H17" s="33"/>
      <c r="I17" s="34"/>
      <c r="J17" s="79"/>
      <c r="K17" s="3">
        <f t="shared" si="5"/>
        <v>0</v>
      </c>
      <c r="L17" s="75"/>
      <c r="M17" s="3">
        <f t="shared" si="1"/>
        <v>0</v>
      </c>
      <c r="N17" s="35"/>
    </row>
    <row r="18" spans="1:14" ht="30">
      <c r="A18" s="11" t="s">
        <v>37</v>
      </c>
      <c r="B18" s="64" t="s">
        <v>53</v>
      </c>
      <c r="C18" s="90">
        <f>2.25+42+22</f>
        <v>66.25</v>
      </c>
      <c r="D18" s="45">
        <v>23528.38884</v>
      </c>
      <c r="E18" s="94">
        <v>317</v>
      </c>
      <c r="F18" s="12">
        <v>1979</v>
      </c>
      <c r="G18" s="13">
        <f>C18*F18</f>
        <v>131108.75</v>
      </c>
      <c r="H18" s="13">
        <f>G18/E18</f>
        <v>413.5922712933754</v>
      </c>
      <c r="I18" s="45">
        <f>D18*12*1.302/1979</f>
        <v>185.7541926408085</v>
      </c>
      <c r="J18" s="76">
        <f>I18*H18</f>
        <v>76826.49843657919</v>
      </c>
      <c r="K18" s="3">
        <f t="shared" si="5"/>
        <v>24354000.004395604</v>
      </c>
      <c r="L18" s="104">
        <f>12083794+6621275+3649306+1999625</f>
        <v>24354000</v>
      </c>
      <c r="M18" s="3">
        <f t="shared" si="1"/>
        <v>-4.395604133605957E-3</v>
      </c>
      <c r="N18" s="35">
        <f t="shared" si="6"/>
        <v>23528.388835753412</v>
      </c>
    </row>
    <row r="19" spans="1:14" ht="30.75" thickBot="1">
      <c r="A19" s="15" t="s">
        <v>38</v>
      </c>
      <c r="B19" s="66" t="s">
        <v>53</v>
      </c>
      <c r="C19" s="89">
        <f>5+37+18.5+29.25</f>
        <v>89.75</v>
      </c>
      <c r="D19" s="46">
        <v>25589.943050000002</v>
      </c>
      <c r="E19" s="95">
        <v>401</v>
      </c>
      <c r="F19" s="16">
        <v>1979</v>
      </c>
      <c r="G19" s="17">
        <f>C19*F19</f>
        <v>177615.25</v>
      </c>
      <c r="H19" s="17">
        <f>G19/E19</f>
        <v>442.93079800498754</v>
      </c>
      <c r="I19" s="46">
        <f>D19*12*1.302/1979</f>
        <v>202.02994957716018</v>
      </c>
      <c r="J19" s="78">
        <f>I19*H19</f>
        <v>89485.286787118952</v>
      </c>
      <c r="K19" s="3">
        <f t="shared" si="5"/>
        <v>35883600.001634702</v>
      </c>
      <c r="L19" s="104">
        <f>19899462+7660906+6009638+2313594</f>
        <v>35883600</v>
      </c>
      <c r="M19" s="3">
        <f t="shared" si="1"/>
        <v>-1.6347020864486694E-3</v>
      </c>
      <c r="N19" s="35">
        <f t="shared" si="6"/>
        <v>25589.943048834237</v>
      </c>
    </row>
  </sheetData>
  <mergeCells count="1">
    <mergeCell ref="A2:J2"/>
  </mergeCells>
  <pageMargins left="0.31496062992125984" right="0" top="0.35433070866141736" bottom="0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S170"/>
  <sheetViews>
    <sheetView tabSelected="1" workbookViewId="0">
      <pane xSplit="1" ySplit="5" topLeftCell="B30" activePane="bottomRight" state="frozen"/>
      <selection pane="topRight" activeCell="B1" sqref="B1"/>
      <selection pane="bottomLeft" activeCell="A6" sqref="A6"/>
      <selection pane="bottomRight" activeCell="H53" sqref="H53"/>
    </sheetView>
  </sheetViews>
  <sheetFormatPr defaultRowHeight="15"/>
  <cols>
    <col min="1" max="1" width="15.85546875" customWidth="1"/>
    <col min="2" max="2" width="19.42578125" style="1" customWidth="1"/>
    <col min="3" max="3" width="13.42578125" style="1" customWidth="1"/>
    <col min="4" max="4" width="15" style="1" customWidth="1"/>
    <col min="5" max="5" width="11.42578125" style="91" customWidth="1"/>
    <col min="6" max="6" width="18.28515625" style="1" customWidth="1"/>
    <col min="7" max="7" width="12.5703125" customWidth="1"/>
    <col min="8" max="8" width="14.5703125" customWidth="1"/>
    <col min="9" max="9" width="13.42578125" style="1" customWidth="1"/>
    <col min="10" max="10" width="12.7109375" style="1" customWidth="1"/>
    <col min="11" max="11" width="10.42578125" style="1" customWidth="1"/>
    <col min="12" max="12" width="6.85546875" style="1" customWidth="1"/>
    <col min="13" max="19" width="9.140625" style="1"/>
  </cols>
  <sheetData>
    <row r="1" spans="1:12" ht="38.25" customHeight="1">
      <c r="A1" s="108" t="s">
        <v>13</v>
      </c>
      <c r="B1" s="108"/>
      <c r="C1" s="108"/>
      <c r="D1" s="108"/>
      <c r="E1" s="108"/>
      <c r="F1" s="108"/>
      <c r="G1" s="108"/>
      <c r="H1" s="108"/>
      <c r="I1" s="108"/>
    </row>
    <row r="2" spans="1:12" ht="18.75">
      <c r="A2" s="31" t="s">
        <v>29</v>
      </c>
    </row>
    <row r="3" spans="1:12" ht="15.75" thickBot="1"/>
    <row r="4" spans="1:12" ht="75">
      <c r="A4" s="21" t="s">
        <v>3</v>
      </c>
      <c r="B4" s="22" t="s">
        <v>14</v>
      </c>
      <c r="C4" s="22" t="s">
        <v>19</v>
      </c>
      <c r="D4" s="22" t="s">
        <v>15</v>
      </c>
      <c r="E4" s="92" t="s">
        <v>43</v>
      </c>
      <c r="F4" s="22" t="s">
        <v>42</v>
      </c>
      <c r="G4" s="22" t="s">
        <v>16</v>
      </c>
      <c r="H4" s="22" t="s">
        <v>17</v>
      </c>
      <c r="I4" s="23" t="s">
        <v>10</v>
      </c>
      <c r="J4" s="2"/>
      <c r="K4" s="2"/>
      <c r="L4" s="2"/>
    </row>
    <row r="5" spans="1:12" ht="15.75" thickBot="1">
      <c r="A5" s="36">
        <v>1</v>
      </c>
      <c r="B5" s="9">
        <v>2</v>
      </c>
      <c r="C5" s="9">
        <v>3</v>
      </c>
      <c r="D5" s="9">
        <v>4</v>
      </c>
      <c r="E5" s="93">
        <v>5</v>
      </c>
      <c r="F5" s="9" t="s">
        <v>18</v>
      </c>
      <c r="G5" s="9">
        <v>7</v>
      </c>
      <c r="H5" s="8">
        <v>8</v>
      </c>
      <c r="I5" s="37" t="s">
        <v>20</v>
      </c>
      <c r="J5" s="1" t="s">
        <v>58</v>
      </c>
      <c r="K5" s="1" t="s">
        <v>55</v>
      </c>
    </row>
    <row r="6" spans="1:12" ht="15.75" thickBot="1">
      <c r="A6" s="11" t="s">
        <v>32</v>
      </c>
      <c r="B6" s="12" t="s">
        <v>21</v>
      </c>
      <c r="C6" s="12" t="s">
        <v>22</v>
      </c>
      <c r="D6" s="12">
        <v>56</v>
      </c>
      <c r="E6" s="94">
        <v>239</v>
      </c>
      <c r="F6" s="28">
        <f>D6/E6</f>
        <v>0.23430962343096234</v>
      </c>
      <c r="G6" s="19">
        <v>1</v>
      </c>
      <c r="H6" s="13">
        <v>300</v>
      </c>
      <c r="I6" s="80">
        <f>F6*H6</f>
        <v>70.292887029288707</v>
      </c>
      <c r="J6" s="91">
        <f>I6*E6</f>
        <v>16800</v>
      </c>
      <c r="K6" s="91"/>
      <c r="L6" s="91"/>
    </row>
    <row r="7" spans="1:12" ht="15.75" thickBot="1">
      <c r="A7" s="14"/>
      <c r="B7" s="5" t="s">
        <v>44</v>
      </c>
      <c r="C7" s="5" t="s">
        <v>26</v>
      </c>
      <c r="D7" s="5">
        <v>1</v>
      </c>
      <c r="E7" s="94">
        <v>239</v>
      </c>
      <c r="F7" s="29">
        <f>D7/E7</f>
        <v>4.1841004184100415E-3</v>
      </c>
      <c r="G7" s="18">
        <v>1</v>
      </c>
      <c r="H7" s="6">
        <v>35000</v>
      </c>
      <c r="I7" s="81">
        <f t="shared" ref="I7:I9" si="0">F7*H7</f>
        <v>146.44351464435144</v>
      </c>
      <c r="J7" s="91">
        <f t="shared" ref="J7:J10" si="1">I7*E7</f>
        <v>34999.999999999993</v>
      </c>
      <c r="K7" s="91"/>
      <c r="L7" s="91"/>
    </row>
    <row r="8" spans="1:12" ht="15.75" thickBot="1">
      <c r="A8" s="14"/>
      <c r="B8" s="5" t="s">
        <v>56</v>
      </c>
      <c r="C8" s="5" t="s">
        <v>26</v>
      </c>
      <c r="D8" s="5">
        <v>1</v>
      </c>
      <c r="E8" s="94">
        <v>239</v>
      </c>
      <c r="F8" s="29">
        <f>D8/E8</f>
        <v>4.1841004184100415E-3</v>
      </c>
      <c r="G8" s="18">
        <v>1</v>
      </c>
      <c r="H8" s="6">
        <f>48776+34000</f>
        <v>82776</v>
      </c>
      <c r="I8" s="81">
        <f t="shared" ref="I8" si="2">F8*H8</f>
        <v>346.3430962343096</v>
      </c>
      <c r="J8" s="91">
        <f t="shared" si="1"/>
        <v>82776</v>
      </c>
      <c r="K8" s="91"/>
      <c r="L8" s="91"/>
    </row>
    <row r="9" spans="1:12">
      <c r="A9" s="14"/>
      <c r="B9" s="5" t="s">
        <v>45</v>
      </c>
      <c r="C9" s="5" t="s">
        <v>26</v>
      </c>
      <c r="D9" s="5">
        <v>1</v>
      </c>
      <c r="E9" s="94">
        <v>239</v>
      </c>
      <c r="F9" s="29">
        <f>D9/E9</f>
        <v>4.1841004184100415E-3</v>
      </c>
      <c r="G9" s="18">
        <v>1</v>
      </c>
      <c r="H9" s="6">
        <v>30000</v>
      </c>
      <c r="I9" s="81">
        <f t="shared" si="0"/>
        <v>125.52301255230124</v>
      </c>
      <c r="J9" s="91">
        <f t="shared" si="1"/>
        <v>29999.999999999996</v>
      </c>
      <c r="K9" s="91"/>
      <c r="L9" s="91"/>
    </row>
    <row r="10" spans="1:12" ht="15.75" thickBot="1">
      <c r="A10" s="15"/>
      <c r="B10" s="16"/>
      <c r="C10" s="16"/>
      <c r="D10" s="16"/>
      <c r="E10" s="95"/>
      <c r="F10" s="38"/>
      <c r="G10" s="39"/>
      <c r="H10" s="17"/>
      <c r="I10" s="82">
        <f>SUM(I6:I9)</f>
        <v>688.60251046025098</v>
      </c>
      <c r="J10" s="91">
        <f t="shared" si="1"/>
        <v>0</v>
      </c>
      <c r="K10" s="91"/>
      <c r="L10" s="91"/>
    </row>
    <row r="11" spans="1:12" ht="15.75" thickBot="1">
      <c r="A11" s="52"/>
      <c r="B11" s="53"/>
      <c r="C11" s="53"/>
      <c r="D11" s="53"/>
      <c r="E11" s="96"/>
      <c r="F11" s="54"/>
      <c r="G11" s="55" t="s">
        <v>48</v>
      </c>
      <c r="H11" s="56"/>
      <c r="I11" s="83">
        <f>I10-I12</f>
        <v>688.60251046025098</v>
      </c>
      <c r="J11" s="105">
        <f>I11*E6</f>
        <v>164575.99999999997</v>
      </c>
      <c r="K11" s="104">
        <f>264300+43116+5984-30300-7500-111024</f>
        <v>164576</v>
      </c>
      <c r="L11" s="104">
        <f>K11-J11</f>
        <v>0</v>
      </c>
    </row>
    <row r="12" spans="1:12" ht="15.75" thickBot="1">
      <c r="A12" s="47"/>
      <c r="B12" s="32"/>
      <c r="C12" s="32"/>
      <c r="D12" s="32"/>
      <c r="E12" s="97"/>
      <c r="F12" s="49"/>
      <c r="G12" s="50" t="s">
        <v>49</v>
      </c>
      <c r="H12" s="33"/>
      <c r="I12" s="84">
        <v>0</v>
      </c>
      <c r="J12" s="48">
        <f>I12*122</f>
        <v>0</v>
      </c>
    </row>
    <row r="13" spans="1:12">
      <c r="A13" s="11" t="s">
        <v>33</v>
      </c>
      <c r="B13" s="12" t="s">
        <v>21</v>
      </c>
      <c r="C13" s="12" t="s">
        <v>22</v>
      </c>
      <c r="D13" s="12">
        <v>80</v>
      </c>
      <c r="E13" s="94">
        <f>з.пл.!E7</f>
        <v>192</v>
      </c>
      <c r="F13" s="28">
        <f>D13/E13</f>
        <v>0.41666666666666669</v>
      </c>
      <c r="G13" s="19">
        <v>1</v>
      </c>
      <c r="H13" s="13">
        <v>250</v>
      </c>
      <c r="I13" s="80">
        <f>F13*H13</f>
        <v>104.16666666666667</v>
      </c>
      <c r="J13" s="91">
        <f>I13*E13</f>
        <v>20000</v>
      </c>
      <c r="K13" s="91"/>
      <c r="L13" s="91"/>
    </row>
    <row r="14" spans="1:12">
      <c r="A14" s="14"/>
      <c r="B14" s="5" t="s">
        <v>44</v>
      </c>
      <c r="C14" s="5" t="s">
        <v>26</v>
      </c>
      <c r="D14" s="5">
        <v>1</v>
      </c>
      <c r="E14" s="98">
        <f>E13</f>
        <v>192</v>
      </c>
      <c r="F14" s="29">
        <f>D14/E14</f>
        <v>5.208333333333333E-3</v>
      </c>
      <c r="G14" s="18">
        <v>1</v>
      </c>
      <c r="H14" s="6">
        <v>15000</v>
      </c>
      <c r="I14" s="81">
        <f t="shared" ref="I14:I17" si="3">F14*H14</f>
        <v>78.125</v>
      </c>
      <c r="J14" s="91">
        <f t="shared" ref="J14:J15" si="4">I14*E13</f>
        <v>15000</v>
      </c>
      <c r="K14" s="91"/>
      <c r="L14" s="91"/>
    </row>
    <row r="15" spans="1:12">
      <c r="A15" s="14"/>
      <c r="B15" s="5" t="s">
        <v>56</v>
      </c>
      <c r="C15" s="5" t="s">
        <v>26</v>
      </c>
      <c r="D15" s="5">
        <v>1</v>
      </c>
      <c r="E15" s="98">
        <f t="shared" ref="E15:E17" si="5">E14</f>
        <v>192</v>
      </c>
      <c r="F15" s="29">
        <f>D15/E15</f>
        <v>5.208333333333333E-3</v>
      </c>
      <c r="G15" s="18">
        <v>1</v>
      </c>
      <c r="H15" s="6">
        <v>20000</v>
      </c>
      <c r="I15" s="81">
        <f t="shared" si="3"/>
        <v>104.16666666666666</v>
      </c>
      <c r="J15" s="91">
        <f t="shared" si="4"/>
        <v>20000</v>
      </c>
      <c r="K15" s="91"/>
      <c r="L15" s="91"/>
    </row>
    <row r="16" spans="1:12">
      <c r="A16" s="14"/>
      <c r="B16" s="5" t="s">
        <v>52</v>
      </c>
      <c r="C16" s="5" t="s">
        <v>26</v>
      </c>
      <c r="D16" s="5">
        <v>1</v>
      </c>
      <c r="E16" s="98">
        <f t="shared" si="5"/>
        <v>192</v>
      </c>
      <c r="F16" s="29">
        <f>D16/E16</f>
        <v>5.208333333333333E-3</v>
      </c>
      <c r="G16" s="18">
        <v>1</v>
      </c>
      <c r="H16" s="6">
        <v>25000</v>
      </c>
      <c r="I16" s="81">
        <f t="shared" ref="I16" si="6">F16*H16</f>
        <v>130.20833333333331</v>
      </c>
      <c r="J16" s="91">
        <f>I16*E13</f>
        <v>24999.999999999996</v>
      </c>
      <c r="K16" s="91"/>
      <c r="L16" s="91"/>
    </row>
    <row r="17" spans="1:12">
      <c r="A17" s="14"/>
      <c r="B17" s="5" t="s">
        <v>45</v>
      </c>
      <c r="C17" s="5" t="s">
        <v>26</v>
      </c>
      <c r="D17" s="5">
        <v>1</v>
      </c>
      <c r="E17" s="98">
        <f t="shared" si="5"/>
        <v>192</v>
      </c>
      <c r="F17" s="29">
        <f>D17/E17</f>
        <v>5.208333333333333E-3</v>
      </c>
      <c r="G17" s="18">
        <v>1</v>
      </c>
      <c r="H17" s="6">
        <f>12857+62201.4</f>
        <v>75058.399999999994</v>
      </c>
      <c r="I17" s="81">
        <f t="shared" si="3"/>
        <v>390.92916666666662</v>
      </c>
      <c r="J17" s="91">
        <f>I17*E14</f>
        <v>75058.399999999994</v>
      </c>
      <c r="K17" s="91"/>
      <c r="L17" s="91"/>
    </row>
    <row r="18" spans="1:12" ht="15.75" thickBot="1">
      <c r="A18" s="15"/>
      <c r="B18" s="16"/>
      <c r="C18" s="16"/>
      <c r="D18" s="16"/>
      <c r="E18" s="95"/>
      <c r="F18" s="38"/>
      <c r="G18" s="39"/>
      <c r="H18" s="17"/>
      <c r="I18" s="82">
        <f>SUM(I13:I17)</f>
        <v>807.5958333333333</v>
      </c>
      <c r="J18" s="91">
        <f>I18*E17</f>
        <v>155058.4</v>
      </c>
      <c r="K18" s="91"/>
      <c r="L18" s="91"/>
    </row>
    <row r="19" spans="1:12" ht="15.75" thickBot="1">
      <c r="A19" s="52"/>
      <c r="B19" s="53"/>
      <c r="C19" s="53"/>
      <c r="D19" s="53"/>
      <c r="E19" s="96"/>
      <c r="F19" s="54"/>
      <c r="G19" s="55" t="s">
        <v>48</v>
      </c>
      <c r="H19" s="56"/>
      <c r="I19" s="83">
        <f>I18-I20</f>
        <v>807.5958333333333</v>
      </c>
      <c r="J19" s="105">
        <f>I19*E14</f>
        <v>155058.4</v>
      </c>
      <c r="K19" s="104">
        <f>286400+57016+5984-22118.4-22223.2-150000</f>
        <v>155058.39999999997</v>
      </c>
      <c r="L19" s="104">
        <f>K19-J19</f>
        <v>0</v>
      </c>
    </row>
    <row r="20" spans="1:12" ht="15.75" thickBot="1">
      <c r="A20" s="47"/>
      <c r="B20" s="32"/>
      <c r="C20" s="32"/>
      <c r="D20" s="32"/>
      <c r="E20" s="97"/>
      <c r="F20" s="49"/>
      <c r="G20" s="50" t="s">
        <v>49</v>
      </c>
      <c r="H20" s="33"/>
      <c r="I20" s="84">
        <v>0</v>
      </c>
      <c r="J20" s="48">
        <f>I20*240</f>
        <v>0</v>
      </c>
    </row>
    <row r="21" spans="1:12">
      <c r="A21" s="11" t="s">
        <v>34</v>
      </c>
      <c r="B21" s="12" t="s">
        <v>21</v>
      </c>
      <c r="C21" s="12" t="s">
        <v>22</v>
      </c>
      <c r="D21" s="12">
        <v>30</v>
      </c>
      <c r="E21" s="94">
        <f>з.пл.!E8</f>
        <v>214</v>
      </c>
      <c r="F21" s="28">
        <f>D21/E21</f>
        <v>0.14018691588785046</v>
      </c>
      <c r="G21" s="19">
        <v>1</v>
      </c>
      <c r="H21" s="13">
        <v>250</v>
      </c>
      <c r="I21" s="80">
        <f>F21*H21</f>
        <v>35.046728971962615</v>
      </c>
      <c r="J21" s="91">
        <f>I21*E21</f>
        <v>7500</v>
      </c>
      <c r="K21" s="91"/>
      <c r="L21" s="91"/>
    </row>
    <row r="22" spans="1:12">
      <c r="A22" s="14"/>
      <c r="B22" s="5" t="s">
        <v>44</v>
      </c>
      <c r="C22" s="5" t="s">
        <v>26</v>
      </c>
      <c r="D22" s="5">
        <v>1</v>
      </c>
      <c r="E22" s="98">
        <f>E21</f>
        <v>214</v>
      </c>
      <c r="F22" s="29">
        <f>D22/E22</f>
        <v>4.6728971962616819E-3</v>
      </c>
      <c r="G22" s="18">
        <v>1</v>
      </c>
      <c r="H22" s="6">
        <v>15000</v>
      </c>
      <c r="I22" s="81">
        <f t="shared" ref="I22:I24" si="7">F22*H22</f>
        <v>70.09345794392523</v>
      </c>
      <c r="J22" s="91">
        <f t="shared" ref="J22" si="8">I22*E21</f>
        <v>15000</v>
      </c>
      <c r="K22" s="91"/>
      <c r="L22" s="91"/>
    </row>
    <row r="23" spans="1:12">
      <c r="A23" s="14"/>
      <c r="B23" s="5" t="s">
        <v>56</v>
      </c>
      <c r="C23" s="5" t="s">
        <v>26</v>
      </c>
      <c r="D23" s="5">
        <v>1</v>
      </c>
      <c r="E23" s="98">
        <f t="shared" ref="E23:E24" si="9">E22</f>
        <v>214</v>
      </c>
      <c r="F23" s="29">
        <f>D23/E23</f>
        <v>4.6728971962616819E-3</v>
      </c>
      <c r="G23" s="18">
        <v>1</v>
      </c>
      <c r="H23" s="6">
        <f>39791+45199.91</f>
        <v>84990.91</v>
      </c>
      <c r="I23" s="81">
        <f t="shared" ref="I23" si="10">F23*H23</f>
        <v>397.15378504672896</v>
      </c>
      <c r="J23" s="91">
        <f>I23*E21</f>
        <v>84990.91</v>
      </c>
      <c r="K23" s="91"/>
      <c r="L23" s="91"/>
    </row>
    <row r="24" spans="1:12">
      <c r="A24" s="14"/>
      <c r="B24" s="5" t="s">
        <v>45</v>
      </c>
      <c r="C24" s="5" t="s">
        <v>26</v>
      </c>
      <c r="D24" s="5">
        <v>1</v>
      </c>
      <c r="E24" s="98">
        <f t="shared" si="9"/>
        <v>214</v>
      </c>
      <c r="F24" s="29">
        <f>D24/E24</f>
        <v>4.6728971962616819E-3</v>
      </c>
      <c r="G24" s="18">
        <v>1</v>
      </c>
      <c r="H24" s="6">
        <v>25255</v>
      </c>
      <c r="I24" s="81">
        <f t="shared" si="7"/>
        <v>118.01401869158877</v>
      </c>
      <c r="J24" s="91">
        <f>I24*E22</f>
        <v>25254.999999999996</v>
      </c>
      <c r="K24" s="91"/>
      <c r="L24" s="91"/>
    </row>
    <row r="25" spans="1:12" ht="15.75" thickBot="1">
      <c r="A25" s="15"/>
      <c r="B25" s="16"/>
      <c r="C25" s="16"/>
      <c r="D25" s="16"/>
      <c r="E25" s="95"/>
      <c r="F25" s="38"/>
      <c r="G25" s="39"/>
      <c r="H25" s="17"/>
      <c r="I25" s="82">
        <f>SUM(I21:I24)</f>
        <v>620.30799065420558</v>
      </c>
      <c r="J25" s="91">
        <f>I25*E24</f>
        <v>132745.91</v>
      </c>
      <c r="K25" s="91"/>
      <c r="L25" s="91"/>
    </row>
    <row r="26" spans="1:12" ht="15.75" thickBot="1">
      <c r="A26" s="52"/>
      <c r="B26" s="53"/>
      <c r="C26" s="53"/>
      <c r="D26" s="53"/>
      <c r="E26" s="96"/>
      <c r="F26" s="54"/>
      <c r="G26" s="55" t="s">
        <v>48</v>
      </c>
      <c r="H26" s="56"/>
      <c r="I26" s="83">
        <f>I25-I27</f>
        <v>620.30799065420558</v>
      </c>
      <c r="J26" s="105">
        <f>I26*E21</f>
        <v>132745.91</v>
      </c>
      <c r="K26" s="104">
        <f>216800+42716+5984-25740.09-5381-101633</f>
        <v>132745.91</v>
      </c>
      <c r="L26" s="104">
        <f>K26-J26</f>
        <v>0</v>
      </c>
    </row>
    <row r="27" spans="1:12" ht="15.75" thickBot="1">
      <c r="A27" s="47"/>
      <c r="B27" s="32"/>
      <c r="C27" s="32"/>
      <c r="D27" s="32"/>
      <c r="E27" s="97"/>
      <c r="F27" s="49"/>
      <c r="G27" s="50" t="s">
        <v>49</v>
      </c>
      <c r="H27" s="33"/>
      <c r="I27" s="84">
        <v>0</v>
      </c>
      <c r="J27" s="48">
        <f>I27*123</f>
        <v>0</v>
      </c>
    </row>
    <row r="28" spans="1:12">
      <c r="A28" s="11" t="s">
        <v>35</v>
      </c>
      <c r="B28" s="12" t="s">
        <v>21</v>
      </c>
      <c r="C28" s="12" t="s">
        <v>22</v>
      </c>
      <c r="D28" s="12">
        <v>40</v>
      </c>
      <c r="E28" s="94">
        <f>з.пл.!E9</f>
        <v>152</v>
      </c>
      <c r="F28" s="28">
        <f>D28/E28</f>
        <v>0.26315789473684209</v>
      </c>
      <c r="G28" s="19">
        <v>1</v>
      </c>
      <c r="H28" s="13">
        <v>250</v>
      </c>
      <c r="I28" s="80">
        <f>F28*H28</f>
        <v>65.78947368421052</v>
      </c>
      <c r="J28" s="91">
        <f>I28*E28</f>
        <v>10000</v>
      </c>
      <c r="K28" s="91"/>
      <c r="L28" s="91"/>
    </row>
    <row r="29" spans="1:12">
      <c r="A29" s="14"/>
      <c r="B29" s="5" t="s">
        <v>44</v>
      </c>
      <c r="C29" s="5" t="s">
        <v>26</v>
      </c>
      <c r="D29" s="5">
        <v>1</v>
      </c>
      <c r="E29" s="98">
        <f>E28</f>
        <v>152</v>
      </c>
      <c r="F29" s="29">
        <f>D29/E29</f>
        <v>6.5789473684210523E-3</v>
      </c>
      <c r="G29" s="18">
        <v>1</v>
      </c>
      <c r="H29" s="6">
        <v>10000</v>
      </c>
      <c r="I29" s="81">
        <f t="shared" ref="I29:I31" si="11">F29*H29</f>
        <v>65.78947368421052</v>
      </c>
      <c r="J29" s="91">
        <f t="shared" ref="J29" si="12">I29*E28</f>
        <v>10000</v>
      </c>
      <c r="K29" s="91"/>
      <c r="L29" s="91"/>
    </row>
    <row r="30" spans="1:12">
      <c r="A30" s="14"/>
      <c r="B30" s="5" t="s">
        <v>56</v>
      </c>
      <c r="C30" s="5" t="s">
        <v>26</v>
      </c>
      <c r="D30" s="5">
        <v>1</v>
      </c>
      <c r="E30" s="98">
        <f t="shared" ref="E30:E31" si="13">E29</f>
        <v>152</v>
      </c>
      <c r="F30" s="29">
        <f>D30/E30</f>
        <v>6.5789473684210523E-3</v>
      </c>
      <c r="G30" s="18">
        <v>1</v>
      </c>
      <c r="H30" s="6">
        <f>15660+34800</f>
        <v>50460</v>
      </c>
      <c r="I30" s="81">
        <f t="shared" ref="I30" si="14">F30*H30</f>
        <v>331.9736842105263</v>
      </c>
      <c r="J30" s="91">
        <f>I30*E28</f>
        <v>50460</v>
      </c>
      <c r="K30" s="91"/>
      <c r="L30" s="91"/>
    </row>
    <row r="31" spans="1:12">
      <c r="A31" s="14"/>
      <c r="B31" s="5" t="s">
        <v>45</v>
      </c>
      <c r="C31" s="5" t="s">
        <v>26</v>
      </c>
      <c r="D31" s="5">
        <v>1</v>
      </c>
      <c r="E31" s="98">
        <f t="shared" si="13"/>
        <v>152</v>
      </c>
      <c r="F31" s="29">
        <f>D31/E31</f>
        <v>6.5789473684210523E-3</v>
      </c>
      <c r="G31" s="18">
        <v>1</v>
      </c>
      <c r="H31" s="6">
        <v>15000</v>
      </c>
      <c r="I31" s="81">
        <f t="shared" si="11"/>
        <v>98.68421052631578</v>
      </c>
      <c r="J31" s="91">
        <f>I31*E29</f>
        <v>14999.999999999998</v>
      </c>
      <c r="K31" s="91"/>
      <c r="L31" s="91"/>
    </row>
    <row r="32" spans="1:12" ht="15.75" thickBot="1">
      <c r="A32" s="15"/>
      <c r="B32" s="16"/>
      <c r="C32" s="16"/>
      <c r="D32" s="16"/>
      <c r="E32" s="95"/>
      <c r="F32" s="38"/>
      <c r="G32" s="39"/>
      <c r="H32" s="17"/>
      <c r="I32" s="82">
        <f>SUM(I28:I31)</f>
        <v>562.23684210526312</v>
      </c>
      <c r="J32" s="91">
        <f>I32*E31</f>
        <v>85460</v>
      </c>
      <c r="K32" s="91"/>
      <c r="L32" s="91"/>
    </row>
    <row r="33" spans="1:12" ht="15.75" thickBot="1">
      <c r="A33" s="52"/>
      <c r="B33" s="53"/>
      <c r="C33" s="53"/>
      <c r="D33" s="53"/>
      <c r="E33" s="96"/>
      <c r="F33" s="54"/>
      <c r="G33" s="55" t="s">
        <v>48</v>
      </c>
      <c r="H33" s="56"/>
      <c r="I33" s="83">
        <f>I32-I34</f>
        <v>562.23684210526312</v>
      </c>
      <c r="J33" s="105">
        <f>I33*E28</f>
        <v>85460</v>
      </c>
      <c r="K33" s="104">
        <f>170400+30016+5984-30000-11000-79940</f>
        <v>85460</v>
      </c>
      <c r="L33" s="104">
        <f>K33-J33</f>
        <v>0</v>
      </c>
    </row>
    <row r="34" spans="1:12" ht="15.75" thickBot="1">
      <c r="A34" s="47"/>
      <c r="B34" s="32"/>
      <c r="C34" s="32"/>
      <c r="D34" s="32"/>
      <c r="E34" s="97"/>
      <c r="F34" s="49"/>
      <c r="G34" s="50" t="s">
        <v>49</v>
      </c>
      <c r="H34" s="33"/>
      <c r="I34" s="84">
        <v>0</v>
      </c>
      <c r="J34" s="48">
        <f>I34*140</f>
        <v>0</v>
      </c>
    </row>
    <row r="35" spans="1:12">
      <c r="A35" s="14" t="s">
        <v>59</v>
      </c>
      <c r="B35" s="12" t="s">
        <v>21</v>
      </c>
      <c r="C35" s="12" t="s">
        <v>22</v>
      </c>
      <c r="D35" s="12">
        <v>40</v>
      </c>
      <c r="E35" s="94">
        <f>з.пл.!E10</f>
        <v>35</v>
      </c>
      <c r="F35" s="28">
        <f>D35/E35</f>
        <v>1.1428571428571428</v>
      </c>
      <c r="G35" s="19">
        <v>1</v>
      </c>
      <c r="H35" s="13">
        <v>250</v>
      </c>
      <c r="I35" s="80">
        <f>F35*H35</f>
        <v>285.71428571428572</v>
      </c>
      <c r="J35" s="91">
        <f>I35*E35</f>
        <v>10000</v>
      </c>
      <c r="K35" s="91"/>
      <c r="L35" s="91"/>
    </row>
    <row r="36" spans="1:12">
      <c r="A36" s="14"/>
      <c r="B36" s="5" t="s">
        <v>56</v>
      </c>
      <c r="C36" s="5" t="s">
        <v>26</v>
      </c>
      <c r="D36" s="5">
        <v>1</v>
      </c>
      <c r="E36" s="98">
        <f>E35</f>
        <v>35</v>
      </c>
      <c r="F36" s="29">
        <f>D36/E36</f>
        <v>2.8571428571428571E-2</v>
      </c>
      <c r="G36" s="18">
        <v>1</v>
      </c>
      <c r="H36" s="6"/>
      <c r="I36" s="81">
        <f t="shared" ref="I36:I38" si="15">F36*H36</f>
        <v>0</v>
      </c>
      <c r="J36" s="91">
        <f t="shared" ref="J36:J38" si="16">I36*E35</f>
        <v>0</v>
      </c>
      <c r="K36" s="91"/>
      <c r="L36" s="91"/>
    </row>
    <row r="37" spans="1:12">
      <c r="A37" s="14"/>
      <c r="B37" s="5" t="s">
        <v>44</v>
      </c>
      <c r="C37" s="5" t="s">
        <v>26</v>
      </c>
      <c r="D37" s="5">
        <v>1</v>
      </c>
      <c r="E37" s="98">
        <f>E36</f>
        <v>35</v>
      </c>
      <c r="F37" s="29">
        <f>D37/E37</f>
        <v>2.8571428571428571E-2</v>
      </c>
      <c r="G37" s="18">
        <v>1</v>
      </c>
      <c r="H37" s="6">
        <v>5000</v>
      </c>
      <c r="I37" s="81">
        <f t="shared" si="15"/>
        <v>142.85714285714286</v>
      </c>
      <c r="J37" s="91">
        <f t="shared" si="16"/>
        <v>5000</v>
      </c>
      <c r="K37" s="91"/>
      <c r="L37" s="91"/>
    </row>
    <row r="38" spans="1:12">
      <c r="A38" s="14"/>
      <c r="B38" s="5" t="s">
        <v>45</v>
      </c>
      <c r="C38" s="5" t="s">
        <v>26</v>
      </c>
      <c r="D38" s="5">
        <v>1</v>
      </c>
      <c r="E38" s="98">
        <f>E36</f>
        <v>35</v>
      </c>
      <c r="F38" s="29">
        <f>D38/E38</f>
        <v>2.8571428571428571E-2</v>
      </c>
      <c r="G38" s="18">
        <v>1</v>
      </c>
      <c r="H38" s="6">
        <v>5288</v>
      </c>
      <c r="I38" s="81">
        <f t="shared" si="15"/>
        <v>151.08571428571429</v>
      </c>
      <c r="J38" s="91">
        <f t="shared" si="16"/>
        <v>5288</v>
      </c>
      <c r="K38" s="91"/>
      <c r="L38" s="91"/>
    </row>
    <row r="39" spans="1:12" ht="15.75" thickBot="1">
      <c r="A39" s="15"/>
      <c r="B39" s="16"/>
      <c r="C39" s="16"/>
      <c r="D39" s="16"/>
      <c r="E39" s="95"/>
      <c r="F39" s="38"/>
      <c r="G39" s="39"/>
      <c r="H39" s="17"/>
      <c r="I39" s="82">
        <f>SUM(I35:I38)</f>
        <v>579.65714285714284</v>
      </c>
      <c r="J39" s="91">
        <f>I39*E38</f>
        <v>20288</v>
      </c>
      <c r="K39" s="91"/>
      <c r="L39" s="91"/>
    </row>
    <row r="40" spans="1:12" ht="15.75" thickBot="1">
      <c r="A40" s="52"/>
      <c r="B40" s="53"/>
      <c r="C40" s="53"/>
      <c r="D40" s="53"/>
      <c r="E40" s="96"/>
      <c r="F40" s="54"/>
      <c r="G40" s="55" t="s">
        <v>48</v>
      </c>
      <c r="H40" s="56"/>
      <c r="I40" s="83">
        <f>I39-I41</f>
        <v>579.65714285714284</v>
      </c>
      <c r="J40" s="91">
        <f>I40*E36</f>
        <v>20288</v>
      </c>
      <c r="K40" s="104">
        <f>34800-19512+5000</f>
        <v>20288</v>
      </c>
      <c r="L40" s="104">
        <f>K40-J40</f>
        <v>0</v>
      </c>
    </row>
    <row r="41" spans="1:12" ht="15.75" thickBot="1">
      <c r="A41" s="47"/>
      <c r="B41" s="32"/>
      <c r="C41" s="32"/>
      <c r="D41" s="32"/>
      <c r="E41" s="97"/>
      <c r="F41" s="49"/>
      <c r="G41" s="50" t="s">
        <v>49</v>
      </c>
      <c r="H41" s="33"/>
      <c r="I41" s="84">
        <v>0</v>
      </c>
      <c r="J41" s="48">
        <f>I41*123</f>
        <v>0</v>
      </c>
    </row>
    <row r="42" spans="1:12">
      <c r="A42" s="11" t="s">
        <v>39</v>
      </c>
      <c r="B42" s="12" t="s">
        <v>21</v>
      </c>
      <c r="C42" s="12" t="s">
        <v>22</v>
      </c>
      <c r="D42" s="12">
        <v>40</v>
      </c>
      <c r="E42" s="94">
        <f>з.пл.!E11</f>
        <v>212</v>
      </c>
      <c r="F42" s="28">
        <f>D42/E42</f>
        <v>0.18867924528301888</v>
      </c>
      <c r="G42" s="19">
        <v>1</v>
      </c>
      <c r="H42" s="13">
        <v>250</v>
      </c>
      <c r="I42" s="80">
        <f>F42*H42</f>
        <v>47.169811320754718</v>
      </c>
      <c r="J42" s="91">
        <f>I42*E42</f>
        <v>10000</v>
      </c>
      <c r="K42" s="91"/>
      <c r="L42" s="91"/>
    </row>
    <row r="43" spans="1:12">
      <c r="A43" s="14"/>
      <c r="B43" s="5" t="s">
        <v>44</v>
      </c>
      <c r="C43" s="5" t="s">
        <v>26</v>
      </c>
      <c r="D43" s="5">
        <v>1</v>
      </c>
      <c r="E43" s="98">
        <f>E42</f>
        <v>212</v>
      </c>
      <c r="F43" s="29">
        <f>D43/E43</f>
        <v>4.7169811320754715E-3</v>
      </c>
      <c r="G43" s="18">
        <v>1</v>
      </c>
      <c r="H43" s="6">
        <v>5000</v>
      </c>
      <c r="I43" s="81">
        <f t="shared" ref="I43:I45" si="17">F43*H43</f>
        <v>23.584905660377359</v>
      </c>
      <c r="J43" s="91">
        <f t="shared" ref="J43" si="18">I43*E42</f>
        <v>5000</v>
      </c>
      <c r="K43" s="91"/>
      <c r="L43" s="91"/>
    </row>
    <row r="44" spans="1:12">
      <c r="A44" s="14"/>
      <c r="B44" s="5" t="s">
        <v>56</v>
      </c>
      <c r="C44" s="5" t="s">
        <v>26</v>
      </c>
      <c r="D44" s="5">
        <v>1</v>
      </c>
      <c r="E44" s="98">
        <f t="shared" ref="E44:E45" si="19">E43</f>
        <v>212</v>
      </c>
      <c r="F44" s="29">
        <f>D44/E44</f>
        <v>4.7169811320754715E-3</v>
      </c>
      <c r="G44" s="18">
        <v>1</v>
      </c>
      <c r="H44" s="6">
        <v>10040</v>
      </c>
      <c r="I44" s="81">
        <f t="shared" ref="I44" si="20">F44*H44</f>
        <v>47.358490566037737</v>
      </c>
      <c r="J44" s="91">
        <f>I44*E42</f>
        <v>10040</v>
      </c>
      <c r="K44" s="91"/>
      <c r="L44" s="91"/>
    </row>
    <row r="45" spans="1:12">
      <c r="A45" s="14"/>
      <c r="B45" s="5" t="s">
        <v>45</v>
      </c>
      <c r="C45" s="5" t="s">
        <v>26</v>
      </c>
      <c r="D45" s="5">
        <v>1</v>
      </c>
      <c r="E45" s="98">
        <f t="shared" si="19"/>
        <v>212</v>
      </c>
      <c r="F45" s="29">
        <f>D45/E45</f>
        <v>4.7169811320754715E-3</v>
      </c>
      <c r="G45" s="18">
        <v>1</v>
      </c>
      <c r="H45" s="6">
        <f>6100+33917.54</f>
        <v>40017.54</v>
      </c>
      <c r="I45" s="81">
        <f t="shared" si="17"/>
        <v>188.76198113207548</v>
      </c>
      <c r="J45" s="91">
        <f>I45*E43</f>
        <v>40017.54</v>
      </c>
      <c r="K45" s="91"/>
      <c r="L45" s="91"/>
    </row>
    <row r="46" spans="1:12" ht="15.75" thickBot="1">
      <c r="A46" s="15"/>
      <c r="B46" s="16"/>
      <c r="C46" s="16"/>
      <c r="D46" s="16"/>
      <c r="E46" s="95"/>
      <c r="F46" s="38"/>
      <c r="G46" s="39"/>
      <c r="H46" s="17"/>
      <c r="I46" s="82">
        <f>SUM(I42:I45)</f>
        <v>306.8751886792453</v>
      </c>
      <c r="J46" s="91">
        <f>I46*E45</f>
        <v>65057.54</v>
      </c>
      <c r="K46" s="91"/>
      <c r="L46" s="91"/>
    </row>
    <row r="47" spans="1:12" ht="15.75" thickBot="1">
      <c r="A47" s="52"/>
      <c r="B47" s="53"/>
      <c r="C47" s="53"/>
      <c r="D47" s="53"/>
      <c r="E47" s="96"/>
      <c r="F47" s="54"/>
      <c r="G47" s="55" t="s">
        <v>48</v>
      </c>
      <c r="H47" s="56"/>
      <c r="I47" s="83">
        <f>I46-I48</f>
        <v>306.8751886792453</v>
      </c>
      <c r="J47" s="105">
        <f>I47*E42</f>
        <v>65057.54</v>
      </c>
      <c r="K47" s="104">
        <f>255100+33016+5984-24082.46-8000-196960</f>
        <v>65057.539999999979</v>
      </c>
      <c r="L47" s="104">
        <f>K47-J47</f>
        <v>0</v>
      </c>
    </row>
    <row r="48" spans="1:12" ht="15.75" thickBot="1">
      <c r="A48" s="47"/>
      <c r="B48" s="32"/>
      <c r="C48" s="32"/>
      <c r="D48" s="32"/>
      <c r="E48" s="97"/>
      <c r="F48" s="49"/>
      <c r="G48" s="50" t="s">
        <v>49</v>
      </c>
      <c r="H48" s="33"/>
      <c r="I48" s="84">
        <v>0</v>
      </c>
      <c r="J48" s="48">
        <f>I48*220</f>
        <v>0</v>
      </c>
    </row>
    <row r="49" spans="1:12">
      <c r="A49" s="11" t="s">
        <v>40</v>
      </c>
      <c r="B49" s="12" t="s">
        <v>21</v>
      </c>
      <c r="C49" s="12" t="s">
        <v>22</v>
      </c>
      <c r="D49" s="12">
        <v>80</v>
      </c>
      <c r="E49" s="94">
        <f>з.пл.!E12</f>
        <v>252</v>
      </c>
      <c r="F49" s="28">
        <f>D49/E49</f>
        <v>0.31746031746031744</v>
      </c>
      <c r="G49" s="19">
        <v>1</v>
      </c>
      <c r="H49" s="13">
        <v>250</v>
      </c>
      <c r="I49" s="80">
        <f>F49*H49</f>
        <v>79.365079365079367</v>
      </c>
      <c r="J49" s="91">
        <f>I49*E49</f>
        <v>20000</v>
      </c>
      <c r="K49" s="91"/>
      <c r="L49" s="91"/>
    </row>
    <row r="50" spans="1:12">
      <c r="A50" s="14"/>
      <c r="B50" s="5" t="s">
        <v>44</v>
      </c>
      <c r="C50" s="5" t="s">
        <v>26</v>
      </c>
      <c r="D50" s="5">
        <v>1</v>
      </c>
      <c r="E50" s="98">
        <f>E49</f>
        <v>252</v>
      </c>
      <c r="F50" s="29">
        <f>D50/E50</f>
        <v>3.968253968253968E-3</v>
      </c>
      <c r="G50" s="18">
        <v>1</v>
      </c>
      <c r="H50" s="6">
        <v>25000</v>
      </c>
      <c r="I50" s="81">
        <f t="shared" ref="I50:I52" si="21">F50*H50</f>
        <v>99.206349206349202</v>
      </c>
      <c r="J50" s="91">
        <f t="shared" ref="J50" si="22">I50*E49</f>
        <v>25000</v>
      </c>
      <c r="K50" s="91"/>
      <c r="L50" s="91"/>
    </row>
    <row r="51" spans="1:12">
      <c r="A51" s="14"/>
      <c r="B51" s="5" t="s">
        <v>56</v>
      </c>
      <c r="C51" s="5" t="s">
        <v>26</v>
      </c>
      <c r="D51" s="5">
        <v>1</v>
      </c>
      <c r="E51" s="98">
        <f t="shared" ref="E51:E52" si="23">E50</f>
        <v>252</v>
      </c>
      <c r="F51" s="29">
        <f>D51/E51</f>
        <v>3.968253968253968E-3</v>
      </c>
      <c r="G51" s="18">
        <v>1</v>
      </c>
      <c r="H51" s="6">
        <v>36000</v>
      </c>
      <c r="I51" s="81">
        <f t="shared" ref="I51" si="24">F51*H51</f>
        <v>142.85714285714286</v>
      </c>
      <c r="J51" s="91">
        <f>I51*E49</f>
        <v>36000</v>
      </c>
      <c r="K51" s="91"/>
      <c r="L51" s="91"/>
    </row>
    <row r="52" spans="1:12">
      <c r="A52" s="14"/>
      <c r="B52" s="5" t="s">
        <v>45</v>
      </c>
      <c r="C52" s="5" t="s">
        <v>26</v>
      </c>
      <c r="D52" s="5">
        <v>1</v>
      </c>
      <c r="E52" s="98">
        <f t="shared" si="23"/>
        <v>252</v>
      </c>
      <c r="F52" s="29">
        <f>D52/E52</f>
        <v>3.968253968253968E-3</v>
      </c>
      <c r="G52" s="18">
        <v>1</v>
      </c>
      <c r="H52" s="6">
        <f>15000+63005.32-100</f>
        <v>77905.320000000007</v>
      </c>
      <c r="I52" s="81">
        <f t="shared" si="21"/>
        <v>309.14809523809527</v>
      </c>
      <c r="J52" s="91">
        <f>I52*E50</f>
        <v>77905.320000000007</v>
      </c>
      <c r="K52" s="91"/>
      <c r="L52" s="91"/>
    </row>
    <row r="53" spans="1:12" ht="15.75" thickBot="1">
      <c r="A53" s="15"/>
      <c r="B53" s="16"/>
      <c r="C53" s="16"/>
      <c r="D53" s="16"/>
      <c r="E53" s="95"/>
      <c r="F53" s="38"/>
      <c r="G53" s="39"/>
      <c r="H53" s="17"/>
      <c r="I53" s="82">
        <f>SUM(I49:I52)</f>
        <v>630.57666666666671</v>
      </c>
      <c r="J53" s="91">
        <f>I53*E52</f>
        <v>158905.32</v>
      </c>
      <c r="K53" s="91"/>
      <c r="L53" s="91"/>
    </row>
    <row r="54" spans="1:12" ht="15.75" thickBot="1">
      <c r="A54" s="52"/>
      <c r="B54" s="53"/>
      <c r="C54" s="53"/>
      <c r="D54" s="53"/>
      <c r="E54" s="96"/>
      <c r="F54" s="54"/>
      <c r="G54" s="55" t="s">
        <v>48</v>
      </c>
      <c r="H54" s="56"/>
      <c r="I54" s="83">
        <f>I53-I55</f>
        <v>630.57666666666671</v>
      </c>
      <c r="J54" s="105">
        <f>I54*E49</f>
        <v>158905.32</v>
      </c>
      <c r="K54" s="104">
        <f>296800+55516+5984-32194.68-26600-140600</f>
        <v>158905.32</v>
      </c>
      <c r="L54" s="104">
        <f>K54-J54</f>
        <v>0</v>
      </c>
    </row>
    <row r="55" spans="1:12" ht="15.75" thickBot="1">
      <c r="A55" s="47"/>
      <c r="B55" s="32"/>
      <c r="C55" s="32"/>
      <c r="D55" s="32"/>
      <c r="E55" s="97"/>
      <c r="F55" s="49"/>
      <c r="G55" s="50" t="s">
        <v>49</v>
      </c>
      <c r="H55" s="33"/>
      <c r="I55" s="84">
        <v>0</v>
      </c>
      <c r="J55" s="48">
        <f>I55*250</f>
        <v>0</v>
      </c>
    </row>
    <row r="56" spans="1:12">
      <c r="A56" s="11" t="s">
        <v>57</v>
      </c>
      <c r="B56" s="12" t="s">
        <v>21</v>
      </c>
      <c r="C56" s="12" t="s">
        <v>22</v>
      </c>
      <c r="D56" s="12">
        <v>40</v>
      </c>
      <c r="E56" s="94">
        <f>з.пл.!E13</f>
        <v>130</v>
      </c>
      <c r="F56" s="28">
        <f>D56/E56</f>
        <v>0.30769230769230771</v>
      </c>
      <c r="G56" s="19">
        <v>1</v>
      </c>
      <c r="H56" s="13">
        <v>250</v>
      </c>
      <c r="I56" s="80">
        <f>F56*H56</f>
        <v>76.923076923076934</v>
      </c>
      <c r="J56" s="91">
        <f>I56*E56</f>
        <v>10000.000000000002</v>
      </c>
      <c r="K56" s="91"/>
      <c r="L56" s="91"/>
    </row>
    <row r="57" spans="1:12">
      <c r="A57" s="14"/>
      <c r="B57" s="5" t="s">
        <v>44</v>
      </c>
      <c r="C57" s="5" t="s">
        <v>26</v>
      </c>
      <c r="D57" s="5">
        <v>1</v>
      </c>
      <c r="E57" s="98">
        <f>E56</f>
        <v>130</v>
      </c>
      <c r="F57" s="29">
        <f>D57/E57</f>
        <v>7.6923076923076927E-3</v>
      </c>
      <c r="G57" s="18">
        <v>1</v>
      </c>
      <c r="H57" s="6">
        <v>10000</v>
      </c>
      <c r="I57" s="81">
        <f t="shared" ref="I57:I59" si="25">F57*H57</f>
        <v>76.923076923076934</v>
      </c>
      <c r="J57" s="91">
        <f t="shared" ref="J57" si="26">I57*E56</f>
        <v>10000.000000000002</v>
      </c>
      <c r="K57" s="91"/>
      <c r="L57" s="91"/>
    </row>
    <row r="58" spans="1:12">
      <c r="A58" s="14"/>
      <c r="B58" s="5" t="s">
        <v>56</v>
      </c>
      <c r="C58" s="5" t="s">
        <v>26</v>
      </c>
      <c r="D58" s="5">
        <v>1</v>
      </c>
      <c r="E58" s="98">
        <f t="shared" ref="E58:E59" si="27">E57</f>
        <v>130</v>
      </c>
      <c r="F58" s="29">
        <f>D58/E58</f>
        <v>7.6923076923076927E-3</v>
      </c>
      <c r="G58" s="18">
        <v>1</v>
      </c>
      <c r="H58" s="6">
        <f>12210+28240-25740.09</f>
        <v>14709.91</v>
      </c>
      <c r="I58" s="81">
        <f t="shared" ref="I58" si="28">F58*H58</f>
        <v>113.15315384615386</v>
      </c>
      <c r="J58" s="91">
        <f>I58*E56</f>
        <v>14709.910000000002</v>
      </c>
      <c r="K58" s="91"/>
      <c r="L58" s="91"/>
    </row>
    <row r="59" spans="1:12">
      <c r="A59" s="14"/>
      <c r="B59" s="5" t="s">
        <v>45</v>
      </c>
      <c r="C59" s="5" t="s">
        <v>26</v>
      </c>
      <c r="D59" s="5">
        <v>1</v>
      </c>
      <c r="E59" s="98">
        <f t="shared" si="27"/>
        <v>130</v>
      </c>
      <c r="F59" s="29">
        <f>D59/E59</f>
        <v>7.6923076923076927E-3</v>
      </c>
      <c r="G59" s="18">
        <v>1</v>
      </c>
      <c r="H59" s="6">
        <v>15000</v>
      </c>
      <c r="I59" s="81">
        <f t="shared" si="25"/>
        <v>115.38461538461539</v>
      </c>
      <c r="J59" s="91">
        <f>I59*E57</f>
        <v>15000</v>
      </c>
      <c r="K59" s="91"/>
      <c r="L59" s="91"/>
    </row>
    <row r="60" spans="1:12" ht="15.75" thickBot="1">
      <c r="A60" s="15"/>
      <c r="B60" s="16"/>
      <c r="C60" s="16"/>
      <c r="D60" s="16"/>
      <c r="E60" s="95"/>
      <c r="F60" s="38"/>
      <c r="G60" s="39"/>
      <c r="H60" s="17"/>
      <c r="I60" s="82">
        <f>SUM(I56:I59)</f>
        <v>382.38392307692311</v>
      </c>
      <c r="J60" s="91">
        <f>I60*E59</f>
        <v>49709.91</v>
      </c>
      <c r="K60" s="91"/>
      <c r="L60" s="91"/>
    </row>
    <row r="61" spans="1:12" ht="15.75" thickBot="1">
      <c r="A61" s="52"/>
      <c r="B61" s="53"/>
      <c r="C61" s="53"/>
      <c r="D61" s="53"/>
      <c r="E61" s="96"/>
      <c r="F61" s="54"/>
      <c r="G61" s="55" t="s">
        <v>48</v>
      </c>
      <c r="H61" s="56"/>
      <c r="I61" s="83">
        <f>I60-I62</f>
        <v>382.38392307692311</v>
      </c>
      <c r="J61" s="105">
        <f>I61*E56</f>
        <v>49709.91</v>
      </c>
      <c r="K61" s="104">
        <f>121700+22000-68250-25740.09</f>
        <v>49709.91</v>
      </c>
      <c r="L61" s="104">
        <f>K61-J61</f>
        <v>0</v>
      </c>
    </row>
    <row r="62" spans="1:12" ht="15.75" thickBot="1">
      <c r="A62" s="47"/>
      <c r="B62" s="32"/>
      <c r="C62" s="32"/>
      <c r="D62" s="32"/>
      <c r="E62" s="97"/>
      <c r="F62" s="49"/>
      <c r="G62" s="50" t="s">
        <v>49</v>
      </c>
      <c r="H62" s="33"/>
      <c r="I62" s="84">
        <v>0</v>
      </c>
      <c r="J62" s="48">
        <f>I62*131</f>
        <v>0</v>
      </c>
    </row>
    <row r="63" spans="1:12">
      <c r="A63" s="11" t="s">
        <v>41</v>
      </c>
      <c r="B63" s="12" t="s">
        <v>21</v>
      </c>
      <c r="C63" s="12" t="s">
        <v>22</v>
      </c>
      <c r="D63" s="12">
        <v>40</v>
      </c>
      <c r="E63" s="94">
        <f>з.пл.!E14</f>
        <v>125</v>
      </c>
      <c r="F63" s="28">
        <f>D63/E63</f>
        <v>0.32</v>
      </c>
      <c r="G63" s="19">
        <v>1</v>
      </c>
      <c r="H63" s="13">
        <v>250</v>
      </c>
      <c r="I63" s="80">
        <f>F63*H63</f>
        <v>80</v>
      </c>
      <c r="J63" s="91">
        <f>I63*E63</f>
        <v>10000</v>
      </c>
      <c r="K63" s="91"/>
      <c r="L63" s="91"/>
    </row>
    <row r="64" spans="1:12">
      <c r="A64" s="14"/>
      <c r="B64" s="5" t="s">
        <v>44</v>
      </c>
      <c r="C64" s="5" t="s">
        <v>26</v>
      </c>
      <c r="D64" s="5">
        <v>1</v>
      </c>
      <c r="E64" s="98">
        <f>E63</f>
        <v>125</v>
      </c>
      <c r="F64" s="29">
        <f>D64/E64</f>
        <v>8.0000000000000002E-3</v>
      </c>
      <c r="G64" s="18">
        <v>1</v>
      </c>
      <c r="H64" s="6">
        <v>5000</v>
      </c>
      <c r="I64" s="81">
        <f t="shared" ref="I64:I66" si="29">F64*H64</f>
        <v>40</v>
      </c>
      <c r="J64" s="91">
        <f t="shared" ref="J64" si="30">I64*E63</f>
        <v>5000</v>
      </c>
      <c r="K64" s="91"/>
      <c r="L64" s="91"/>
    </row>
    <row r="65" spans="1:12">
      <c r="A65" s="14"/>
      <c r="B65" s="5" t="s">
        <v>56</v>
      </c>
      <c r="C65" s="5" t="s">
        <v>26</v>
      </c>
      <c r="D65" s="5">
        <v>1</v>
      </c>
      <c r="E65" s="98">
        <f t="shared" ref="E65:E66" si="31">E64</f>
        <v>125</v>
      </c>
      <c r="F65" s="29">
        <f>D65/E65</f>
        <v>8.0000000000000002E-3</v>
      </c>
      <c r="G65" s="18">
        <v>1</v>
      </c>
      <c r="H65" s="6">
        <f>6584+35900</f>
        <v>42484</v>
      </c>
      <c r="I65" s="81">
        <f t="shared" ref="I65" si="32">F65*H65</f>
        <v>339.87200000000001</v>
      </c>
      <c r="J65" s="91">
        <f>I65*E63</f>
        <v>42484</v>
      </c>
      <c r="K65" s="91"/>
      <c r="L65" s="91"/>
    </row>
    <row r="66" spans="1:12">
      <c r="A66" s="14"/>
      <c r="B66" s="5" t="s">
        <v>45</v>
      </c>
      <c r="C66" s="5" t="s">
        <v>26</v>
      </c>
      <c r="D66" s="5">
        <v>1</v>
      </c>
      <c r="E66" s="98">
        <f t="shared" si="31"/>
        <v>125</v>
      </c>
      <c r="F66" s="29">
        <f>D66/E66</f>
        <v>8.0000000000000002E-3</v>
      </c>
      <c r="G66" s="18">
        <v>1</v>
      </c>
      <c r="H66" s="6">
        <v>10000</v>
      </c>
      <c r="I66" s="81">
        <f t="shared" si="29"/>
        <v>80</v>
      </c>
      <c r="J66" s="91">
        <f>I66*E64</f>
        <v>10000</v>
      </c>
      <c r="K66" s="91"/>
      <c r="L66" s="91"/>
    </row>
    <row r="67" spans="1:12" ht="15.75" thickBot="1">
      <c r="A67" s="15"/>
      <c r="B67" s="16"/>
      <c r="C67" s="16"/>
      <c r="D67" s="16"/>
      <c r="E67" s="95"/>
      <c r="F67" s="38"/>
      <c r="G67" s="39"/>
      <c r="H67" s="17"/>
      <c r="I67" s="82">
        <f>SUM(I63:I66)</f>
        <v>539.87200000000007</v>
      </c>
      <c r="J67" s="91">
        <f>I67*E66</f>
        <v>67484.000000000015</v>
      </c>
      <c r="K67" s="91"/>
      <c r="L67" s="91"/>
    </row>
    <row r="68" spans="1:12" ht="15.75" thickBot="1">
      <c r="A68" s="52"/>
      <c r="B68" s="53"/>
      <c r="C68" s="53"/>
      <c r="D68" s="53"/>
      <c r="E68" s="96"/>
      <c r="F68" s="54"/>
      <c r="G68" s="55" t="s">
        <v>48</v>
      </c>
      <c r="H68" s="56"/>
      <c r="I68" s="83">
        <f>I67-I69</f>
        <v>539.87200000000007</v>
      </c>
      <c r="J68" s="105">
        <f>I68*E63</f>
        <v>67484.000000000015</v>
      </c>
      <c r="K68" s="104">
        <f>147200+30016+5984-27970-4956-82790</f>
        <v>67484</v>
      </c>
      <c r="L68" s="104">
        <f>K68-J68</f>
        <v>0</v>
      </c>
    </row>
    <row r="69" spans="1:12">
      <c r="A69" s="47"/>
      <c r="B69" s="32"/>
      <c r="C69" s="32"/>
      <c r="D69" s="32"/>
      <c r="E69" s="97"/>
      <c r="F69" s="49"/>
      <c r="G69" s="50" t="s">
        <v>49</v>
      </c>
      <c r="H69" s="33"/>
      <c r="I69" s="84">
        <v>0</v>
      </c>
      <c r="J69" s="48">
        <f>I69*126</f>
        <v>0</v>
      </c>
    </row>
    <row r="70" spans="1:12" ht="15.75" thickBot="1">
      <c r="I70" s="35"/>
    </row>
    <row r="71" spans="1:12">
      <c r="A71" s="11" t="s">
        <v>30</v>
      </c>
      <c r="B71" s="12" t="s">
        <v>21</v>
      </c>
      <c r="C71" s="12" t="s">
        <v>22</v>
      </c>
      <c r="D71" s="12">
        <v>50</v>
      </c>
      <c r="E71" s="94">
        <f>з.пл.!E15</f>
        <v>191</v>
      </c>
      <c r="F71" s="28">
        <f>D71/E71</f>
        <v>0.26178010471204188</v>
      </c>
      <c r="G71" s="19">
        <v>1</v>
      </c>
      <c r="H71" s="13">
        <v>250</v>
      </c>
      <c r="I71" s="80">
        <f>F71*H71</f>
        <v>65.445026178010465</v>
      </c>
      <c r="J71" s="91">
        <f>I71*E71</f>
        <v>12499.999999999998</v>
      </c>
      <c r="K71" s="91"/>
      <c r="L71" s="91"/>
    </row>
    <row r="72" spans="1:12">
      <c r="A72" s="14"/>
      <c r="B72" s="5" t="s">
        <v>44</v>
      </c>
      <c r="C72" s="5" t="s">
        <v>26</v>
      </c>
      <c r="D72" s="5">
        <v>1</v>
      </c>
      <c r="E72" s="98">
        <f>E71</f>
        <v>191</v>
      </c>
      <c r="F72" s="29">
        <f>D72/E72</f>
        <v>5.235602094240838E-3</v>
      </c>
      <c r="G72" s="18">
        <v>1</v>
      </c>
      <c r="H72" s="6">
        <v>5000</v>
      </c>
      <c r="I72" s="81">
        <f t="shared" ref="I72:I74" si="33">F72*H72</f>
        <v>26.178010471204189</v>
      </c>
      <c r="J72" s="91">
        <f t="shared" ref="J72" si="34">I72*E71</f>
        <v>5000</v>
      </c>
      <c r="K72" s="91"/>
      <c r="L72" s="91"/>
    </row>
    <row r="73" spans="1:12">
      <c r="A73" s="14"/>
      <c r="B73" s="5" t="s">
        <v>56</v>
      </c>
      <c r="C73" s="5" t="s">
        <v>26</v>
      </c>
      <c r="D73" s="5">
        <v>1</v>
      </c>
      <c r="E73" s="98">
        <f t="shared" ref="E73:E74" si="35">E72</f>
        <v>191</v>
      </c>
      <c r="F73" s="29">
        <f>D73/E73</f>
        <v>5.235602094240838E-3</v>
      </c>
      <c r="G73" s="18">
        <v>2</v>
      </c>
      <c r="H73" s="6">
        <v>19737</v>
      </c>
      <c r="I73" s="81">
        <f t="shared" ref="I73" si="36">F73*H73</f>
        <v>103.33507853403142</v>
      </c>
      <c r="J73" s="91">
        <f>I73*E71</f>
        <v>19737.000000000004</v>
      </c>
      <c r="K73" s="91"/>
      <c r="L73" s="91"/>
    </row>
    <row r="74" spans="1:12">
      <c r="A74" s="14"/>
      <c r="B74" s="5" t="s">
        <v>45</v>
      </c>
      <c r="C74" s="5" t="s">
        <v>26</v>
      </c>
      <c r="D74" s="5">
        <v>1</v>
      </c>
      <c r="E74" s="98">
        <f t="shared" si="35"/>
        <v>191</v>
      </c>
      <c r="F74" s="29">
        <f>D74/E74</f>
        <v>5.235602094240838E-3</v>
      </c>
      <c r="G74" s="18">
        <v>2</v>
      </c>
      <c r="H74" s="6">
        <v>67906.38</v>
      </c>
      <c r="I74" s="81">
        <f t="shared" si="33"/>
        <v>355.5307853403142</v>
      </c>
      <c r="J74" s="91">
        <f>I74*E72</f>
        <v>67906.38</v>
      </c>
      <c r="K74" s="91"/>
      <c r="L74" s="91"/>
    </row>
    <row r="75" spans="1:12" ht="15.75" thickBot="1">
      <c r="A75" s="15"/>
      <c r="B75" s="16"/>
      <c r="C75" s="16"/>
      <c r="D75" s="16"/>
      <c r="E75" s="95"/>
      <c r="F75" s="38"/>
      <c r="G75" s="39"/>
      <c r="H75" s="17"/>
      <c r="I75" s="82">
        <f>SUM(I71:I74)</f>
        <v>550.48890052356023</v>
      </c>
      <c r="J75" s="91">
        <f>I75*E74</f>
        <v>105143.38</v>
      </c>
      <c r="K75" s="91"/>
      <c r="L75" s="91"/>
    </row>
    <row r="76" spans="1:12" ht="15.75" thickBot="1">
      <c r="A76" s="52"/>
      <c r="B76" s="53"/>
      <c r="C76" s="53"/>
      <c r="D76" s="53"/>
      <c r="E76" s="96"/>
      <c r="F76" s="54"/>
      <c r="G76" s="55" t="s">
        <v>48</v>
      </c>
      <c r="H76" s="56"/>
      <c r="I76" s="83">
        <f>I75-I77</f>
        <v>550.48890052356023</v>
      </c>
      <c r="J76" s="105">
        <f>I76*E71</f>
        <v>105143.38</v>
      </c>
      <c r="K76" s="104">
        <f>222600+42516+5984-34813.62-9443-121700</f>
        <v>105143.38</v>
      </c>
      <c r="L76" s="104">
        <f>K76-J76</f>
        <v>0</v>
      </c>
    </row>
    <row r="77" spans="1:12" ht="15.75" thickBot="1">
      <c r="A77" s="47"/>
      <c r="B77" s="32"/>
      <c r="C77" s="32"/>
      <c r="D77" s="32"/>
      <c r="E77" s="97"/>
      <c r="F77" s="49"/>
      <c r="G77" s="50" t="s">
        <v>49</v>
      </c>
      <c r="H77" s="33"/>
      <c r="I77" s="84">
        <v>0</v>
      </c>
      <c r="J77" s="48">
        <f>I77*206</f>
        <v>0</v>
      </c>
    </row>
    <row r="78" spans="1:12">
      <c r="A78" s="11" t="s">
        <v>36</v>
      </c>
      <c r="B78" s="12" t="s">
        <v>21</v>
      </c>
      <c r="C78" s="12" t="s">
        <v>22</v>
      </c>
      <c r="D78" s="12">
        <v>80</v>
      </c>
      <c r="E78" s="94">
        <f>з.пл.!E16</f>
        <v>257</v>
      </c>
      <c r="F78" s="28">
        <f>D78/E78</f>
        <v>0.31128404669260701</v>
      </c>
      <c r="G78" s="19">
        <v>1</v>
      </c>
      <c r="H78" s="13">
        <v>250</v>
      </c>
      <c r="I78" s="80">
        <f>F78*H78</f>
        <v>77.821011673151759</v>
      </c>
      <c r="J78" s="91">
        <f>I78*E78</f>
        <v>20000.000000000004</v>
      </c>
      <c r="K78" s="91"/>
      <c r="L78" s="91"/>
    </row>
    <row r="79" spans="1:12">
      <c r="A79" s="14"/>
      <c r="B79" s="5" t="s">
        <v>44</v>
      </c>
      <c r="C79" s="5" t="s">
        <v>26</v>
      </c>
      <c r="D79" s="5">
        <v>1</v>
      </c>
      <c r="E79" s="98">
        <f>E78</f>
        <v>257</v>
      </c>
      <c r="F79" s="29">
        <f>D79/E79</f>
        <v>3.8910505836575876E-3</v>
      </c>
      <c r="G79" s="18">
        <v>1</v>
      </c>
      <c r="H79" s="6">
        <v>15000</v>
      </c>
      <c r="I79" s="81">
        <f t="shared" ref="I79:I81" si="37">F79*H79</f>
        <v>58.365758754863812</v>
      </c>
      <c r="J79" s="91">
        <f t="shared" ref="J79" si="38">I79*E78</f>
        <v>15000</v>
      </c>
      <c r="K79" s="91"/>
      <c r="L79" s="91"/>
    </row>
    <row r="80" spans="1:12">
      <c r="A80" s="14"/>
      <c r="B80" s="5" t="s">
        <v>56</v>
      </c>
      <c r="C80" s="5" t="s">
        <v>26</v>
      </c>
      <c r="D80" s="5">
        <v>1</v>
      </c>
      <c r="E80" s="98">
        <f t="shared" ref="E80:E81" si="39">E79</f>
        <v>257</v>
      </c>
      <c r="F80" s="29">
        <f>D80/E80</f>
        <v>3.8910505836575876E-3</v>
      </c>
      <c r="G80" s="18">
        <v>1</v>
      </c>
      <c r="H80" s="6">
        <v>26090</v>
      </c>
      <c r="I80" s="81">
        <f t="shared" ref="I80" si="40">F80*H80</f>
        <v>101.51750972762646</v>
      </c>
      <c r="J80" s="91">
        <f>I80*E78</f>
        <v>26090</v>
      </c>
      <c r="K80" s="91"/>
      <c r="L80" s="91"/>
    </row>
    <row r="81" spans="1:12">
      <c r="A81" s="14"/>
      <c r="B81" s="5" t="s">
        <v>45</v>
      </c>
      <c r="C81" s="5" t="s">
        <v>26</v>
      </c>
      <c r="D81" s="5">
        <v>1</v>
      </c>
      <c r="E81" s="98">
        <f t="shared" si="39"/>
        <v>257</v>
      </c>
      <c r="F81" s="29">
        <f>D81/E81</f>
        <v>3.8910505836575876E-3</v>
      </c>
      <c r="G81" s="18">
        <v>1</v>
      </c>
      <c r="H81" s="6">
        <f>15000+72258.57</f>
        <v>87258.57</v>
      </c>
      <c r="I81" s="81">
        <f t="shared" si="37"/>
        <v>339.52750972762647</v>
      </c>
      <c r="J81" s="91">
        <f>I81*E79</f>
        <v>87258.57</v>
      </c>
      <c r="K81" s="91"/>
      <c r="L81" s="91"/>
    </row>
    <row r="82" spans="1:12" ht="15.75" thickBot="1">
      <c r="A82" s="15"/>
      <c r="B82" s="16"/>
      <c r="C82" s="16"/>
      <c r="D82" s="16"/>
      <c r="E82" s="95"/>
      <c r="F82" s="38"/>
      <c r="G82" s="39"/>
      <c r="H82" s="17"/>
      <c r="I82" s="82">
        <f>SUM(I78:I81)</f>
        <v>577.23178988326845</v>
      </c>
      <c r="J82" s="91">
        <f>I82*E81</f>
        <v>148348.56999999998</v>
      </c>
      <c r="K82" s="91"/>
      <c r="L82" s="91"/>
    </row>
    <row r="83" spans="1:12" ht="15.75" thickBot="1">
      <c r="A83" s="52"/>
      <c r="B83" s="53"/>
      <c r="C83" s="53"/>
      <c r="D83" s="53"/>
      <c r="E83" s="96"/>
      <c r="F83" s="54"/>
      <c r="G83" s="55" t="s">
        <v>48</v>
      </c>
      <c r="H83" s="56"/>
      <c r="I83" s="83">
        <f>I82-I84</f>
        <v>577.23178988326845</v>
      </c>
      <c r="J83" s="105">
        <f>I83*E78</f>
        <v>148348.56999999998</v>
      </c>
      <c r="K83" s="104">
        <f>300300+67916+5984-52731.43-26800-146320</f>
        <v>148348.57</v>
      </c>
      <c r="L83" s="104">
        <f>K83-J83</f>
        <v>0</v>
      </c>
    </row>
    <row r="84" spans="1:12">
      <c r="A84" s="47"/>
      <c r="B84" s="32"/>
      <c r="C84" s="32"/>
      <c r="D84" s="32"/>
      <c r="E84" s="97"/>
      <c r="F84" s="49"/>
      <c r="G84" s="50" t="s">
        <v>49</v>
      </c>
      <c r="H84" s="33"/>
      <c r="I84" s="84">
        <v>0</v>
      </c>
      <c r="J84" s="48">
        <f>I84*275</f>
        <v>0</v>
      </c>
    </row>
    <row r="85" spans="1:12" ht="15.75" thickBot="1">
      <c r="I85" s="35"/>
    </row>
    <row r="86" spans="1:12">
      <c r="A86" s="11" t="s">
        <v>37</v>
      </c>
      <c r="B86" s="12" t="s">
        <v>21</v>
      </c>
      <c r="C86" s="12" t="s">
        <v>22</v>
      </c>
      <c r="D86" s="12">
        <v>90</v>
      </c>
      <c r="E86" s="94">
        <f>з.пл.!E18</f>
        <v>317</v>
      </c>
      <c r="F86" s="28">
        <f>D86/E86</f>
        <v>0.28391167192429023</v>
      </c>
      <c r="G86" s="19">
        <v>1</v>
      </c>
      <c r="H86" s="13">
        <v>250</v>
      </c>
      <c r="I86" s="80">
        <f>F86*H86</f>
        <v>70.977917981072551</v>
      </c>
      <c r="J86" s="91">
        <f>I86*E86</f>
        <v>22500</v>
      </c>
      <c r="K86" s="91"/>
      <c r="L86" s="91"/>
    </row>
    <row r="87" spans="1:12">
      <c r="A87" s="14"/>
      <c r="B87" s="5" t="s">
        <v>44</v>
      </c>
      <c r="C87" s="5" t="s">
        <v>26</v>
      </c>
      <c r="D87" s="5">
        <v>1</v>
      </c>
      <c r="E87" s="98">
        <f>E86</f>
        <v>317</v>
      </c>
      <c r="F87" s="29">
        <f>D87/E87</f>
        <v>3.1545741324921135E-3</v>
      </c>
      <c r="G87" s="18">
        <v>1</v>
      </c>
      <c r="H87" s="6">
        <v>15000</v>
      </c>
      <c r="I87" s="81">
        <f t="shared" ref="I87:I89" si="41">F87*H87</f>
        <v>47.318611987381701</v>
      </c>
      <c r="J87" s="91">
        <f t="shared" ref="J87" si="42">I87*E86</f>
        <v>15000</v>
      </c>
      <c r="K87" s="91"/>
      <c r="L87" s="91"/>
    </row>
    <row r="88" spans="1:12">
      <c r="A88" s="14"/>
      <c r="B88" s="5" t="s">
        <v>56</v>
      </c>
      <c r="C88" s="5" t="s">
        <v>26</v>
      </c>
      <c r="D88" s="5">
        <v>1</v>
      </c>
      <c r="E88" s="98">
        <f t="shared" ref="E88:E89" si="43">E87</f>
        <v>317</v>
      </c>
      <c r="F88" s="29">
        <f>D88/E88</f>
        <v>3.1545741324921135E-3</v>
      </c>
      <c r="G88" s="18">
        <v>1</v>
      </c>
      <c r="H88" s="6">
        <f>50900+42098.23</f>
        <v>92998.23000000001</v>
      </c>
      <c r="I88" s="81">
        <f t="shared" ref="I88" si="44">F88*H88</f>
        <v>293.3698107255521</v>
      </c>
      <c r="J88" s="91">
        <f>I88*E86</f>
        <v>92998.23000000001</v>
      </c>
      <c r="K88" s="91"/>
      <c r="L88" s="91"/>
    </row>
    <row r="89" spans="1:12">
      <c r="A89" s="14"/>
      <c r="B89" s="5" t="s">
        <v>45</v>
      </c>
      <c r="C89" s="5" t="s">
        <v>26</v>
      </c>
      <c r="D89" s="5">
        <v>1</v>
      </c>
      <c r="E89" s="98">
        <f t="shared" si="43"/>
        <v>317</v>
      </c>
      <c r="F89" s="29">
        <f>D89/E89</f>
        <v>3.1545741324921135E-3</v>
      </c>
      <c r="G89" s="18">
        <v>1</v>
      </c>
      <c r="H89" s="6">
        <v>75000</v>
      </c>
      <c r="I89" s="81">
        <f t="shared" si="41"/>
        <v>236.5930599369085</v>
      </c>
      <c r="J89" s="91">
        <f>I89*E87</f>
        <v>75000</v>
      </c>
      <c r="K89" s="91"/>
      <c r="L89" s="91"/>
    </row>
    <row r="90" spans="1:12" ht="15.75" thickBot="1">
      <c r="A90" s="15"/>
      <c r="B90" s="16"/>
      <c r="C90" s="16"/>
      <c r="D90" s="16"/>
      <c r="E90" s="95"/>
      <c r="F90" s="38"/>
      <c r="G90" s="39"/>
      <c r="H90" s="17"/>
      <c r="I90" s="82">
        <f>SUM(I86:I89)</f>
        <v>648.2594006309148</v>
      </c>
      <c r="J90" s="91">
        <f>I90*E89</f>
        <v>205498.22999999998</v>
      </c>
      <c r="K90" s="91"/>
      <c r="L90" s="91"/>
    </row>
    <row r="91" spans="1:12" ht="15.75" thickBot="1">
      <c r="A91" s="52"/>
      <c r="B91" s="53"/>
      <c r="C91" s="53"/>
      <c r="D91" s="53"/>
      <c r="E91" s="96"/>
      <c r="F91" s="54"/>
      <c r="G91" s="55" t="s">
        <v>48</v>
      </c>
      <c r="H91" s="56"/>
      <c r="I91" s="83">
        <f>I90-I92</f>
        <v>648.2594006309148</v>
      </c>
      <c r="J91" s="105">
        <f>I91*E86</f>
        <v>205498.22999999998</v>
      </c>
      <c r="K91" s="104">
        <f>400000+72016+5984-54501.77-14000-204000</f>
        <v>205498.22999999998</v>
      </c>
      <c r="L91" s="104">
        <f>K91-J91</f>
        <v>0</v>
      </c>
    </row>
    <row r="92" spans="1:12" ht="15.75" thickBot="1">
      <c r="A92" s="47"/>
      <c r="B92" s="32"/>
      <c r="C92" s="32"/>
      <c r="D92" s="32"/>
      <c r="E92" s="97"/>
      <c r="F92" s="49"/>
      <c r="G92" s="50" t="s">
        <v>49</v>
      </c>
      <c r="H92" s="33"/>
      <c r="I92" s="84">
        <v>0</v>
      </c>
      <c r="J92" s="48">
        <f>I92*E87</f>
        <v>0</v>
      </c>
    </row>
    <row r="93" spans="1:12">
      <c r="A93" s="11" t="s">
        <v>38</v>
      </c>
      <c r="B93" s="12" t="s">
        <v>21</v>
      </c>
      <c r="C93" s="12" t="s">
        <v>22</v>
      </c>
      <c r="D93" s="12">
        <v>100</v>
      </c>
      <c r="E93" s="94">
        <f>з.пл.!E19</f>
        <v>401</v>
      </c>
      <c r="F93" s="28">
        <f>D93/E93</f>
        <v>0.24937655860349128</v>
      </c>
      <c r="G93" s="19">
        <v>1</v>
      </c>
      <c r="H93" s="13">
        <v>250</v>
      </c>
      <c r="I93" s="80">
        <f>F93*H93</f>
        <v>62.344139650872819</v>
      </c>
      <c r="J93" s="91">
        <f>I93*E93</f>
        <v>25000</v>
      </c>
      <c r="K93" s="91"/>
      <c r="L93" s="91"/>
    </row>
    <row r="94" spans="1:12">
      <c r="A94" s="14"/>
      <c r="B94" s="5" t="s">
        <v>44</v>
      </c>
      <c r="C94" s="5" t="s">
        <v>26</v>
      </c>
      <c r="D94" s="5">
        <v>1</v>
      </c>
      <c r="E94" s="98">
        <f>E93</f>
        <v>401</v>
      </c>
      <c r="F94" s="29">
        <f>D94/E94</f>
        <v>2.4937655860349127E-3</v>
      </c>
      <c r="G94" s="18">
        <v>1</v>
      </c>
      <c r="H94" s="6">
        <v>15000</v>
      </c>
      <c r="I94" s="81">
        <f t="shared" ref="I94:I96" si="45">F94*H94</f>
        <v>37.406483790523687</v>
      </c>
      <c r="J94" s="91">
        <f t="shared" ref="J94" si="46">I94*E93</f>
        <v>14999.999999999998</v>
      </c>
      <c r="K94" s="91"/>
      <c r="L94" s="91"/>
    </row>
    <row r="95" spans="1:12">
      <c r="A95" s="14"/>
      <c r="B95" s="5" t="s">
        <v>56</v>
      </c>
      <c r="C95" s="5" t="s">
        <v>26</v>
      </c>
      <c r="D95" s="5">
        <v>1</v>
      </c>
      <c r="E95" s="98">
        <f t="shared" ref="E95:E96" si="47">E94</f>
        <v>401</v>
      </c>
      <c r="F95" s="29">
        <f>D95/E95</f>
        <v>2.4937655860349127E-3</v>
      </c>
      <c r="G95" s="18">
        <v>1</v>
      </c>
      <c r="H95" s="6">
        <v>34120</v>
      </c>
      <c r="I95" s="81">
        <f t="shared" ref="I95" si="48">F95*H95</f>
        <v>85.087281795511217</v>
      </c>
      <c r="J95" s="91">
        <f>I95*E93</f>
        <v>34120</v>
      </c>
      <c r="K95" s="91"/>
      <c r="L95" s="91"/>
    </row>
    <row r="96" spans="1:12">
      <c r="A96" s="14"/>
      <c r="B96" s="5" t="s">
        <v>45</v>
      </c>
      <c r="C96" s="5" t="s">
        <v>26</v>
      </c>
      <c r="D96" s="5">
        <v>1</v>
      </c>
      <c r="E96" s="98">
        <f t="shared" si="47"/>
        <v>401</v>
      </c>
      <c r="F96" s="29">
        <f>D96/E96</f>
        <v>2.4937655860349127E-3</v>
      </c>
      <c r="G96" s="18">
        <v>1</v>
      </c>
      <c r="H96" s="6">
        <f>25000+68122.67</f>
        <v>93122.67</v>
      </c>
      <c r="I96" s="81">
        <f t="shared" si="45"/>
        <v>232.22610972568577</v>
      </c>
      <c r="J96" s="91">
        <f>I96*E94</f>
        <v>93122.67</v>
      </c>
      <c r="K96" s="91"/>
      <c r="L96" s="91"/>
    </row>
    <row r="97" spans="1:19" ht="15.75" thickBot="1">
      <c r="A97" s="15"/>
      <c r="B97" s="16"/>
      <c r="C97" s="16"/>
      <c r="D97" s="16"/>
      <c r="E97" s="95"/>
      <c r="F97" s="38"/>
      <c r="G97" s="39"/>
      <c r="H97" s="17"/>
      <c r="I97" s="82">
        <f>SUM(I93:I96)</f>
        <v>417.06401496259349</v>
      </c>
      <c r="J97" s="91">
        <f>I97*E96</f>
        <v>167242.66999999998</v>
      </c>
      <c r="K97" s="91"/>
      <c r="L97" s="91"/>
    </row>
    <row r="98" spans="1:19" ht="15.75" thickBot="1">
      <c r="A98" s="52"/>
      <c r="B98" s="53"/>
      <c r="C98" s="53"/>
      <c r="D98" s="53"/>
      <c r="E98" s="96"/>
      <c r="F98" s="54"/>
      <c r="G98" s="55" t="s">
        <v>48</v>
      </c>
      <c r="H98" s="56"/>
      <c r="I98" s="83">
        <f>I97-I99</f>
        <v>417.06401496259349</v>
      </c>
      <c r="J98" s="105">
        <f>I98*E93</f>
        <v>167242.66999999998</v>
      </c>
      <c r="K98" s="104">
        <f>464900+66016+5984-65977.33-23760-279920</f>
        <v>167242.66999999998</v>
      </c>
      <c r="L98" s="104">
        <f>K98-J98</f>
        <v>0</v>
      </c>
    </row>
    <row r="99" spans="1:19" ht="15.75" thickBot="1">
      <c r="A99" s="59"/>
      <c r="B99" s="60"/>
      <c r="C99" s="60"/>
      <c r="D99" s="60"/>
      <c r="E99" s="99"/>
      <c r="F99" s="61"/>
      <c r="G99" s="62" t="s">
        <v>49</v>
      </c>
      <c r="H99" s="63"/>
      <c r="I99" s="85">
        <v>0</v>
      </c>
      <c r="J99" s="48">
        <f>I99*E94</f>
        <v>0</v>
      </c>
    </row>
    <row r="100" spans="1:19">
      <c r="A100" s="40"/>
      <c r="B100" s="41"/>
      <c r="C100" s="41"/>
      <c r="D100" s="41"/>
      <c r="E100" s="100"/>
      <c r="F100" s="42"/>
      <c r="G100" s="43"/>
      <c r="H100" s="44"/>
      <c r="I100" s="72"/>
    </row>
    <row r="101" spans="1:19" ht="18.75">
      <c r="A101" s="31" t="s">
        <v>51</v>
      </c>
      <c r="I101" s="71"/>
      <c r="S101"/>
    </row>
    <row r="102" spans="1:19" ht="15.75" thickBot="1">
      <c r="I102" s="71"/>
    </row>
    <row r="103" spans="1:19" ht="75">
      <c r="A103" s="21" t="s">
        <v>3</v>
      </c>
      <c r="B103" s="22" t="s">
        <v>14</v>
      </c>
      <c r="C103" s="22" t="s">
        <v>19</v>
      </c>
      <c r="D103" s="22" t="s">
        <v>15</v>
      </c>
      <c r="E103" s="92" t="s">
        <v>43</v>
      </c>
      <c r="F103" s="22" t="s">
        <v>42</v>
      </c>
      <c r="G103" s="22" t="s">
        <v>16</v>
      </c>
      <c r="H103" s="22" t="s">
        <v>17</v>
      </c>
      <c r="I103" s="73" t="s">
        <v>10</v>
      </c>
      <c r="J103" s="2"/>
      <c r="K103" s="2"/>
      <c r="L103" s="2"/>
    </row>
    <row r="104" spans="1:19" ht="15.75" thickBot="1">
      <c r="A104" s="36">
        <v>1</v>
      </c>
      <c r="B104" s="9">
        <v>2</v>
      </c>
      <c r="C104" s="9">
        <v>3</v>
      </c>
      <c r="D104" s="9">
        <v>4</v>
      </c>
      <c r="E104" s="93">
        <v>5</v>
      </c>
      <c r="F104" s="9" t="s">
        <v>18</v>
      </c>
      <c r="G104" s="9">
        <v>7</v>
      </c>
      <c r="H104" s="8">
        <v>8</v>
      </c>
      <c r="I104" s="74" t="s">
        <v>20</v>
      </c>
    </row>
    <row r="105" spans="1:19">
      <c r="A105" s="11" t="s">
        <v>32</v>
      </c>
      <c r="B105" s="12" t="s">
        <v>47</v>
      </c>
      <c r="C105" s="12" t="s">
        <v>26</v>
      </c>
      <c r="D105" s="12">
        <v>1</v>
      </c>
      <c r="E105" s="94">
        <f>E6</f>
        <v>239</v>
      </c>
      <c r="F105" s="29">
        <f>D105/E105</f>
        <v>4.1841004184100415E-3</v>
      </c>
      <c r="G105" s="19">
        <v>1</v>
      </c>
      <c r="H105" s="13">
        <v>37440</v>
      </c>
      <c r="I105" s="80">
        <f>F105*H105</f>
        <v>156.65271966527195</v>
      </c>
      <c r="J105" s="91">
        <f>I105*E105</f>
        <v>37439.999999999993</v>
      </c>
      <c r="K105" s="91"/>
    </row>
    <row r="106" spans="1:19">
      <c r="A106" s="14"/>
      <c r="B106" s="5" t="s">
        <v>47</v>
      </c>
      <c r="C106" s="5" t="s">
        <v>26</v>
      </c>
      <c r="D106" s="5">
        <v>1</v>
      </c>
      <c r="E106" s="98">
        <f>E105</f>
        <v>239</v>
      </c>
      <c r="F106" s="29">
        <f>D106/E106</f>
        <v>4.1841004184100415E-3</v>
      </c>
      <c r="G106" s="18">
        <v>1</v>
      </c>
      <c r="H106" s="6">
        <v>1523100</v>
      </c>
      <c r="I106" s="81">
        <f t="shared" ref="I106" si="49">F106*H106</f>
        <v>6372.8033472803345</v>
      </c>
      <c r="J106" s="91">
        <f t="shared" ref="J106:J167" si="50">I106*E106</f>
        <v>1523100</v>
      </c>
      <c r="K106" s="91"/>
    </row>
    <row r="107" spans="1:19">
      <c r="A107" s="14"/>
      <c r="B107" s="5"/>
      <c r="C107" s="5"/>
      <c r="D107" s="5"/>
      <c r="E107" s="98"/>
      <c r="F107" s="29"/>
      <c r="G107" s="18"/>
      <c r="H107" s="6"/>
      <c r="I107" s="86">
        <f>SUM(I105:I106)</f>
        <v>6529.4560669456068</v>
      </c>
      <c r="J107" s="91"/>
      <c r="K107" s="91"/>
    </row>
    <row r="108" spans="1:19">
      <c r="A108" s="14"/>
      <c r="B108" s="5"/>
      <c r="C108" s="5"/>
      <c r="D108" s="5"/>
      <c r="E108" s="98"/>
      <c r="F108" s="29"/>
      <c r="G108" s="18" t="s">
        <v>48</v>
      </c>
      <c r="H108" s="6"/>
      <c r="I108" s="86">
        <f>I105</f>
        <v>156.65271966527195</v>
      </c>
      <c r="J108" s="91">
        <f>I108*E105</f>
        <v>37439.999999999993</v>
      </c>
      <c r="K108" s="104">
        <v>37440</v>
      </c>
    </row>
    <row r="109" spans="1:19" ht="15.75" thickBot="1">
      <c r="A109" s="67"/>
      <c r="B109" s="57"/>
      <c r="C109" s="57"/>
      <c r="D109" s="57"/>
      <c r="E109" s="101"/>
      <c r="F109" s="68"/>
      <c r="G109" s="69" t="s">
        <v>49</v>
      </c>
      <c r="H109" s="58"/>
      <c r="I109" s="87">
        <f>I107-I108</f>
        <v>6372.8033472803345</v>
      </c>
      <c r="J109" s="91">
        <f>I109*E106</f>
        <v>1523100</v>
      </c>
      <c r="K109" s="91">
        <v>1523100</v>
      </c>
    </row>
    <row r="110" spans="1:19">
      <c r="A110" s="11" t="s">
        <v>33</v>
      </c>
      <c r="B110" s="12" t="s">
        <v>47</v>
      </c>
      <c r="C110" s="12" t="s">
        <v>26</v>
      </c>
      <c r="D110" s="12">
        <v>1</v>
      </c>
      <c r="E110" s="94">
        <f>E13</f>
        <v>192</v>
      </c>
      <c r="F110" s="28">
        <f>D110/E110</f>
        <v>5.208333333333333E-3</v>
      </c>
      <c r="G110" s="19">
        <v>1</v>
      </c>
      <c r="H110" s="13">
        <v>56160</v>
      </c>
      <c r="I110" s="80">
        <f>F110*H110</f>
        <v>292.5</v>
      </c>
      <c r="J110" s="91">
        <f t="shared" si="50"/>
        <v>56160</v>
      </c>
      <c r="K110" s="91"/>
    </row>
    <row r="111" spans="1:19">
      <c r="A111" s="14"/>
      <c r="B111" s="5" t="s">
        <v>47</v>
      </c>
      <c r="C111" s="5" t="s">
        <v>26</v>
      </c>
      <c r="D111" s="5">
        <v>1</v>
      </c>
      <c r="E111" s="98">
        <f>E110</f>
        <v>192</v>
      </c>
      <c r="F111" s="29">
        <f>D111/E111</f>
        <v>5.208333333333333E-3</v>
      </c>
      <c r="G111" s="18">
        <v>1</v>
      </c>
      <c r="H111" s="6">
        <v>1520500</v>
      </c>
      <c r="I111" s="81">
        <f t="shared" ref="I111" si="51">F111*H111</f>
        <v>7919.270833333333</v>
      </c>
      <c r="J111" s="91">
        <f t="shared" si="50"/>
        <v>1520500</v>
      </c>
      <c r="K111" s="91"/>
    </row>
    <row r="112" spans="1:19">
      <c r="A112" s="14"/>
      <c r="B112" s="5"/>
      <c r="C112" s="5"/>
      <c r="D112" s="5"/>
      <c r="E112" s="98"/>
      <c r="F112" s="29"/>
      <c r="G112" s="18"/>
      <c r="H112" s="6"/>
      <c r="I112" s="86">
        <f>SUM(I110:I111)</f>
        <v>8211.7708333333321</v>
      </c>
      <c r="J112" s="91"/>
      <c r="K112" s="91"/>
    </row>
    <row r="113" spans="1:11">
      <c r="A113" s="14"/>
      <c r="B113" s="5"/>
      <c r="C113" s="5"/>
      <c r="D113" s="5"/>
      <c r="E113" s="98"/>
      <c r="F113" s="29"/>
      <c r="G113" s="18" t="s">
        <v>48</v>
      </c>
      <c r="H113" s="6"/>
      <c r="I113" s="86">
        <f>I110</f>
        <v>292.5</v>
      </c>
      <c r="J113" s="91">
        <f>I113*E110</f>
        <v>56160</v>
      </c>
      <c r="K113" s="104">
        <v>56160</v>
      </c>
    </row>
    <row r="114" spans="1:11" ht="15.75" thickBot="1">
      <c r="A114" s="15"/>
      <c r="B114" s="16"/>
      <c r="C114" s="16"/>
      <c r="D114" s="16"/>
      <c r="E114" s="95"/>
      <c r="F114" s="38"/>
      <c r="G114" s="39" t="s">
        <v>49</v>
      </c>
      <c r="H114" s="17"/>
      <c r="I114" s="82">
        <f>I112-I113</f>
        <v>7919.2708333333321</v>
      </c>
      <c r="J114" s="91">
        <f>I114*E111</f>
        <v>1520499.9999999998</v>
      </c>
      <c r="K114" s="104">
        <v>1520500</v>
      </c>
    </row>
    <row r="115" spans="1:11">
      <c r="A115" s="11" t="s">
        <v>34</v>
      </c>
      <c r="B115" s="12" t="s">
        <v>47</v>
      </c>
      <c r="C115" s="12" t="s">
        <v>26</v>
      </c>
      <c r="D115" s="12">
        <v>1</v>
      </c>
      <c r="E115" s="94">
        <f>E21</f>
        <v>214</v>
      </c>
      <c r="F115" s="28">
        <f>D115/E115</f>
        <v>4.6728971962616819E-3</v>
      </c>
      <c r="G115" s="19">
        <v>1</v>
      </c>
      <c r="H115" s="13">
        <v>1216800</v>
      </c>
      <c r="I115" s="80">
        <f>F115*H115</f>
        <v>5685.9813084112147</v>
      </c>
      <c r="J115" s="91">
        <f t="shared" si="50"/>
        <v>1216800</v>
      </c>
      <c r="K115" s="91"/>
    </row>
    <row r="116" spans="1:11">
      <c r="A116" s="14"/>
      <c r="B116" s="5" t="s">
        <v>47</v>
      </c>
      <c r="C116" s="5" t="s">
        <v>26</v>
      </c>
      <c r="D116" s="5">
        <v>1</v>
      </c>
      <c r="E116" s="98">
        <f>E115</f>
        <v>214</v>
      </c>
      <c r="F116" s="29">
        <f>D116/E116</f>
        <v>4.6728971962616819E-3</v>
      </c>
      <c r="G116" s="18">
        <v>1</v>
      </c>
      <c r="H116" s="6">
        <v>1129400</v>
      </c>
      <c r="I116" s="81">
        <f t="shared" ref="I116" si="52">F116*H116</f>
        <v>5277.5700934579436</v>
      </c>
      <c r="J116" s="91">
        <f t="shared" si="50"/>
        <v>1129400</v>
      </c>
      <c r="K116" s="91"/>
    </row>
    <row r="117" spans="1:11">
      <c r="A117" s="14"/>
      <c r="B117" s="5"/>
      <c r="C117" s="5"/>
      <c r="D117" s="5"/>
      <c r="E117" s="98"/>
      <c r="F117" s="29"/>
      <c r="G117" s="18"/>
      <c r="H117" s="6"/>
      <c r="I117" s="86">
        <f>SUM(I115:I116)</f>
        <v>10963.551401869157</v>
      </c>
      <c r="J117" s="91"/>
      <c r="K117" s="91"/>
    </row>
    <row r="118" spans="1:11">
      <c r="A118" s="14"/>
      <c r="B118" s="5"/>
      <c r="C118" s="5"/>
      <c r="D118" s="5"/>
      <c r="E118" s="98"/>
      <c r="F118" s="29"/>
      <c r="G118" s="18" t="s">
        <v>48</v>
      </c>
      <c r="H118" s="6"/>
      <c r="I118" s="86">
        <f>I115</f>
        <v>5685.9813084112147</v>
      </c>
      <c r="J118" s="91">
        <f>I118*E115</f>
        <v>1216800</v>
      </c>
      <c r="K118" s="104">
        <v>1216800</v>
      </c>
    </row>
    <row r="119" spans="1:11" ht="15.75" thickBot="1">
      <c r="A119" s="15"/>
      <c r="B119" s="16"/>
      <c r="C119" s="16"/>
      <c r="D119" s="16"/>
      <c r="E119" s="95"/>
      <c r="F119" s="38"/>
      <c r="G119" s="39" t="s">
        <v>49</v>
      </c>
      <c r="H119" s="17"/>
      <c r="I119" s="82">
        <f>I117-I118</f>
        <v>5277.5700934579427</v>
      </c>
      <c r="J119" s="91">
        <f>I119*E116</f>
        <v>1129399.9999999998</v>
      </c>
      <c r="K119" s="104">
        <v>1129400</v>
      </c>
    </row>
    <row r="120" spans="1:11">
      <c r="A120" s="11" t="s">
        <v>35</v>
      </c>
      <c r="B120" s="12" t="s">
        <v>47</v>
      </c>
      <c r="C120" s="12" t="s">
        <v>26</v>
      </c>
      <c r="D120" s="12">
        <v>1</v>
      </c>
      <c r="E120" s="94">
        <f>E28</f>
        <v>152</v>
      </c>
      <c r="F120" s="28">
        <f>D120/E120</f>
        <v>6.5789473684210523E-3</v>
      </c>
      <c r="G120" s="19">
        <v>1</v>
      </c>
      <c r="H120" s="13">
        <v>0</v>
      </c>
      <c r="I120" s="80">
        <f>F120*H120</f>
        <v>0</v>
      </c>
      <c r="J120" s="91">
        <f t="shared" si="50"/>
        <v>0</v>
      </c>
      <c r="K120" s="91"/>
    </row>
    <row r="121" spans="1:11">
      <c r="A121" s="14"/>
      <c r="B121" s="5" t="s">
        <v>47</v>
      </c>
      <c r="C121" s="5" t="s">
        <v>26</v>
      </c>
      <c r="D121" s="5">
        <v>1</v>
      </c>
      <c r="E121" s="98">
        <f>E120</f>
        <v>152</v>
      </c>
      <c r="F121" s="29">
        <f>D121/E121</f>
        <v>6.5789473684210523E-3</v>
      </c>
      <c r="G121" s="18">
        <v>1</v>
      </c>
      <c r="H121" s="6">
        <v>968700</v>
      </c>
      <c r="I121" s="81">
        <f t="shared" ref="I121" si="53">F121*H121</f>
        <v>6373.0263157894733</v>
      </c>
      <c r="J121" s="91">
        <f t="shared" si="50"/>
        <v>968700</v>
      </c>
      <c r="K121" s="91"/>
    </row>
    <row r="122" spans="1:11">
      <c r="A122" s="14"/>
      <c r="B122" s="5"/>
      <c r="C122" s="5"/>
      <c r="D122" s="5"/>
      <c r="E122" s="98"/>
      <c r="F122" s="29"/>
      <c r="G122" s="18"/>
      <c r="H122" s="6"/>
      <c r="I122" s="86">
        <f>SUM(I120:I121)</f>
        <v>6373.0263157894733</v>
      </c>
      <c r="J122" s="91"/>
      <c r="K122" s="91"/>
    </row>
    <row r="123" spans="1:11">
      <c r="A123" s="14"/>
      <c r="B123" s="5"/>
      <c r="C123" s="5"/>
      <c r="D123" s="5"/>
      <c r="E123" s="98"/>
      <c r="F123" s="29"/>
      <c r="G123" s="18" t="s">
        <v>48</v>
      </c>
      <c r="H123" s="6"/>
      <c r="I123" s="86">
        <f>I120</f>
        <v>0</v>
      </c>
      <c r="J123" s="91">
        <f>I123*E120</f>
        <v>0</v>
      </c>
      <c r="K123" s="104"/>
    </row>
    <row r="124" spans="1:11" ht="15.75" thickBot="1">
      <c r="A124" s="15"/>
      <c r="B124" s="16"/>
      <c r="C124" s="16"/>
      <c r="D124" s="16"/>
      <c r="E124" s="95"/>
      <c r="F124" s="38"/>
      <c r="G124" s="39" t="s">
        <v>49</v>
      </c>
      <c r="H124" s="17"/>
      <c r="I124" s="82">
        <f>I122-I123</f>
        <v>6373.0263157894733</v>
      </c>
      <c r="J124" s="91">
        <f>I124*E121</f>
        <v>968700</v>
      </c>
      <c r="K124" s="91">
        <v>968700</v>
      </c>
    </row>
    <row r="125" spans="1:11">
      <c r="A125" s="14" t="s">
        <v>59</v>
      </c>
      <c r="B125" s="12" t="s">
        <v>47</v>
      </c>
      <c r="C125" s="12" t="s">
        <v>26</v>
      </c>
      <c r="D125" s="12">
        <v>1</v>
      </c>
      <c r="E125" s="94">
        <v>34</v>
      </c>
      <c r="F125" s="29">
        <f>D125/E125</f>
        <v>2.9411764705882353E-2</v>
      </c>
      <c r="G125" s="19">
        <v>1</v>
      </c>
      <c r="H125" s="13">
        <v>37440</v>
      </c>
      <c r="I125" s="80">
        <f>F125*H125</f>
        <v>1101.1764705882354</v>
      </c>
      <c r="J125" s="91">
        <f>I125*E125</f>
        <v>37440</v>
      </c>
      <c r="K125" s="91"/>
    </row>
    <row r="126" spans="1:11">
      <c r="A126" s="14"/>
      <c r="B126" s="5" t="s">
        <v>47</v>
      </c>
      <c r="C126" s="5" t="s">
        <v>26</v>
      </c>
      <c r="D126" s="5">
        <v>1</v>
      </c>
      <c r="E126" s="98">
        <v>34</v>
      </c>
      <c r="F126" s="29">
        <f>D126/E126</f>
        <v>2.9411764705882353E-2</v>
      </c>
      <c r="G126" s="18">
        <v>1</v>
      </c>
      <c r="H126" s="6">
        <v>342000</v>
      </c>
      <c r="I126" s="81">
        <f t="shared" ref="I126" si="54">F126*H126</f>
        <v>10058.823529411764</v>
      </c>
      <c r="J126" s="91">
        <f t="shared" si="50"/>
        <v>342000</v>
      </c>
      <c r="K126" s="91"/>
    </row>
    <row r="127" spans="1:11">
      <c r="A127" s="14"/>
      <c r="B127" s="5"/>
      <c r="C127" s="5"/>
      <c r="D127" s="5"/>
      <c r="E127" s="98"/>
      <c r="F127" s="29"/>
      <c r="G127" s="18"/>
      <c r="H127" s="6"/>
      <c r="I127" s="86">
        <f>SUM(I125:I126)</f>
        <v>11160</v>
      </c>
      <c r="J127" s="91"/>
      <c r="K127" s="91"/>
    </row>
    <row r="128" spans="1:11">
      <c r="A128" s="14"/>
      <c r="B128" s="5"/>
      <c r="C128" s="5"/>
      <c r="D128" s="5"/>
      <c r="E128" s="98"/>
      <c r="F128" s="29"/>
      <c r="G128" s="18" t="s">
        <v>48</v>
      </c>
      <c r="H128" s="6"/>
      <c r="I128" s="86">
        <f>I125</f>
        <v>1101.1764705882354</v>
      </c>
      <c r="J128" s="91">
        <f>I128*E125</f>
        <v>37440</v>
      </c>
      <c r="K128" s="104">
        <v>37440</v>
      </c>
    </row>
    <row r="129" spans="1:11" ht="15.75" thickBot="1">
      <c r="A129" s="15"/>
      <c r="B129" s="16"/>
      <c r="C129" s="16"/>
      <c r="D129" s="16"/>
      <c r="E129" s="95"/>
      <c r="F129" s="38"/>
      <c r="G129" s="39" t="s">
        <v>49</v>
      </c>
      <c r="H129" s="17"/>
      <c r="I129" s="82">
        <f>I127-I128</f>
        <v>10058.823529411764</v>
      </c>
      <c r="J129" s="91">
        <f>I129*E126</f>
        <v>342000</v>
      </c>
      <c r="K129" s="91">
        <f>342000</f>
        <v>342000</v>
      </c>
    </row>
    <row r="130" spans="1:11">
      <c r="A130" s="11" t="s">
        <v>39</v>
      </c>
      <c r="B130" s="12" t="s">
        <v>47</v>
      </c>
      <c r="C130" s="12" t="s">
        <v>26</v>
      </c>
      <c r="D130" s="12">
        <v>1</v>
      </c>
      <c r="E130" s="94">
        <f>E42</f>
        <v>212</v>
      </c>
      <c r="F130" s="29">
        <f>D130/E130</f>
        <v>4.7169811320754715E-3</v>
      </c>
      <c r="G130" s="19">
        <v>1</v>
      </c>
      <c r="H130" s="13">
        <v>74840</v>
      </c>
      <c r="I130" s="80">
        <f>F130*H130</f>
        <v>353.01886792452831</v>
      </c>
      <c r="J130" s="91">
        <f t="shared" si="50"/>
        <v>74840</v>
      </c>
      <c r="K130" s="91"/>
    </row>
    <row r="131" spans="1:11">
      <c r="A131" s="14"/>
      <c r="B131" s="5" t="s">
        <v>47</v>
      </c>
      <c r="C131" s="5" t="s">
        <v>26</v>
      </c>
      <c r="D131" s="5">
        <v>1</v>
      </c>
      <c r="E131" s="98">
        <f>E130</f>
        <v>212</v>
      </c>
      <c r="F131" s="29">
        <f>D131/E131</f>
        <v>4.7169811320754715E-3</v>
      </c>
      <c r="G131" s="18">
        <v>1</v>
      </c>
      <c r="H131" s="6">
        <v>1520600</v>
      </c>
      <c r="I131" s="81">
        <f t="shared" ref="I131" si="55">F131*H131</f>
        <v>7172.6415094339618</v>
      </c>
      <c r="J131" s="91">
        <f t="shared" si="50"/>
        <v>1520600</v>
      </c>
      <c r="K131" s="91"/>
    </row>
    <row r="132" spans="1:11">
      <c r="A132" s="14"/>
      <c r="B132" s="5"/>
      <c r="C132" s="5"/>
      <c r="D132" s="5"/>
      <c r="E132" s="98"/>
      <c r="F132" s="29"/>
      <c r="G132" s="18"/>
      <c r="H132" s="6"/>
      <c r="I132" s="86">
        <f>SUM(I130:I131)</f>
        <v>7525.6603773584902</v>
      </c>
      <c r="J132" s="91"/>
      <c r="K132" s="91"/>
    </row>
    <row r="133" spans="1:11">
      <c r="A133" s="14"/>
      <c r="B133" s="5"/>
      <c r="C133" s="5"/>
      <c r="D133" s="5"/>
      <c r="E133" s="98"/>
      <c r="F133" s="29"/>
      <c r="G133" s="18" t="s">
        <v>48</v>
      </c>
      <c r="H133" s="6"/>
      <c r="I133" s="86">
        <f>I130</f>
        <v>353.01886792452831</v>
      </c>
      <c r="J133" s="91">
        <f>I133*E130</f>
        <v>74840</v>
      </c>
      <c r="K133" s="104">
        <v>74840</v>
      </c>
    </row>
    <row r="134" spans="1:11" ht="15.75" thickBot="1">
      <c r="A134" s="15"/>
      <c r="B134" s="16"/>
      <c r="C134" s="16"/>
      <c r="D134" s="16"/>
      <c r="E134" s="95"/>
      <c r="F134" s="38"/>
      <c r="G134" s="39" t="s">
        <v>49</v>
      </c>
      <c r="H134" s="17"/>
      <c r="I134" s="82">
        <f>I132-I133</f>
        <v>7172.6415094339618</v>
      </c>
      <c r="J134" s="91">
        <f>I134*E131</f>
        <v>1520600</v>
      </c>
      <c r="K134" s="91">
        <v>1520600</v>
      </c>
    </row>
    <row r="135" spans="1:11">
      <c r="A135" s="11" t="s">
        <v>40</v>
      </c>
      <c r="B135" s="12" t="s">
        <v>47</v>
      </c>
      <c r="C135" s="12" t="s">
        <v>26</v>
      </c>
      <c r="D135" s="12">
        <v>1</v>
      </c>
      <c r="E135" s="94">
        <f>E49</f>
        <v>252</v>
      </c>
      <c r="F135" s="28">
        <f>D135/E135</f>
        <v>3.968253968253968E-3</v>
      </c>
      <c r="G135" s="19">
        <v>1</v>
      </c>
      <c r="H135" s="13">
        <v>149760</v>
      </c>
      <c r="I135" s="80">
        <f>F135*H135</f>
        <v>594.28571428571422</v>
      </c>
      <c r="J135" s="91">
        <f t="shared" si="50"/>
        <v>149759.99999999997</v>
      </c>
      <c r="K135" s="91"/>
    </row>
    <row r="136" spans="1:11">
      <c r="A136" s="14"/>
      <c r="B136" s="5" t="s">
        <v>47</v>
      </c>
      <c r="C136" s="5" t="s">
        <v>26</v>
      </c>
      <c r="D136" s="5">
        <v>1</v>
      </c>
      <c r="E136" s="98">
        <f>E135</f>
        <v>252</v>
      </c>
      <c r="F136" s="29">
        <f>D136/E136</f>
        <v>3.968253968253968E-3</v>
      </c>
      <c r="G136" s="18">
        <v>1</v>
      </c>
      <c r="H136" s="6">
        <v>1643000</v>
      </c>
      <c r="I136" s="81">
        <f t="shared" ref="I136" si="56">F136*H136</f>
        <v>6519.8412698412694</v>
      </c>
      <c r="J136" s="91">
        <f t="shared" si="50"/>
        <v>1643000</v>
      </c>
      <c r="K136" s="91"/>
    </row>
    <row r="137" spans="1:11">
      <c r="A137" s="14"/>
      <c r="B137" s="5"/>
      <c r="C137" s="5"/>
      <c r="D137" s="5"/>
      <c r="E137" s="98"/>
      <c r="F137" s="29"/>
      <c r="G137" s="18"/>
      <c r="H137" s="6"/>
      <c r="I137" s="86">
        <f>SUM(I135:I136)</f>
        <v>7114.1269841269841</v>
      </c>
      <c r="J137" s="91"/>
      <c r="K137" s="91"/>
    </row>
    <row r="138" spans="1:11">
      <c r="A138" s="14"/>
      <c r="B138" s="5"/>
      <c r="C138" s="5"/>
      <c r="D138" s="5"/>
      <c r="E138" s="98"/>
      <c r="F138" s="29"/>
      <c r="G138" s="18" t="s">
        <v>48</v>
      </c>
      <c r="H138" s="6"/>
      <c r="I138" s="86">
        <f>I135</f>
        <v>594.28571428571422</v>
      </c>
      <c r="J138" s="91">
        <f>I138*E135</f>
        <v>149759.99999999997</v>
      </c>
      <c r="K138" s="104">
        <v>149760</v>
      </c>
    </row>
    <row r="139" spans="1:11" ht="15.75" thickBot="1">
      <c r="A139" s="15"/>
      <c r="B139" s="16"/>
      <c r="C139" s="16"/>
      <c r="D139" s="16"/>
      <c r="E139" s="95"/>
      <c r="F139" s="38"/>
      <c r="G139" s="39" t="s">
        <v>49</v>
      </c>
      <c r="H139" s="17"/>
      <c r="I139" s="82">
        <f>I137-I138</f>
        <v>6519.8412698412703</v>
      </c>
      <c r="J139" s="91">
        <f>I139*E136</f>
        <v>1643000.0000000002</v>
      </c>
      <c r="K139" s="91">
        <v>1643000</v>
      </c>
    </row>
    <row r="140" spans="1:11">
      <c r="A140" s="11" t="s">
        <v>57</v>
      </c>
      <c r="B140" s="12" t="s">
        <v>47</v>
      </c>
      <c r="C140" s="12" t="s">
        <v>26</v>
      </c>
      <c r="D140" s="12">
        <v>1</v>
      </c>
      <c r="E140" s="94">
        <f>E56</f>
        <v>130</v>
      </c>
      <c r="F140" s="29">
        <f>D140/E140</f>
        <v>7.6923076923076927E-3</v>
      </c>
      <c r="G140" s="19">
        <v>1</v>
      </c>
      <c r="H140" s="13">
        <v>37440</v>
      </c>
      <c r="I140" s="80">
        <f>F140*H140</f>
        <v>288</v>
      </c>
      <c r="J140" s="91">
        <f t="shared" si="50"/>
        <v>37440</v>
      </c>
      <c r="K140" s="91"/>
    </row>
    <row r="141" spans="1:11">
      <c r="A141" s="14"/>
      <c r="B141" s="5" t="s">
        <v>47</v>
      </c>
      <c r="C141" s="5" t="s">
        <v>26</v>
      </c>
      <c r="D141" s="5">
        <v>1</v>
      </c>
      <c r="E141" s="98">
        <f>E140</f>
        <v>130</v>
      </c>
      <c r="F141" s="29">
        <f>D141/E141</f>
        <v>7.6923076923076927E-3</v>
      </c>
      <c r="G141" s="18">
        <v>1</v>
      </c>
      <c r="H141" s="6">
        <v>1518700</v>
      </c>
      <c r="I141" s="81">
        <f t="shared" ref="I141" si="57">F141*H141</f>
        <v>11682.307692307693</v>
      </c>
      <c r="J141" s="91">
        <f t="shared" si="50"/>
        <v>1518700.0000000002</v>
      </c>
      <c r="K141" s="91"/>
    </row>
    <row r="142" spans="1:11">
      <c r="A142" s="14"/>
      <c r="B142" s="5"/>
      <c r="C142" s="5"/>
      <c r="D142" s="5"/>
      <c r="E142" s="98"/>
      <c r="F142" s="29"/>
      <c r="G142" s="18"/>
      <c r="H142" s="6"/>
      <c r="I142" s="86">
        <f>SUM(I140:I141)</f>
        <v>11970.307692307693</v>
      </c>
      <c r="J142" s="91"/>
      <c r="K142" s="91"/>
    </row>
    <row r="143" spans="1:11">
      <c r="A143" s="14"/>
      <c r="B143" s="5"/>
      <c r="C143" s="5"/>
      <c r="D143" s="5"/>
      <c r="E143" s="98"/>
      <c r="F143" s="29"/>
      <c r="G143" s="18" t="s">
        <v>48</v>
      </c>
      <c r="H143" s="6"/>
      <c r="I143" s="86">
        <f>I140</f>
        <v>288</v>
      </c>
      <c r="J143" s="91">
        <f>I143*E140</f>
        <v>37440</v>
      </c>
      <c r="K143" s="104">
        <v>37440</v>
      </c>
    </row>
    <row r="144" spans="1:11" ht="15.75" thickBot="1">
      <c r="A144" s="15"/>
      <c r="B144" s="16"/>
      <c r="C144" s="16"/>
      <c r="D144" s="16"/>
      <c r="E144" s="95"/>
      <c r="F144" s="38"/>
      <c r="G144" s="39" t="s">
        <v>49</v>
      </c>
      <c r="H144" s="17"/>
      <c r="I144" s="82">
        <f>I142-I143</f>
        <v>11682.307692307693</v>
      </c>
      <c r="J144" s="91">
        <f>I144*E141</f>
        <v>1518700.0000000002</v>
      </c>
      <c r="K144" s="91">
        <v>1518700</v>
      </c>
    </row>
    <row r="145" spans="1:11">
      <c r="A145" s="11" t="s">
        <v>41</v>
      </c>
      <c r="B145" s="12" t="s">
        <v>47</v>
      </c>
      <c r="C145" s="12" t="s">
        <v>26</v>
      </c>
      <c r="D145" s="12">
        <v>1</v>
      </c>
      <c r="E145" s="94">
        <f>E63</f>
        <v>125</v>
      </c>
      <c r="F145" s="28">
        <f>D145/E145</f>
        <v>8.0000000000000002E-3</v>
      </c>
      <c r="G145" s="19">
        <v>1</v>
      </c>
      <c r="H145" s="13">
        <v>37440</v>
      </c>
      <c r="I145" s="80">
        <f>F145*H145</f>
        <v>299.52</v>
      </c>
      <c r="J145" s="91">
        <f t="shared" si="50"/>
        <v>37440</v>
      </c>
      <c r="K145" s="91"/>
    </row>
    <row r="146" spans="1:11">
      <c r="A146" s="14"/>
      <c r="B146" s="5" t="s">
        <v>47</v>
      </c>
      <c r="C146" s="5" t="s">
        <v>26</v>
      </c>
      <c r="D146" s="5">
        <v>1</v>
      </c>
      <c r="E146" s="98">
        <f>E145</f>
        <v>125</v>
      </c>
      <c r="F146" s="29">
        <f>D146/E146</f>
        <v>8.0000000000000002E-3</v>
      </c>
      <c r="G146" s="18">
        <v>1</v>
      </c>
      <c r="H146" s="6">
        <v>933000</v>
      </c>
      <c r="I146" s="81">
        <f t="shared" ref="I146" si="58">F146*H146</f>
        <v>7464</v>
      </c>
      <c r="J146" s="91">
        <f t="shared" si="50"/>
        <v>933000</v>
      </c>
      <c r="K146" s="91"/>
    </row>
    <row r="147" spans="1:11">
      <c r="A147" s="14"/>
      <c r="B147" s="5"/>
      <c r="C147" s="5"/>
      <c r="D147" s="5"/>
      <c r="E147" s="98"/>
      <c r="F147" s="29"/>
      <c r="G147" s="18"/>
      <c r="H147" s="6"/>
      <c r="I147" s="86">
        <f>SUM(I145:I146)</f>
        <v>7763.52</v>
      </c>
      <c r="J147" s="91"/>
      <c r="K147" s="91"/>
    </row>
    <row r="148" spans="1:11">
      <c r="A148" s="14"/>
      <c r="B148" s="5"/>
      <c r="C148" s="5"/>
      <c r="D148" s="5"/>
      <c r="E148" s="98"/>
      <c r="F148" s="29"/>
      <c r="G148" s="18" t="s">
        <v>48</v>
      </c>
      <c r="H148" s="6"/>
      <c r="I148" s="86">
        <f>I145</f>
        <v>299.52</v>
      </c>
      <c r="J148" s="91">
        <f>I148*E145</f>
        <v>37440</v>
      </c>
      <c r="K148" s="104">
        <v>37440</v>
      </c>
    </row>
    <row r="149" spans="1:11" ht="15.75" thickBot="1">
      <c r="A149" s="15"/>
      <c r="B149" s="16"/>
      <c r="C149" s="16"/>
      <c r="D149" s="16"/>
      <c r="E149" s="95"/>
      <c r="F149" s="38"/>
      <c r="G149" s="39" t="s">
        <v>49</v>
      </c>
      <c r="H149" s="17"/>
      <c r="I149" s="82">
        <f>I147-I148</f>
        <v>7464</v>
      </c>
      <c r="J149" s="91">
        <f>I149*E146</f>
        <v>933000</v>
      </c>
      <c r="K149" s="91">
        <v>933000</v>
      </c>
    </row>
    <row r="150" spans="1:11">
      <c r="A150" s="11" t="s">
        <v>30</v>
      </c>
      <c r="B150" s="12" t="s">
        <v>47</v>
      </c>
      <c r="C150" s="12" t="s">
        <v>26</v>
      </c>
      <c r="D150" s="12">
        <v>1</v>
      </c>
      <c r="E150" s="94">
        <f>E71</f>
        <v>191</v>
      </c>
      <c r="F150" s="28">
        <f>D150/E150</f>
        <v>5.235602094240838E-3</v>
      </c>
      <c r="G150" s="19">
        <v>1</v>
      </c>
      <c r="H150" s="13">
        <v>93600</v>
      </c>
      <c r="I150" s="80">
        <f>F150*H150</f>
        <v>490.05235602094245</v>
      </c>
      <c r="J150" s="91">
        <f t="shared" si="50"/>
        <v>93600.000000000015</v>
      </c>
      <c r="K150" s="91"/>
    </row>
    <row r="151" spans="1:11">
      <c r="A151" s="14"/>
      <c r="B151" s="5" t="s">
        <v>47</v>
      </c>
      <c r="C151" s="5" t="s">
        <v>26</v>
      </c>
      <c r="D151" s="5">
        <v>1</v>
      </c>
      <c r="E151" s="98">
        <f>E150</f>
        <v>191</v>
      </c>
      <c r="F151" s="29">
        <f>D151/E151</f>
        <v>5.235602094240838E-3</v>
      </c>
      <c r="G151" s="18">
        <v>1</v>
      </c>
      <c r="H151" s="6">
        <v>1199300</v>
      </c>
      <c r="I151" s="81">
        <f t="shared" ref="I151" si="59">F151*H151</f>
        <v>6279.0575916230373</v>
      </c>
      <c r="J151" s="91">
        <f t="shared" si="50"/>
        <v>1199300.0000000002</v>
      </c>
      <c r="K151" s="91"/>
    </row>
    <row r="152" spans="1:11">
      <c r="A152" s="14"/>
      <c r="B152" s="5"/>
      <c r="C152" s="5"/>
      <c r="D152" s="5"/>
      <c r="E152" s="98"/>
      <c r="F152" s="29"/>
      <c r="G152" s="18"/>
      <c r="H152" s="6"/>
      <c r="I152" s="86">
        <f>SUM(I150:I151)</f>
        <v>6769.1099476439795</v>
      </c>
      <c r="J152" s="91"/>
      <c r="K152" s="91"/>
    </row>
    <row r="153" spans="1:11">
      <c r="A153" s="14"/>
      <c r="B153" s="5"/>
      <c r="C153" s="5"/>
      <c r="D153" s="5"/>
      <c r="E153" s="98"/>
      <c r="F153" s="29"/>
      <c r="G153" s="18" t="s">
        <v>48</v>
      </c>
      <c r="H153" s="6"/>
      <c r="I153" s="86">
        <f>I150</f>
        <v>490.05235602094245</v>
      </c>
      <c r="J153" s="91">
        <f>I153*E150</f>
        <v>93600.000000000015</v>
      </c>
      <c r="K153" s="104">
        <v>93600</v>
      </c>
    </row>
    <row r="154" spans="1:11" ht="15.75" thickBot="1">
      <c r="A154" s="15"/>
      <c r="B154" s="16"/>
      <c r="C154" s="16"/>
      <c r="D154" s="16"/>
      <c r="E154" s="95"/>
      <c r="F154" s="38"/>
      <c r="G154" s="39" t="s">
        <v>49</v>
      </c>
      <c r="H154" s="17"/>
      <c r="I154" s="82">
        <f>I152-I153</f>
        <v>6279.0575916230373</v>
      </c>
      <c r="J154" s="91">
        <f>I154*E151</f>
        <v>1199300.0000000002</v>
      </c>
      <c r="K154" s="91">
        <v>1199300</v>
      </c>
    </row>
    <row r="155" spans="1:11">
      <c r="A155" s="11" t="s">
        <v>36</v>
      </c>
      <c r="B155" s="12" t="s">
        <v>47</v>
      </c>
      <c r="C155" s="12" t="s">
        <v>26</v>
      </c>
      <c r="D155" s="12">
        <v>1</v>
      </c>
      <c r="E155" s="94">
        <v>257</v>
      </c>
      <c r="F155" s="28">
        <f>D155/E155</f>
        <v>3.8910505836575876E-3</v>
      </c>
      <c r="G155" s="19">
        <v>1</v>
      </c>
      <c r="H155" s="13">
        <v>74880</v>
      </c>
      <c r="I155" s="80">
        <f>F155*H155</f>
        <v>291.36186770428014</v>
      </c>
      <c r="J155" s="91">
        <f t="shared" si="50"/>
        <v>74880</v>
      </c>
      <c r="K155" s="91"/>
    </row>
    <row r="156" spans="1:11">
      <c r="A156" s="14"/>
      <c r="B156" s="5" t="s">
        <v>47</v>
      </c>
      <c r="C156" s="5" t="s">
        <v>26</v>
      </c>
      <c r="D156" s="5">
        <v>1</v>
      </c>
      <c r="E156" s="98">
        <v>257</v>
      </c>
      <c r="F156" s="29">
        <f>D156/E156</f>
        <v>3.8910505836575876E-3</v>
      </c>
      <c r="G156" s="18">
        <v>1</v>
      </c>
      <c r="H156" s="6">
        <v>2105300</v>
      </c>
      <c r="I156" s="81">
        <f t="shared" ref="I156" si="60">F156*H156</f>
        <v>8191.8287937743189</v>
      </c>
      <c r="J156" s="91">
        <f t="shared" si="50"/>
        <v>2105300</v>
      </c>
      <c r="K156" s="91"/>
    </row>
    <row r="157" spans="1:11">
      <c r="A157" s="14"/>
      <c r="B157" s="5"/>
      <c r="C157" s="5"/>
      <c r="D157" s="5"/>
      <c r="E157" s="98"/>
      <c r="F157" s="29"/>
      <c r="G157" s="18"/>
      <c r="H157" s="6"/>
      <c r="I157" s="86">
        <f>SUM(I155:I156)</f>
        <v>8483.1906614785985</v>
      </c>
      <c r="J157" s="91"/>
      <c r="K157" s="91"/>
    </row>
    <row r="158" spans="1:11">
      <c r="A158" s="14"/>
      <c r="B158" s="5"/>
      <c r="C158" s="5"/>
      <c r="D158" s="5"/>
      <c r="E158" s="98"/>
      <c r="F158" s="29"/>
      <c r="G158" s="18" t="s">
        <v>48</v>
      </c>
      <c r="H158" s="6"/>
      <c r="I158" s="86">
        <f>I155</f>
        <v>291.36186770428014</v>
      </c>
      <c r="J158" s="91">
        <f>I158*E155</f>
        <v>74880</v>
      </c>
      <c r="K158" s="104">
        <v>74880</v>
      </c>
    </row>
    <row r="159" spans="1:11" ht="15.75" thickBot="1">
      <c r="A159" s="15"/>
      <c r="B159" s="16"/>
      <c r="C159" s="16"/>
      <c r="D159" s="16"/>
      <c r="E159" s="95"/>
      <c r="F159" s="38"/>
      <c r="G159" s="39" t="s">
        <v>49</v>
      </c>
      <c r="H159" s="17"/>
      <c r="I159" s="82">
        <f>I157-I158</f>
        <v>8191.828793774318</v>
      </c>
      <c r="J159" s="91">
        <f>I159*E156</f>
        <v>2105299.9999999995</v>
      </c>
      <c r="K159" s="105">
        <v>2105300</v>
      </c>
    </row>
    <row r="160" spans="1:11" ht="15.75" thickBot="1">
      <c r="A160" s="70"/>
      <c r="B160" s="32"/>
      <c r="C160" s="32"/>
      <c r="D160" s="32"/>
      <c r="E160" s="97"/>
      <c r="F160" s="32"/>
      <c r="G160" s="70"/>
      <c r="H160" s="70"/>
      <c r="I160" s="49"/>
      <c r="J160" s="1">
        <f t="shared" si="50"/>
        <v>0</v>
      </c>
    </row>
    <row r="161" spans="1:11">
      <c r="A161" s="11" t="s">
        <v>37</v>
      </c>
      <c r="B161" s="12" t="s">
        <v>47</v>
      </c>
      <c r="C161" s="12" t="s">
        <v>26</v>
      </c>
      <c r="D161" s="12">
        <v>1</v>
      </c>
      <c r="E161" s="94">
        <v>316</v>
      </c>
      <c r="F161" s="28">
        <f>D161/E161</f>
        <v>3.1645569620253164E-3</v>
      </c>
      <c r="G161" s="19">
        <v>1</v>
      </c>
      <c r="H161" s="13">
        <v>131040</v>
      </c>
      <c r="I161" s="80">
        <f>F161*H161</f>
        <v>414.68354430379748</v>
      </c>
      <c r="J161" s="91">
        <f t="shared" si="50"/>
        <v>131040</v>
      </c>
      <c r="K161" s="91"/>
    </row>
    <row r="162" spans="1:11">
      <c r="A162" s="14"/>
      <c r="B162" s="5" t="s">
        <v>47</v>
      </c>
      <c r="C162" s="5" t="s">
        <v>26</v>
      </c>
      <c r="D162" s="5">
        <v>1</v>
      </c>
      <c r="E162" s="98">
        <v>316</v>
      </c>
      <c r="F162" s="29">
        <f>D162/E162</f>
        <v>3.1645569620253164E-3</v>
      </c>
      <c r="G162" s="18">
        <v>1</v>
      </c>
      <c r="H162" s="6">
        <v>1953200</v>
      </c>
      <c r="I162" s="81">
        <f t="shared" ref="I162" si="61">F162*H162</f>
        <v>6181.0126582278481</v>
      </c>
      <c r="J162" s="91">
        <f t="shared" si="50"/>
        <v>1953200</v>
      </c>
      <c r="K162" s="91"/>
    </row>
    <row r="163" spans="1:11">
      <c r="A163" s="14"/>
      <c r="B163" s="5"/>
      <c r="C163" s="5"/>
      <c r="D163" s="5"/>
      <c r="E163" s="98"/>
      <c r="F163" s="29"/>
      <c r="G163" s="18"/>
      <c r="H163" s="6"/>
      <c r="I163" s="86">
        <f>SUM(I161:I162)</f>
        <v>6595.6962025316452</v>
      </c>
      <c r="J163" s="91"/>
      <c r="K163" s="91"/>
    </row>
    <row r="164" spans="1:11">
      <c r="A164" s="14"/>
      <c r="B164" s="5"/>
      <c r="C164" s="5"/>
      <c r="D164" s="5"/>
      <c r="E164" s="98"/>
      <c r="F164" s="29"/>
      <c r="G164" s="18" t="s">
        <v>48</v>
      </c>
      <c r="H164" s="6"/>
      <c r="I164" s="86">
        <f>I161</f>
        <v>414.68354430379748</v>
      </c>
      <c r="J164" s="91">
        <f>I164*E161</f>
        <v>131040</v>
      </c>
      <c r="K164" s="104">
        <v>131040</v>
      </c>
    </row>
    <row r="165" spans="1:11" ht="15.75" thickBot="1">
      <c r="A165" s="15"/>
      <c r="B165" s="16"/>
      <c r="C165" s="16"/>
      <c r="D165" s="16"/>
      <c r="E165" s="95"/>
      <c r="F165" s="38"/>
      <c r="G165" s="39" t="s">
        <v>49</v>
      </c>
      <c r="H165" s="17"/>
      <c r="I165" s="82">
        <f>I163-I164</f>
        <v>6181.0126582278481</v>
      </c>
      <c r="J165" s="91">
        <f>I165*E162</f>
        <v>1953200</v>
      </c>
      <c r="K165" s="91">
        <v>1953200</v>
      </c>
    </row>
    <row r="166" spans="1:11">
      <c r="A166" s="11" t="s">
        <v>38</v>
      </c>
      <c r="B166" s="12" t="s">
        <v>47</v>
      </c>
      <c r="C166" s="12" t="s">
        <v>26</v>
      </c>
      <c r="D166" s="12">
        <v>1</v>
      </c>
      <c r="E166" s="94">
        <f>E93</f>
        <v>401</v>
      </c>
      <c r="F166" s="28">
        <f>D166/E166</f>
        <v>2.4937655860349127E-3</v>
      </c>
      <c r="G166" s="19">
        <v>1</v>
      </c>
      <c r="H166" s="13">
        <v>149760</v>
      </c>
      <c r="I166" s="80">
        <f>F166*H166</f>
        <v>373.46633416458855</v>
      </c>
      <c r="J166" s="91">
        <f t="shared" si="50"/>
        <v>149760</v>
      </c>
      <c r="K166" s="91"/>
    </row>
    <row r="167" spans="1:11">
      <c r="A167" s="14"/>
      <c r="B167" s="5" t="s">
        <v>47</v>
      </c>
      <c r="C167" s="5" t="s">
        <v>26</v>
      </c>
      <c r="D167" s="5">
        <v>1</v>
      </c>
      <c r="E167" s="98">
        <f>E166</f>
        <v>401</v>
      </c>
      <c r="F167" s="29">
        <f>D167/E167</f>
        <v>2.4937655860349127E-3</v>
      </c>
      <c r="G167" s="18">
        <v>1</v>
      </c>
      <c r="H167" s="6">
        <v>2944140</v>
      </c>
      <c r="I167" s="81">
        <f t="shared" ref="I167" si="62">F167*H167</f>
        <v>7341.9950124688276</v>
      </c>
      <c r="J167" s="91">
        <f t="shared" si="50"/>
        <v>2944140</v>
      </c>
      <c r="K167" s="91"/>
    </row>
    <row r="168" spans="1:11">
      <c r="A168" s="14"/>
      <c r="B168" s="5"/>
      <c r="C168" s="5"/>
      <c r="D168" s="5"/>
      <c r="E168" s="98"/>
      <c r="F168" s="29"/>
      <c r="G168" s="18"/>
      <c r="H168" s="6"/>
      <c r="I168" s="86">
        <f>SUM(I166:I167)</f>
        <v>7715.4613466334158</v>
      </c>
      <c r="J168" s="91">
        <f>I168*E167</f>
        <v>3093899.9999999995</v>
      </c>
      <c r="K168" s="91"/>
    </row>
    <row r="169" spans="1:11">
      <c r="A169" s="14"/>
      <c r="B169" s="5"/>
      <c r="C169" s="5"/>
      <c r="D169" s="5"/>
      <c r="E169" s="98"/>
      <c r="F169" s="29"/>
      <c r="G169" s="18" t="s">
        <v>48</v>
      </c>
      <c r="H169" s="6"/>
      <c r="I169" s="86">
        <f>I166</f>
        <v>373.46633416458855</v>
      </c>
      <c r="J169" s="91">
        <f>I169*E166</f>
        <v>149760</v>
      </c>
      <c r="K169" s="104">
        <v>149760</v>
      </c>
    </row>
    <row r="170" spans="1:11" ht="15.75" thickBot="1">
      <c r="A170" s="15"/>
      <c r="B170" s="16"/>
      <c r="C170" s="16"/>
      <c r="D170" s="16"/>
      <c r="E170" s="95"/>
      <c r="F170" s="38"/>
      <c r="G170" s="39" t="s">
        <v>49</v>
      </c>
      <c r="H170" s="17"/>
      <c r="I170" s="82">
        <f>I168-I169</f>
        <v>7341.9950124688276</v>
      </c>
      <c r="J170" s="91">
        <f>I170*E167</f>
        <v>2944140</v>
      </c>
      <c r="K170" s="91">
        <v>2944140</v>
      </c>
    </row>
  </sheetData>
  <mergeCells count="1">
    <mergeCell ref="A1:I1"/>
  </mergeCells>
  <pageMargins left="0.51181102362204722" right="0.11811023622047245" top="0.35433070866141736" bottom="0" header="0.31496062992125984" footer="0.31496062992125984"/>
  <pageSetup paperSize="9" scale="85" orientation="landscape" horizontalDpi="180" verticalDpi="180" r:id="rId1"/>
  <rowBreaks count="1" manualBreakCount="1">
    <brk id="100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R60"/>
  <sheetViews>
    <sheetView workbookViewId="0">
      <pane xSplit="1" ySplit="6" topLeftCell="B10" activePane="bottomRight" state="frozen"/>
      <selection pane="topRight" activeCell="B1" sqref="B1"/>
      <selection pane="bottomLeft" activeCell="A7" sqref="A7"/>
      <selection pane="bottomRight" activeCell="I1" sqref="I1:J1048576"/>
    </sheetView>
  </sheetViews>
  <sheetFormatPr defaultRowHeight="15"/>
  <cols>
    <col min="1" max="1" width="16.7109375" customWidth="1"/>
    <col min="2" max="2" width="23.85546875" style="1" customWidth="1"/>
    <col min="3" max="3" width="13.42578125" style="1" customWidth="1"/>
    <col min="4" max="4" width="15" style="1" customWidth="1"/>
    <col min="5" max="5" width="11.42578125" style="91" customWidth="1"/>
    <col min="6" max="6" width="13.7109375" style="1" customWidth="1"/>
    <col min="7" max="7" width="14.5703125" customWidth="1"/>
    <col min="8" max="8" width="11.85546875" style="1" customWidth="1"/>
    <col min="9" max="9" width="10" style="91" customWidth="1"/>
    <col min="10" max="10" width="9.140625" style="91"/>
    <col min="11" max="18" width="9.140625" style="1"/>
  </cols>
  <sheetData>
    <row r="1" spans="1:11" ht="18.75">
      <c r="A1" s="31" t="s">
        <v>29</v>
      </c>
    </row>
    <row r="3" spans="1:11" ht="18.75">
      <c r="A3" s="107" t="s">
        <v>50</v>
      </c>
      <c r="B3" s="107"/>
      <c r="C3" s="107"/>
      <c r="D3" s="107"/>
      <c r="E3" s="107"/>
      <c r="F3" s="107"/>
      <c r="G3" s="107"/>
      <c r="H3" s="107"/>
    </row>
    <row r="4" spans="1:11" ht="15.75" thickBot="1">
      <c r="G4" s="51" t="s">
        <v>48</v>
      </c>
    </row>
    <row r="5" spans="1:11" ht="60">
      <c r="A5" s="21" t="s">
        <v>3</v>
      </c>
      <c r="B5" s="22" t="s">
        <v>23</v>
      </c>
      <c r="C5" s="22" t="s">
        <v>19</v>
      </c>
      <c r="D5" s="22" t="s">
        <v>24</v>
      </c>
      <c r="E5" s="92" t="s">
        <v>46</v>
      </c>
      <c r="F5" s="22" t="s">
        <v>42</v>
      </c>
      <c r="G5" s="22" t="s">
        <v>27</v>
      </c>
      <c r="H5" s="23" t="s">
        <v>10</v>
      </c>
      <c r="I5" s="106"/>
      <c r="J5" s="106"/>
      <c r="K5" s="2"/>
    </row>
    <row r="6" spans="1:11" ht="15.75" thickBot="1">
      <c r="A6" s="24">
        <v>1</v>
      </c>
      <c r="B6" s="25">
        <v>2</v>
      </c>
      <c r="C6" s="25">
        <v>3</v>
      </c>
      <c r="D6" s="25">
        <v>4</v>
      </c>
      <c r="E6" s="102">
        <v>5</v>
      </c>
      <c r="F6" s="25" t="s">
        <v>18</v>
      </c>
      <c r="G6" s="26">
        <v>8</v>
      </c>
      <c r="H6" s="27" t="s">
        <v>20</v>
      </c>
      <c r="I6" s="91" t="s">
        <v>58</v>
      </c>
      <c r="J6" s="91" t="s">
        <v>55</v>
      </c>
    </row>
    <row r="7" spans="1:11">
      <c r="A7" s="11" t="s">
        <v>32</v>
      </c>
      <c r="B7" s="12" t="s">
        <v>25</v>
      </c>
      <c r="C7" s="12" t="s">
        <v>26</v>
      </c>
      <c r="D7" s="12">
        <v>1</v>
      </c>
      <c r="E7" s="94">
        <f>з.пл.!E6</f>
        <v>239</v>
      </c>
      <c r="F7" s="30">
        <f>D7/E7</f>
        <v>4.1841004184100415E-3</v>
      </c>
      <c r="G7" s="13">
        <f>25440+78084</f>
        <v>103524</v>
      </c>
      <c r="H7" s="80">
        <f>F7*G7</f>
        <v>433.15481171548112</v>
      </c>
    </row>
    <row r="8" spans="1:11" s="1" customFormat="1">
      <c r="A8" s="14"/>
      <c r="B8" s="5" t="s">
        <v>28</v>
      </c>
      <c r="C8" s="5"/>
      <c r="D8" s="5">
        <v>5</v>
      </c>
      <c r="E8" s="103">
        <f>E7</f>
        <v>239</v>
      </c>
      <c r="F8" s="29">
        <f t="shared" ref="F8" si="0">D8/E8</f>
        <v>2.0920502092050208E-2</v>
      </c>
      <c r="G8" s="6">
        <v>1500</v>
      </c>
      <c r="H8" s="81">
        <f>F8*G8</f>
        <v>31.380753138075313</v>
      </c>
      <c r="I8" s="91"/>
      <c r="J8" s="91"/>
    </row>
    <row r="9" spans="1:11" s="1" customFormat="1">
      <c r="A9" s="14"/>
      <c r="B9" s="5"/>
      <c r="C9" s="10"/>
      <c r="D9" s="5"/>
      <c r="E9" s="103"/>
      <c r="F9" s="29"/>
      <c r="G9" s="6"/>
      <c r="H9" s="81">
        <f>F9*G9</f>
        <v>0</v>
      </c>
      <c r="I9" s="91"/>
      <c r="J9" s="91"/>
    </row>
    <row r="10" spans="1:11" s="1" customFormat="1" ht="15.75" thickBot="1">
      <c r="A10" s="15"/>
      <c r="B10" s="16"/>
      <c r="C10" s="16"/>
      <c r="D10" s="16"/>
      <c r="E10" s="95"/>
      <c r="F10" s="16"/>
      <c r="G10" s="20"/>
      <c r="H10" s="82">
        <f>SUM(H7:H9)</f>
        <v>464.53556485355642</v>
      </c>
      <c r="I10" s="91">
        <f>H10*E7</f>
        <v>111023.99999999999</v>
      </c>
      <c r="J10" s="91">
        <v>111024</v>
      </c>
    </row>
    <row r="11" spans="1:11">
      <c r="A11" s="11" t="s">
        <v>33</v>
      </c>
      <c r="B11" s="12" t="s">
        <v>25</v>
      </c>
      <c r="C11" s="12" t="s">
        <v>26</v>
      </c>
      <c r="D11" s="12">
        <v>1</v>
      </c>
      <c r="E11" s="94">
        <f>з.пл.!E7</f>
        <v>192</v>
      </c>
      <c r="F11" s="30">
        <f>D11/E11</f>
        <v>5.208333333333333E-3</v>
      </c>
      <c r="G11" s="13">
        <f>69500+65500</f>
        <v>135000</v>
      </c>
      <c r="H11" s="80">
        <f>F11*G11</f>
        <v>703.125</v>
      </c>
    </row>
    <row r="12" spans="1:11" s="1" customFormat="1">
      <c r="A12" s="14"/>
      <c r="B12" s="5" t="s">
        <v>28</v>
      </c>
      <c r="C12" s="5"/>
      <c r="D12" s="5">
        <v>10</v>
      </c>
      <c r="E12" s="103">
        <f>E11</f>
        <v>192</v>
      </c>
      <c r="F12" s="29">
        <f t="shared" ref="F12" si="1">D12/E12</f>
        <v>5.2083333333333336E-2</v>
      </c>
      <c r="G12" s="6">
        <v>1500</v>
      </c>
      <c r="H12" s="81">
        <f>F12*G12</f>
        <v>78.125</v>
      </c>
      <c r="I12" s="91"/>
      <c r="J12" s="91"/>
    </row>
    <row r="13" spans="1:11" s="1" customFormat="1">
      <c r="A13" s="14"/>
      <c r="B13" s="5"/>
      <c r="C13" s="10"/>
      <c r="D13" s="5"/>
      <c r="E13" s="103"/>
      <c r="F13" s="29"/>
      <c r="G13" s="6"/>
      <c r="H13" s="81">
        <f>F13*G13</f>
        <v>0</v>
      </c>
      <c r="I13" s="91"/>
      <c r="J13" s="91"/>
    </row>
    <row r="14" spans="1:11" s="1" customFormat="1" ht="15.75" thickBot="1">
      <c r="A14" s="15"/>
      <c r="B14" s="16"/>
      <c r="C14" s="16"/>
      <c r="D14" s="16"/>
      <c r="E14" s="95"/>
      <c r="F14" s="16"/>
      <c r="G14" s="20"/>
      <c r="H14" s="82">
        <f>SUM(H11:H13)</f>
        <v>781.25</v>
      </c>
      <c r="I14" s="91">
        <f>H14*E11</f>
        <v>150000</v>
      </c>
      <c r="J14" s="91">
        <v>150000</v>
      </c>
    </row>
    <row r="15" spans="1:11">
      <c r="A15" s="11" t="s">
        <v>34</v>
      </c>
      <c r="B15" s="12" t="s">
        <v>25</v>
      </c>
      <c r="C15" s="12" t="s">
        <v>26</v>
      </c>
      <c r="D15" s="12">
        <v>1</v>
      </c>
      <c r="E15" s="94">
        <f>з.пл.!E8</f>
        <v>214</v>
      </c>
      <c r="F15" s="30">
        <f>D15/E15</f>
        <v>4.6728971962616819E-3</v>
      </c>
      <c r="G15" s="13">
        <f>39785+38668</f>
        <v>78453</v>
      </c>
      <c r="H15" s="80">
        <f>F15*G15</f>
        <v>366.60280373831773</v>
      </c>
    </row>
    <row r="16" spans="1:11" s="1" customFormat="1">
      <c r="A16" s="14"/>
      <c r="B16" s="5" t="s">
        <v>28</v>
      </c>
      <c r="C16" s="5"/>
      <c r="D16" s="5">
        <v>10</v>
      </c>
      <c r="E16" s="103">
        <f>E15</f>
        <v>214</v>
      </c>
      <c r="F16" s="29">
        <f t="shared" ref="F16" si="2">D16/E16</f>
        <v>4.6728971962616821E-2</v>
      </c>
      <c r="G16" s="6">
        <v>2318</v>
      </c>
      <c r="H16" s="81">
        <f>F16*G16</f>
        <v>108.3177570093458</v>
      </c>
      <c r="I16" s="91"/>
      <c r="J16" s="91"/>
    </row>
    <row r="17" spans="1:10" s="1" customFormat="1">
      <c r="A17" s="14"/>
      <c r="B17" s="5"/>
      <c r="C17" s="10"/>
      <c r="D17" s="5"/>
      <c r="E17" s="103"/>
      <c r="F17" s="29"/>
      <c r="G17" s="6"/>
      <c r="H17" s="81">
        <f>F17*G17</f>
        <v>0</v>
      </c>
      <c r="I17" s="91"/>
      <c r="J17" s="91"/>
    </row>
    <row r="18" spans="1:10" s="1" customFormat="1" ht="15.75" thickBot="1">
      <c r="A18" s="15"/>
      <c r="B18" s="16"/>
      <c r="C18" s="16"/>
      <c r="D18" s="16"/>
      <c r="E18" s="95"/>
      <c r="F18" s="16"/>
      <c r="G18" s="20"/>
      <c r="H18" s="82">
        <f>SUM(H15:H17)</f>
        <v>474.92056074766356</v>
      </c>
      <c r="I18" s="91">
        <f>H18*E15</f>
        <v>101633</v>
      </c>
      <c r="J18" s="91">
        <v>101633</v>
      </c>
    </row>
    <row r="19" spans="1:10">
      <c r="A19" s="11" t="s">
        <v>35</v>
      </c>
      <c r="B19" s="12" t="s">
        <v>25</v>
      </c>
      <c r="C19" s="12" t="s">
        <v>26</v>
      </c>
      <c r="D19" s="12">
        <v>1</v>
      </c>
      <c r="E19" s="94">
        <f>з.пл.!E9</f>
        <v>152</v>
      </c>
      <c r="F19" s="30">
        <f>D19/E19</f>
        <v>6.5789473684210523E-3</v>
      </c>
      <c r="G19" s="13">
        <v>72440</v>
      </c>
      <c r="H19" s="80">
        <f>F19*G19</f>
        <v>476.57894736842104</v>
      </c>
    </row>
    <row r="20" spans="1:10" s="1" customFormat="1">
      <c r="A20" s="14"/>
      <c r="B20" s="5" t="s">
        <v>28</v>
      </c>
      <c r="C20" s="5"/>
      <c r="D20" s="5">
        <v>5</v>
      </c>
      <c r="E20" s="103">
        <f>E19</f>
        <v>152</v>
      </c>
      <c r="F20" s="29">
        <f t="shared" ref="F20" si="3">D20/E20</f>
        <v>3.2894736842105261E-2</v>
      </c>
      <c r="G20" s="6">
        <v>1500</v>
      </c>
      <c r="H20" s="81">
        <f>F20*G20</f>
        <v>49.34210526315789</v>
      </c>
      <c r="I20" s="91"/>
      <c r="J20" s="91"/>
    </row>
    <row r="21" spans="1:10" s="1" customFormat="1">
      <c r="A21" s="14"/>
      <c r="B21" s="5"/>
      <c r="C21" s="10"/>
      <c r="D21" s="5"/>
      <c r="E21" s="103"/>
      <c r="F21" s="29"/>
      <c r="G21" s="6"/>
      <c r="H21" s="81">
        <f>F21*G21</f>
        <v>0</v>
      </c>
      <c r="I21" s="91"/>
      <c r="J21" s="91"/>
    </row>
    <row r="22" spans="1:10" s="1" customFormat="1" ht="15.75" thickBot="1">
      <c r="A22" s="15"/>
      <c r="B22" s="16"/>
      <c r="C22" s="16"/>
      <c r="D22" s="16"/>
      <c r="E22" s="95"/>
      <c r="F22" s="16"/>
      <c r="G22" s="20"/>
      <c r="H22" s="82">
        <f>SUM(H19:H21)</f>
        <v>525.92105263157896</v>
      </c>
      <c r="I22" s="91">
        <f>H22*E19</f>
        <v>79940</v>
      </c>
      <c r="J22" s="91">
        <v>79940</v>
      </c>
    </row>
    <row r="23" spans="1:10">
      <c r="A23" s="14" t="s">
        <v>59</v>
      </c>
      <c r="B23" s="12" t="s">
        <v>25</v>
      </c>
      <c r="C23" s="12" t="s">
        <v>26</v>
      </c>
      <c r="D23" s="12">
        <v>1</v>
      </c>
      <c r="E23" s="94">
        <f>з.пл.!E10</f>
        <v>35</v>
      </c>
      <c r="F23" s="30">
        <f>D23/E23</f>
        <v>2.8571428571428571E-2</v>
      </c>
      <c r="G23" s="13">
        <v>15000</v>
      </c>
      <c r="H23" s="80">
        <f>F23*G23</f>
        <v>428.57142857142856</v>
      </c>
    </row>
    <row r="24" spans="1:10" s="1" customFormat="1">
      <c r="A24" s="14"/>
      <c r="B24" s="5" t="s">
        <v>28</v>
      </c>
      <c r="C24" s="5"/>
      <c r="D24" s="5">
        <v>3</v>
      </c>
      <c r="E24" s="103">
        <f>E23</f>
        <v>35</v>
      </c>
      <c r="F24" s="29">
        <f t="shared" ref="F24" si="4">D24/E24</f>
        <v>8.5714285714285715E-2</v>
      </c>
      <c r="G24" s="6">
        <v>1504</v>
      </c>
      <c r="H24" s="81">
        <f>F24*G24</f>
        <v>128.91428571428571</v>
      </c>
      <c r="I24" s="91"/>
      <c r="J24" s="91"/>
    </row>
    <row r="25" spans="1:10" s="1" customFormat="1">
      <c r="A25" s="14"/>
      <c r="B25" s="5"/>
      <c r="C25" s="10"/>
      <c r="D25" s="5"/>
      <c r="E25" s="103"/>
      <c r="F25" s="29"/>
      <c r="G25" s="6"/>
      <c r="H25" s="81">
        <f>F25*G25</f>
        <v>0</v>
      </c>
      <c r="I25" s="91"/>
      <c r="J25" s="91"/>
    </row>
    <row r="26" spans="1:10" s="1" customFormat="1" ht="15.75" thickBot="1">
      <c r="A26" s="15"/>
      <c r="B26" s="16"/>
      <c r="C26" s="16"/>
      <c r="D26" s="16"/>
      <c r="E26" s="95"/>
      <c r="F26" s="16"/>
      <c r="G26" s="20"/>
      <c r="H26" s="82">
        <f>SUM(H23:H25)</f>
        <v>557.48571428571427</v>
      </c>
      <c r="I26" s="91">
        <f>H26*E23</f>
        <v>19512</v>
      </c>
      <c r="J26" s="91">
        <v>19512</v>
      </c>
    </row>
    <row r="27" spans="1:10">
      <c r="A27" s="11" t="s">
        <v>39</v>
      </c>
      <c r="B27" s="12" t="s">
        <v>25</v>
      </c>
      <c r="C27" s="12" t="s">
        <v>26</v>
      </c>
      <c r="D27" s="12">
        <v>1</v>
      </c>
      <c r="E27" s="94">
        <f>з.пл.!E11</f>
        <v>212</v>
      </c>
      <c r="F27" s="30">
        <f>D27/E27</f>
        <v>4.7169811320754715E-3</v>
      </c>
      <c r="G27" s="13">
        <f>86960+80000</f>
        <v>166960</v>
      </c>
      <c r="H27" s="80">
        <f>F27*G27</f>
        <v>787.54716981132071</v>
      </c>
    </row>
    <row r="28" spans="1:10" s="1" customFormat="1">
      <c r="A28" s="14"/>
      <c r="B28" s="5" t="s">
        <v>28</v>
      </c>
      <c r="C28" s="5"/>
      <c r="D28" s="5">
        <v>20</v>
      </c>
      <c r="E28" s="103">
        <f>E27</f>
        <v>212</v>
      </c>
      <c r="F28" s="29">
        <f t="shared" ref="F28" si="5">D28/E28</f>
        <v>9.4339622641509441E-2</v>
      </c>
      <c r="G28" s="6">
        <v>1500</v>
      </c>
      <c r="H28" s="81">
        <f>F28*G28</f>
        <v>141.50943396226415</v>
      </c>
      <c r="I28" s="91"/>
      <c r="J28" s="91"/>
    </row>
    <row r="29" spans="1:10" s="1" customFormat="1">
      <c r="A29" s="14"/>
      <c r="B29" s="5"/>
      <c r="C29" s="10"/>
      <c r="D29" s="5"/>
      <c r="E29" s="103"/>
      <c r="F29" s="29"/>
      <c r="G29" s="6"/>
      <c r="H29" s="81">
        <f>F29*G29</f>
        <v>0</v>
      </c>
      <c r="I29" s="91"/>
      <c r="J29" s="91"/>
    </row>
    <row r="30" spans="1:10" s="1" customFormat="1" ht="15.75" thickBot="1">
      <c r="A30" s="15"/>
      <c r="B30" s="16"/>
      <c r="C30" s="16"/>
      <c r="D30" s="16"/>
      <c r="E30" s="95"/>
      <c r="F30" s="16"/>
      <c r="G30" s="20"/>
      <c r="H30" s="82">
        <f>SUM(H27:H29)</f>
        <v>929.05660377358481</v>
      </c>
      <c r="I30" s="91">
        <f>H30*E27</f>
        <v>196959.99999999997</v>
      </c>
      <c r="J30" s="91">
        <v>196960</v>
      </c>
    </row>
    <row r="31" spans="1:10">
      <c r="A31" s="11" t="s">
        <v>40</v>
      </c>
      <c r="B31" s="12" t="s">
        <v>25</v>
      </c>
      <c r="C31" s="12" t="s">
        <v>26</v>
      </c>
      <c r="D31" s="12">
        <v>1</v>
      </c>
      <c r="E31" s="94">
        <f>з.пл.!E12</f>
        <v>252</v>
      </c>
      <c r="F31" s="30">
        <f>D31/E31</f>
        <v>3.968253968253968E-3</v>
      </c>
      <c r="G31" s="13">
        <v>125600</v>
      </c>
      <c r="H31" s="80">
        <f>F31*G31</f>
        <v>498.41269841269838</v>
      </c>
    </row>
    <row r="32" spans="1:10" s="1" customFormat="1">
      <c r="A32" s="14"/>
      <c r="B32" s="5" t="s">
        <v>28</v>
      </c>
      <c r="C32" s="5"/>
      <c r="D32" s="5">
        <v>10</v>
      </c>
      <c r="E32" s="103">
        <f>E31</f>
        <v>252</v>
      </c>
      <c r="F32" s="29">
        <f t="shared" ref="F32" si="6">D32/E32</f>
        <v>3.968253968253968E-2</v>
      </c>
      <c r="G32" s="6">
        <v>1500</v>
      </c>
      <c r="H32" s="81">
        <f>F32*G32</f>
        <v>59.523809523809518</v>
      </c>
      <c r="I32" s="91"/>
      <c r="J32" s="91"/>
    </row>
    <row r="33" spans="1:10" s="1" customFormat="1">
      <c r="A33" s="14"/>
      <c r="B33" s="5"/>
      <c r="C33" s="10"/>
      <c r="D33" s="5"/>
      <c r="E33" s="103"/>
      <c r="F33" s="29"/>
      <c r="G33" s="6"/>
      <c r="H33" s="81">
        <f>F33*G33</f>
        <v>0</v>
      </c>
      <c r="I33" s="91"/>
      <c r="J33" s="91"/>
    </row>
    <row r="34" spans="1:10" s="1" customFormat="1" ht="15.75" thickBot="1">
      <c r="A34" s="15"/>
      <c r="B34" s="16"/>
      <c r="C34" s="16"/>
      <c r="D34" s="16"/>
      <c r="E34" s="95"/>
      <c r="F34" s="16"/>
      <c r="G34" s="20"/>
      <c r="H34" s="82">
        <f>SUM(H31:H33)</f>
        <v>557.93650793650795</v>
      </c>
      <c r="I34" s="91">
        <f>H34*E31</f>
        <v>140600</v>
      </c>
      <c r="J34" s="91">
        <v>140600</v>
      </c>
    </row>
    <row r="35" spans="1:10">
      <c r="A35" s="11" t="s">
        <v>57</v>
      </c>
      <c r="B35" s="12" t="s">
        <v>25</v>
      </c>
      <c r="C35" s="12" t="s">
        <v>26</v>
      </c>
      <c r="D35" s="12">
        <v>1</v>
      </c>
      <c r="E35" s="94">
        <f>з.пл.!E13</f>
        <v>130</v>
      </c>
      <c r="F35" s="30">
        <f>D35/E35</f>
        <v>7.6923076923076927E-3</v>
      </c>
      <c r="G35" s="13">
        <f>17980+35270</f>
        <v>53250</v>
      </c>
      <c r="H35" s="80">
        <f>F35*G35</f>
        <v>409.61538461538464</v>
      </c>
    </row>
    <row r="36" spans="1:10" s="1" customFormat="1">
      <c r="A36" s="14"/>
      <c r="B36" s="5" t="s">
        <v>28</v>
      </c>
      <c r="C36" s="5"/>
      <c r="D36" s="5">
        <v>10</v>
      </c>
      <c r="E36" s="103">
        <f>E35</f>
        <v>130</v>
      </c>
      <c r="F36" s="29">
        <f t="shared" ref="F36" si="7">D36/E36</f>
        <v>7.6923076923076927E-2</v>
      </c>
      <c r="G36" s="6">
        <v>1500</v>
      </c>
      <c r="H36" s="81">
        <f>F36*G36</f>
        <v>115.38461538461539</v>
      </c>
      <c r="I36" s="91"/>
      <c r="J36" s="91"/>
    </row>
    <row r="37" spans="1:10" s="1" customFormat="1">
      <c r="A37" s="14"/>
      <c r="B37" s="5"/>
      <c r="C37" s="10"/>
      <c r="D37" s="5"/>
      <c r="E37" s="103"/>
      <c r="F37" s="29"/>
      <c r="G37" s="6"/>
      <c r="H37" s="81">
        <f>F37*G37</f>
        <v>0</v>
      </c>
      <c r="I37" s="91"/>
      <c r="J37" s="91"/>
    </row>
    <row r="38" spans="1:10" s="1" customFormat="1" ht="15.75" thickBot="1">
      <c r="A38" s="15"/>
      <c r="B38" s="16"/>
      <c r="C38" s="16"/>
      <c r="D38" s="16"/>
      <c r="E38" s="95"/>
      <c r="F38" s="16"/>
      <c r="G38" s="20"/>
      <c r="H38" s="82">
        <f>SUM(H35:H37)</f>
        <v>525</v>
      </c>
      <c r="I38" s="91">
        <f>H38*E35</f>
        <v>68250</v>
      </c>
      <c r="J38" s="91">
        <v>68250</v>
      </c>
    </row>
    <row r="39" spans="1:10">
      <c r="A39" s="11" t="s">
        <v>41</v>
      </c>
      <c r="B39" s="12" t="s">
        <v>25</v>
      </c>
      <c r="C39" s="12" t="s">
        <v>26</v>
      </c>
      <c r="D39" s="12">
        <v>1</v>
      </c>
      <c r="E39" s="94">
        <f>з.пл.!E14</f>
        <v>125</v>
      </c>
      <c r="F39" s="30">
        <f>D39/E39</f>
        <v>8.0000000000000002E-3</v>
      </c>
      <c r="G39" s="13">
        <f>63040+17000</f>
        <v>80040</v>
      </c>
      <c r="H39" s="80">
        <f>F39*G39</f>
        <v>640.32000000000005</v>
      </c>
    </row>
    <row r="40" spans="1:10" s="1" customFormat="1">
      <c r="A40" s="14"/>
      <c r="B40" s="5" t="s">
        <v>28</v>
      </c>
      <c r="C40" s="5"/>
      <c r="D40" s="5">
        <v>5</v>
      </c>
      <c r="E40" s="103">
        <f>E39</f>
        <v>125</v>
      </c>
      <c r="F40" s="29">
        <f t="shared" ref="F40" si="8">D40/E40</f>
        <v>0.04</v>
      </c>
      <c r="G40" s="6">
        <v>550</v>
      </c>
      <c r="H40" s="81">
        <f>F40*G40</f>
        <v>22</v>
      </c>
      <c r="I40" s="91"/>
      <c r="J40" s="91"/>
    </row>
    <row r="41" spans="1:10" s="1" customFormat="1">
      <c r="A41" s="14"/>
      <c r="B41" s="5"/>
      <c r="C41" s="10"/>
      <c r="D41" s="5"/>
      <c r="E41" s="103"/>
      <c r="F41" s="29"/>
      <c r="G41" s="6"/>
      <c r="H41" s="81">
        <f>F41*G41</f>
        <v>0</v>
      </c>
      <c r="I41" s="91"/>
      <c r="J41" s="91"/>
    </row>
    <row r="42" spans="1:10" s="1" customFormat="1" ht="15.75" thickBot="1">
      <c r="A42" s="15"/>
      <c r="B42" s="16"/>
      <c r="C42" s="16"/>
      <c r="D42" s="16"/>
      <c r="E42" s="95"/>
      <c r="F42" s="16"/>
      <c r="G42" s="20"/>
      <c r="H42" s="82">
        <f>SUM(H39:H41)</f>
        <v>662.32</v>
      </c>
      <c r="I42" s="91">
        <f>H42*E39</f>
        <v>82790</v>
      </c>
      <c r="J42" s="91">
        <v>82790</v>
      </c>
    </row>
    <row r="43" spans="1:10" ht="15.75" thickBot="1">
      <c r="H43" s="35"/>
    </row>
    <row r="44" spans="1:10">
      <c r="A44" s="11" t="s">
        <v>30</v>
      </c>
      <c r="B44" s="12" t="s">
        <v>25</v>
      </c>
      <c r="C44" s="12" t="s">
        <v>26</v>
      </c>
      <c r="D44" s="12">
        <v>1</v>
      </c>
      <c r="E44" s="94">
        <f>з.пл.!E15</f>
        <v>191</v>
      </c>
      <c r="F44" s="30">
        <f>D44/E44</f>
        <v>5.235602094240838E-3</v>
      </c>
      <c r="G44" s="13">
        <f>99200+15000</f>
        <v>114200</v>
      </c>
      <c r="H44" s="80">
        <f>F44*G44</f>
        <v>597.90575916230375</v>
      </c>
    </row>
    <row r="45" spans="1:10" s="1" customFormat="1">
      <c r="A45" s="14"/>
      <c r="B45" s="5" t="s">
        <v>28</v>
      </c>
      <c r="C45" s="5"/>
      <c r="D45" s="5">
        <v>5</v>
      </c>
      <c r="E45" s="103">
        <f>E44</f>
        <v>191</v>
      </c>
      <c r="F45" s="29">
        <f t="shared" ref="F45" si="9">D45/E45</f>
        <v>2.6178010471204188E-2</v>
      </c>
      <c r="G45" s="6">
        <v>1500</v>
      </c>
      <c r="H45" s="81">
        <f>F45*G45</f>
        <v>39.267015706806284</v>
      </c>
      <c r="I45" s="91"/>
      <c r="J45" s="91"/>
    </row>
    <row r="46" spans="1:10" s="1" customFormat="1">
      <c r="A46" s="14"/>
      <c r="B46" s="5"/>
      <c r="C46" s="10"/>
      <c r="D46" s="5"/>
      <c r="E46" s="103"/>
      <c r="F46" s="29"/>
      <c r="G46" s="6"/>
      <c r="H46" s="81">
        <f>F46*G46</f>
        <v>0</v>
      </c>
      <c r="I46" s="91"/>
      <c r="J46" s="91"/>
    </row>
    <row r="47" spans="1:10" s="1" customFormat="1" ht="15.75" thickBot="1">
      <c r="A47" s="15"/>
      <c r="B47" s="16"/>
      <c r="C47" s="16"/>
      <c r="D47" s="16"/>
      <c r="E47" s="95"/>
      <c r="F47" s="16"/>
      <c r="G47" s="20"/>
      <c r="H47" s="82">
        <f>SUM(H44:H46)</f>
        <v>637.17277486911007</v>
      </c>
      <c r="I47" s="104">
        <f>H47*E44</f>
        <v>121700.00000000003</v>
      </c>
      <c r="J47" s="91">
        <v>121700</v>
      </c>
    </row>
    <row r="48" spans="1:10">
      <c r="A48" s="11" t="s">
        <v>36</v>
      </c>
      <c r="B48" s="12" t="s">
        <v>25</v>
      </c>
      <c r="C48" s="12" t="s">
        <v>26</v>
      </c>
      <c r="D48" s="12">
        <v>1</v>
      </c>
      <c r="E48" s="94">
        <f>з.пл.!E16</f>
        <v>257</v>
      </c>
      <c r="F48" s="30">
        <f>D48/E48</f>
        <v>3.8910505836575876E-3</v>
      </c>
      <c r="G48" s="13">
        <f>106000+25320</f>
        <v>131320</v>
      </c>
      <c r="H48" s="80">
        <f>F48*G48</f>
        <v>510.97276264591443</v>
      </c>
    </row>
    <row r="49" spans="1:10" s="1" customFormat="1">
      <c r="A49" s="14"/>
      <c r="B49" s="5" t="s">
        <v>28</v>
      </c>
      <c r="C49" s="5"/>
      <c r="D49" s="5">
        <v>10</v>
      </c>
      <c r="E49" s="103">
        <f>E48</f>
        <v>257</v>
      </c>
      <c r="F49" s="29">
        <f t="shared" ref="F49" si="10">D49/E49</f>
        <v>3.8910505836575876E-2</v>
      </c>
      <c r="G49" s="6">
        <v>1500</v>
      </c>
      <c r="H49" s="81">
        <f>F49*G49</f>
        <v>58.365758754863812</v>
      </c>
      <c r="I49" s="91"/>
      <c r="J49" s="91"/>
    </row>
    <row r="50" spans="1:10" s="1" customFormat="1">
      <c r="A50" s="14"/>
      <c r="B50" s="5"/>
      <c r="C50" s="10"/>
      <c r="D50" s="5"/>
      <c r="E50" s="103"/>
      <c r="F50" s="29"/>
      <c r="G50" s="6"/>
      <c r="H50" s="81">
        <f>F50*G50</f>
        <v>0</v>
      </c>
      <c r="I50" s="91"/>
      <c r="J50" s="91"/>
    </row>
    <row r="51" spans="1:10" s="1" customFormat="1" ht="15.75" thickBot="1">
      <c r="A51" s="15"/>
      <c r="B51" s="16"/>
      <c r="C51" s="16"/>
      <c r="D51" s="16"/>
      <c r="E51" s="95"/>
      <c r="F51" s="16"/>
      <c r="G51" s="20"/>
      <c r="H51" s="82">
        <f>SUM(H48:H50)</f>
        <v>569.33852140077829</v>
      </c>
      <c r="I51" s="91">
        <f>H51*E48</f>
        <v>146320.00000000003</v>
      </c>
      <c r="J51" s="91">
        <v>146320</v>
      </c>
    </row>
    <row r="52" spans="1:10" ht="15.75" thickBot="1">
      <c r="H52" s="35"/>
    </row>
    <row r="53" spans="1:10">
      <c r="A53" s="11" t="s">
        <v>37</v>
      </c>
      <c r="B53" s="12" t="s">
        <v>25</v>
      </c>
      <c r="C53" s="12" t="s">
        <v>26</v>
      </c>
      <c r="D53" s="12">
        <v>1</v>
      </c>
      <c r="E53" s="94">
        <f>з.пл.!E18</f>
        <v>317</v>
      </c>
      <c r="F53" s="30">
        <f>D53/E53</f>
        <v>3.1545741324921135E-3</v>
      </c>
      <c r="G53" s="13">
        <f>104800+84200</f>
        <v>189000</v>
      </c>
      <c r="H53" s="80">
        <f>F53*G53</f>
        <v>596.21451104100947</v>
      </c>
    </row>
    <row r="54" spans="1:10" s="1" customFormat="1">
      <c r="A54" s="14"/>
      <c r="B54" s="5" t="s">
        <v>28</v>
      </c>
      <c r="C54" s="5"/>
      <c r="D54" s="5">
        <v>10</v>
      </c>
      <c r="E54" s="103">
        <f>E53</f>
        <v>317</v>
      </c>
      <c r="F54" s="29">
        <f t="shared" ref="F54" si="11">D54/E54</f>
        <v>3.1545741324921134E-2</v>
      </c>
      <c r="G54" s="6">
        <v>1500</v>
      </c>
      <c r="H54" s="81">
        <f>F54*G54</f>
        <v>47.318611987381701</v>
      </c>
      <c r="I54" s="91"/>
      <c r="J54" s="91"/>
    </row>
    <row r="55" spans="1:10" s="1" customFormat="1">
      <c r="A55" s="14"/>
      <c r="B55" s="5"/>
      <c r="C55" s="10"/>
      <c r="D55" s="5"/>
      <c r="E55" s="103"/>
      <c r="F55" s="29"/>
      <c r="G55" s="6"/>
      <c r="H55" s="81">
        <f>F55*G55</f>
        <v>0</v>
      </c>
      <c r="I55" s="91"/>
      <c r="J55" s="91"/>
    </row>
    <row r="56" spans="1:10" s="1" customFormat="1" ht="15.75" thickBot="1">
      <c r="A56" s="15"/>
      <c r="B56" s="16"/>
      <c r="C56" s="16"/>
      <c r="D56" s="16"/>
      <c r="E56" s="95"/>
      <c r="F56" s="16"/>
      <c r="G56" s="20"/>
      <c r="H56" s="82">
        <f>SUM(H53:H55)</f>
        <v>643.53312302839117</v>
      </c>
      <c r="I56" s="91">
        <f>H56*E53</f>
        <v>204000</v>
      </c>
      <c r="J56" s="91">
        <v>204000</v>
      </c>
    </row>
    <row r="57" spans="1:10">
      <c r="A57" s="11" t="s">
        <v>38</v>
      </c>
      <c r="B57" s="12" t="s">
        <v>25</v>
      </c>
      <c r="C57" s="12" t="s">
        <v>26</v>
      </c>
      <c r="D57" s="12">
        <v>1</v>
      </c>
      <c r="E57" s="94">
        <f>з.пл.!E19</f>
        <v>401</v>
      </c>
      <c r="F57" s="30">
        <f>D57/E57</f>
        <v>2.4937655860349127E-3</v>
      </c>
      <c r="G57" s="13">
        <f>154930+109990</f>
        <v>264920</v>
      </c>
      <c r="H57" s="80">
        <f>F57*G57</f>
        <v>660.64837905236902</v>
      </c>
    </row>
    <row r="58" spans="1:10" s="1" customFormat="1">
      <c r="A58" s="14"/>
      <c r="B58" s="5" t="s">
        <v>28</v>
      </c>
      <c r="C58" s="5"/>
      <c r="D58" s="5">
        <v>10</v>
      </c>
      <c r="E58" s="103">
        <f>E57</f>
        <v>401</v>
      </c>
      <c r="F58" s="29">
        <f t="shared" ref="F58" si="12">D58/E58</f>
        <v>2.4937655860349128E-2</v>
      </c>
      <c r="G58" s="6">
        <v>1500</v>
      </c>
      <c r="H58" s="81">
        <f>F58*G58</f>
        <v>37.406483790523694</v>
      </c>
      <c r="I58" s="91"/>
      <c r="J58" s="91"/>
    </row>
    <row r="59" spans="1:10" s="1" customFormat="1">
      <c r="A59" s="14"/>
      <c r="B59" s="5"/>
      <c r="C59" s="10"/>
      <c r="D59" s="5"/>
      <c r="E59" s="103"/>
      <c r="F59" s="29"/>
      <c r="G59" s="6"/>
      <c r="H59" s="81">
        <f>F59*G59</f>
        <v>0</v>
      </c>
      <c r="I59" s="91"/>
      <c r="J59" s="91"/>
    </row>
    <row r="60" spans="1:10" s="1" customFormat="1" ht="15.75" thickBot="1">
      <c r="A60" s="15"/>
      <c r="B60" s="16"/>
      <c r="C60" s="16"/>
      <c r="D60" s="16"/>
      <c r="E60" s="95"/>
      <c r="F60" s="16"/>
      <c r="G60" s="20"/>
      <c r="H60" s="82">
        <f>SUM(H57:H59)</f>
        <v>698.0548628428927</v>
      </c>
      <c r="I60" s="91">
        <f>H60*E57</f>
        <v>279920</v>
      </c>
      <c r="J60" s="91">
        <v>279920</v>
      </c>
    </row>
  </sheetData>
  <mergeCells count="1">
    <mergeCell ref="A3:H3"/>
  </mergeCells>
  <pageMargins left="0.51181102362204722" right="0" top="0.35433070866141736" bottom="0" header="0.31496062992125984" footer="0.31496062992125984"/>
  <pageSetup paperSize="9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з.пл.</vt:lpstr>
      <vt:lpstr>материалы</vt:lpstr>
      <vt:lpstr>иные</vt:lpstr>
      <vt:lpstr>иные!Заголовки_для_печати</vt:lpstr>
      <vt:lpstr>материалы!Заголовки_для_печати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2021-01-12T07:44:53Z</dcterms:modified>
</cp:coreProperties>
</file>