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2"/>
  </bookViews>
  <sheets>
    <sheet name="СВОД" sheetId="8" r:id="rId1"/>
    <sheet name="Услуга №1 " sheetId="4" r:id="rId2"/>
    <sheet name="Услуга №2" sheetId="9" r:id="rId3"/>
  </sheets>
  <calcPr calcId="162913"/>
</workbook>
</file>

<file path=xl/calcChain.xml><?xml version="1.0" encoding="utf-8"?>
<calcChain xmlns="http://schemas.openxmlformats.org/spreadsheetml/2006/main">
  <c r="L105" i="9" l="1"/>
  <c r="I46" i="4"/>
  <c r="I95" i="9"/>
  <c r="I95" i="4"/>
  <c r="I90" i="9"/>
  <c r="I90" i="4"/>
  <c r="M80" i="4"/>
  <c r="M73" i="4"/>
  <c r="M64" i="4"/>
  <c r="M55" i="4"/>
  <c r="M46" i="4"/>
  <c r="F25" i="9" l="1"/>
  <c r="F20" i="9"/>
  <c r="F21" i="9"/>
  <c r="F22" i="9"/>
  <c r="F23" i="9"/>
  <c r="F24" i="9"/>
  <c r="F26" i="9"/>
  <c r="F27" i="9"/>
  <c r="F28" i="9"/>
  <c r="F19" i="9"/>
  <c r="F25" i="4"/>
  <c r="F20" i="4"/>
  <c r="F21" i="4"/>
  <c r="F22" i="4"/>
  <c r="F23" i="4"/>
  <c r="F24" i="4"/>
  <c r="F26" i="4"/>
  <c r="F27" i="4"/>
  <c r="F28" i="4"/>
  <c r="F19" i="4"/>
  <c r="L20" i="4"/>
  <c r="L19" i="4"/>
  <c r="I79" i="9"/>
  <c r="I78" i="9"/>
  <c r="I77" i="9"/>
  <c r="I69" i="9"/>
  <c r="I68" i="9"/>
  <c r="I63" i="9"/>
  <c r="I62" i="9"/>
  <c r="I59" i="9"/>
  <c r="I54" i="9"/>
  <c r="I53" i="9"/>
  <c r="I52" i="9"/>
  <c r="I51" i="9"/>
  <c r="I50" i="9"/>
  <c r="I79" i="4"/>
  <c r="I78" i="4"/>
  <c r="I77" i="4"/>
  <c r="I69" i="4"/>
  <c r="I68" i="4"/>
  <c r="I63" i="4"/>
  <c r="I62" i="4"/>
  <c r="I59" i="4"/>
  <c r="I54" i="4"/>
  <c r="I53" i="4"/>
  <c r="I52" i="4"/>
  <c r="I51" i="4"/>
  <c r="I50" i="4"/>
  <c r="J62" i="9" l="1"/>
  <c r="J63" i="9"/>
  <c r="I55" i="9"/>
  <c r="J73" i="4"/>
  <c r="I64" i="4"/>
  <c r="J62" i="4"/>
  <c r="I60" i="4"/>
  <c r="J60" i="9"/>
  <c r="J52" i="9"/>
  <c r="J51" i="9"/>
  <c r="J46" i="9"/>
  <c r="I46" i="9"/>
  <c r="J60" i="4" l="1"/>
  <c r="J54" i="4"/>
  <c r="J53" i="4"/>
  <c r="J52" i="4"/>
  <c r="J46" i="4"/>
  <c r="I96" i="9"/>
  <c r="I91" i="9"/>
  <c r="J85" i="9"/>
  <c r="G85" i="9"/>
  <c r="H85" i="9" s="1"/>
  <c r="I85" i="9" s="1"/>
  <c r="G84" i="9"/>
  <c r="G86" i="9" s="1"/>
  <c r="H86" i="9" s="1"/>
  <c r="I86" i="9" s="1"/>
  <c r="I80" i="9"/>
  <c r="K60" i="9"/>
  <c r="J59" i="9"/>
  <c r="K52" i="9"/>
  <c r="J50" i="9"/>
  <c r="J53" i="9" s="1"/>
  <c r="J54" i="9" s="1"/>
  <c r="J55" i="9" s="1"/>
  <c r="G45" i="9"/>
  <c r="H45" i="9" s="1"/>
  <c r="I45" i="9" s="1"/>
  <c r="K45" i="9" s="1"/>
  <c r="G44" i="9"/>
  <c r="H44" i="9" s="1"/>
  <c r="I44" i="9" s="1"/>
  <c r="K44" i="9" s="1"/>
  <c r="G43" i="9"/>
  <c r="H43" i="9" s="1"/>
  <c r="I43" i="9" s="1"/>
  <c r="K43" i="9" s="1"/>
  <c r="G42" i="9"/>
  <c r="H42" i="9" s="1"/>
  <c r="I42" i="9" s="1"/>
  <c r="K42" i="9" s="1"/>
  <c r="G41" i="9"/>
  <c r="H41" i="9" s="1"/>
  <c r="I41" i="9" s="1"/>
  <c r="K41" i="9" s="1"/>
  <c r="G40" i="9"/>
  <c r="H40" i="9" s="1"/>
  <c r="I40" i="9" s="1"/>
  <c r="K40" i="9" s="1"/>
  <c r="G39" i="9"/>
  <c r="H39" i="9" s="1"/>
  <c r="I39" i="9" s="1"/>
  <c r="K39" i="9" s="1"/>
  <c r="G38" i="9"/>
  <c r="H38" i="9" s="1"/>
  <c r="I38" i="9" s="1"/>
  <c r="K38" i="9" s="1"/>
  <c r="G37" i="9"/>
  <c r="H37" i="9" s="1"/>
  <c r="I37" i="9" s="1"/>
  <c r="K37" i="9" s="1"/>
  <c r="G36" i="9"/>
  <c r="L32" i="9"/>
  <c r="F32" i="9"/>
  <c r="G46" i="9" l="1"/>
  <c r="K51" i="9"/>
  <c r="K54" i="9"/>
  <c r="H36" i="9"/>
  <c r="I36" i="9" s="1"/>
  <c r="K36" i="9" s="1"/>
  <c r="I64" i="9"/>
  <c r="K64" i="9" s="1"/>
  <c r="E102" i="9" s="1"/>
  <c r="I73" i="9"/>
  <c r="K85" i="9"/>
  <c r="K46" i="9"/>
  <c r="A102" i="9" s="1"/>
  <c r="K55" i="9"/>
  <c r="D102" i="9" s="1"/>
  <c r="J68" i="9"/>
  <c r="J69" i="9" s="1"/>
  <c r="J73" i="9" s="1"/>
  <c r="J64" i="9"/>
  <c r="K63" i="9"/>
  <c r="K53" i="9"/>
  <c r="K62" i="9"/>
  <c r="K50" i="9"/>
  <c r="K59" i="9"/>
  <c r="H84" i="9"/>
  <c r="I84" i="9" s="1"/>
  <c r="K84" i="9" s="1"/>
  <c r="I105" i="9" l="1"/>
  <c r="J77" i="9"/>
  <c r="K68" i="9"/>
  <c r="K73" i="9"/>
  <c r="H102" i="9" s="1"/>
  <c r="K69" i="9" l="1"/>
  <c r="J79" i="9"/>
  <c r="J78" i="9"/>
  <c r="K77" i="9"/>
  <c r="J80" i="9" l="1"/>
  <c r="J86" i="9" s="1"/>
  <c r="K78" i="9"/>
  <c r="K79" i="9"/>
  <c r="K80" i="9"/>
  <c r="G102" i="9" s="1"/>
  <c r="K70" i="9"/>
  <c r="J90" i="9" l="1"/>
  <c r="K86" i="9"/>
  <c r="I102" i="9" s="1"/>
  <c r="I96" i="4"/>
  <c r="M96" i="4" s="1"/>
  <c r="I73" i="4"/>
  <c r="J91" i="9" l="1"/>
  <c r="J95" i="9" s="1"/>
  <c r="K90" i="9"/>
  <c r="K91" i="9"/>
  <c r="K60" i="4"/>
  <c r="M96" i="9" l="1"/>
  <c r="J96" i="9"/>
  <c r="K95" i="9"/>
  <c r="K96" i="9"/>
  <c r="J102" i="9" s="1"/>
  <c r="K102" i="9" s="1"/>
  <c r="J50" i="4" l="1"/>
  <c r="J51" i="4" s="1"/>
  <c r="J55" i="4" s="1"/>
  <c r="G42" i="4"/>
  <c r="J59" i="4" l="1"/>
  <c r="K52" i="4" l="1"/>
  <c r="G85" i="4" l="1"/>
  <c r="G84" i="4"/>
  <c r="G37" i="4"/>
  <c r="H37" i="4" s="1"/>
  <c r="G38" i="4"/>
  <c r="H38" i="4" s="1"/>
  <c r="G39" i="4"/>
  <c r="H39" i="4" s="1"/>
  <c r="G40" i="4"/>
  <c r="H40" i="4" s="1"/>
  <c r="I40" i="4" s="1"/>
  <c r="G41" i="4"/>
  <c r="H41" i="4" s="1"/>
  <c r="H42" i="4"/>
  <c r="G43" i="4"/>
  <c r="H43" i="4" s="1"/>
  <c r="G44" i="4"/>
  <c r="H44" i="4" s="1"/>
  <c r="G45" i="4"/>
  <c r="H45" i="4" s="1"/>
  <c r="G36" i="4"/>
  <c r="H36" i="4" s="1"/>
  <c r="H85" i="4" l="1"/>
  <c r="I85" i="4" s="1"/>
  <c r="G46" i="4"/>
  <c r="H84" i="4"/>
  <c r="I84" i="4" s="1"/>
  <c r="K84" i="4" s="1"/>
  <c r="G86" i="4"/>
  <c r="I86" i="4" s="1"/>
  <c r="M47" i="4" s="1"/>
  <c r="M46" i="9" l="1"/>
  <c r="M86" i="9"/>
  <c r="K46" i="4" l="1"/>
  <c r="A102" i="4" s="1"/>
  <c r="I37" i="4" l="1"/>
  <c r="K50" i="4" l="1"/>
  <c r="I80" i="4"/>
  <c r="I55" i="4"/>
  <c r="K55" i="4" l="1"/>
  <c r="D102" i="4" s="1"/>
  <c r="K53" i="4"/>
  <c r="I43" i="4"/>
  <c r="K43" i="4" s="1"/>
  <c r="K54" i="4" l="1"/>
  <c r="F32" i="4"/>
  <c r="M73" i="9" l="1"/>
  <c r="M55" i="9" l="1"/>
  <c r="I91" i="4" l="1"/>
  <c r="M91" i="4" s="1"/>
  <c r="M91" i="9" l="1"/>
  <c r="I105" i="4"/>
  <c r="A2" i="8" s="1"/>
  <c r="K59" i="4"/>
  <c r="J63" i="4"/>
  <c r="K51" i="4"/>
  <c r="M64" i="9" l="1"/>
  <c r="M80" i="9"/>
  <c r="K64" i="4"/>
  <c r="E102" i="4" s="1"/>
  <c r="J64" i="4"/>
  <c r="J68" i="4"/>
  <c r="J69" i="4" s="1"/>
  <c r="K61" i="4"/>
  <c r="K63" i="4"/>
  <c r="K62" i="4"/>
  <c r="K69" i="4" l="1"/>
  <c r="K68" i="4"/>
  <c r="J77" i="4"/>
  <c r="J78" i="4" s="1"/>
  <c r="K73" i="4"/>
  <c r="H102" i="4" s="1"/>
  <c r="J80" i="4" l="1"/>
  <c r="J86" i="4" s="1"/>
  <c r="K78" i="4"/>
  <c r="K70" i="4"/>
  <c r="K77" i="4"/>
  <c r="J90" i="4" l="1"/>
  <c r="K86" i="4"/>
  <c r="J79" i="4"/>
  <c r="J91" i="4" l="1"/>
  <c r="J95" i="4" s="1"/>
  <c r="K90" i="4"/>
  <c r="K91" i="4"/>
  <c r="K80" i="4"/>
  <c r="G102" i="4" s="1"/>
  <c r="K79" i="4"/>
  <c r="J96" i="4" l="1"/>
  <c r="K95" i="4"/>
  <c r="K96" i="4"/>
  <c r="J102" i="4" s="1"/>
  <c r="J85" i="4" l="1"/>
  <c r="L32" i="4"/>
  <c r="K85" i="4" l="1"/>
  <c r="I102" i="4" s="1"/>
  <c r="K102" i="4" s="1"/>
  <c r="L105" i="4" s="1"/>
  <c r="B2" i="8" s="1"/>
  <c r="I36" i="4" l="1"/>
  <c r="I38" i="4"/>
  <c r="K38" i="4" s="1"/>
  <c r="I39" i="4"/>
  <c r="K39" i="4" s="1"/>
  <c r="K40" i="4"/>
  <c r="I41" i="4"/>
  <c r="K41" i="4" s="1"/>
  <c r="I42" i="4"/>
  <c r="I44" i="4"/>
  <c r="K44" i="4" s="1"/>
  <c r="I45" i="4"/>
  <c r="K45" i="4" s="1"/>
  <c r="K36" i="4" l="1"/>
  <c r="K42" i="4"/>
  <c r="K37" i="4" l="1"/>
  <c r="M32" i="9" l="1"/>
</calcChain>
</file>

<file path=xl/sharedStrings.xml><?xml version="1.0" encoding="utf-8"?>
<sst xmlns="http://schemas.openxmlformats.org/spreadsheetml/2006/main" count="340" uniqueCount="107">
  <si>
    <t>Работники, непосредственно связанные с оказанием услуги</t>
  </si>
  <si>
    <t>Кол-во ставок</t>
  </si>
  <si>
    <t>Работники, непосредственно не связанные с оказанием услуги</t>
  </si>
  <si>
    <t>Ученый секретарь</t>
  </si>
  <si>
    <t>Заведующий выставочным залом</t>
  </si>
  <si>
    <t>Директор</t>
  </si>
  <si>
    <t>Главный хранитель фондов</t>
  </si>
  <si>
    <t>Художник-фотограф</t>
  </si>
  <si>
    <t>Заведующий сектором учета отдела фондов и научной паспортизации</t>
  </si>
  <si>
    <t>Художник-реставратор</t>
  </si>
  <si>
    <t>Смотритель музейный</t>
  </si>
  <si>
    <t>Методист музея</t>
  </si>
  <si>
    <t>Специалист экспозиционного и выставочного отдела</t>
  </si>
  <si>
    <t>Руководитель любительского объединения "Эхо Арги"</t>
  </si>
  <si>
    <t>Всего</t>
  </si>
  <si>
    <t>Должности по штатному расписанию</t>
  </si>
  <si>
    <t>З/п на одну ставку (ФОТ)</t>
  </si>
  <si>
    <t>Ед.изм. нормы</t>
  </si>
  <si>
    <t>Затраты на коммунальные услуги</t>
  </si>
  <si>
    <t>Наименование коммунальных услуг</t>
  </si>
  <si>
    <t>Электроэнергия</t>
  </si>
  <si>
    <t>Теплоэнергия</t>
  </si>
  <si>
    <t>Холодное водоснабжение</t>
  </si>
  <si>
    <t>Водоотведение</t>
  </si>
  <si>
    <t>кВт час.</t>
  </si>
  <si>
    <t>Гкал</t>
  </si>
  <si>
    <t>м3</t>
  </si>
  <si>
    <t>Затраты на содержание объектов недвижимого имущества</t>
  </si>
  <si>
    <t>ТО средств тревожной сигнализации</t>
  </si>
  <si>
    <t>Промывка теплосети</t>
  </si>
  <si>
    <t>ТО пожарной сигнализации</t>
  </si>
  <si>
    <t>договор</t>
  </si>
  <si>
    <t>Итого содержание объектов недвиж.имущества</t>
  </si>
  <si>
    <t>Наименование затрат</t>
  </si>
  <si>
    <t>Наименование услуги связи</t>
  </si>
  <si>
    <t>Абонентская связь</t>
  </si>
  <si>
    <t>кол-во номеров, ед.</t>
  </si>
  <si>
    <t>Итого работники, не связанные с оказанием услуг</t>
  </si>
  <si>
    <t>Затраты на прочие общехозяйственные нужды</t>
  </si>
  <si>
    <t>сумма в год</t>
  </si>
  <si>
    <t>Итого прочие общехоз.нужды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</si>
  <si>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</si>
  <si>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</si>
  <si>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</si>
  <si>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</si>
  <si>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</si>
  <si>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</si>
  <si>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</si>
  <si>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</si>
  <si>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СОЦДИ</t>
  </si>
  <si>
    <t>УС</t>
  </si>
  <si>
    <t>ОТ2</t>
  </si>
  <si>
    <t>ПНЗ</t>
  </si>
  <si>
    <t>Базовый норматив затрат на оказание услуг, руб.</t>
  </si>
  <si>
    <t>Руководитель коллектива (народный)</t>
  </si>
  <si>
    <t>Затраты на оплату труда (с начислениями) работников, непосредственно не связанных с оказанием услуги</t>
  </si>
  <si>
    <t>Планируемое число зрителей в год:</t>
  </si>
  <si>
    <t xml:space="preserve">ИСХОДНЫЕ ДАННЫЕ И РЕЗУЛЬТАТЫ РАСЧЕТОВ  МБУК  "МВЦ"г.НАЗАРОВО </t>
  </si>
  <si>
    <t>Утверждаю</t>
  </si>
  <si>
    <t xml:space="preserve">Приказ № _____ от  _______________ </t>
  </si>
  <si>
    <t>_______________________ Н.Н.Гурулев</t>
  </si>
  <si>
    <t>Директор МБУК "МВЦ"</t>
  </si>
  <si>
    <t>Т.М.Мельникова</t>
  </si>
  <si>
    <t>8(39155) 7-45-95</t>
  </si>
  <si>
    <t xml:space="preserve">Тариф (цена), рублей </t>
  </si>
  <si>
    <t xml:space="preserve">Нормативный объем </t>
  </si>
  <si>
    <t xml:space="preserve">Итого работники, непосредственно связанные с оказанием услуг </t>
  </si>
  <si>
    <t>Итого коммунальные услуги</t>
  </si>
  <si>
    <t>Штатное расписание: 11,5 человек</t>
  </si>
  <si>
    <t>ФОТ за год с учетом количества ставок</t>
  </si>
  <si>
    <t>ФОТ с начислениями на выплаты по оплате труда</t>
  </si>
  <si>
    <t>Количество потребителей</t>
  </si>
  <si>
    <t>Нормативные затраты на 1 потребителя</t>
  </si>
  <si>
    <t>СВОД рубли</t>
  </si>
  <si>
    <t>СВОД норматив</t>
  </si>
  <si>
    <t>Сумма в год</t>
  </si>
  <si>
    <t>Плата за содерж. и тек. ремонт общего имущества мнгоквартирного дома</t>
  </si>
  <si>
    <t>Затраты на прочие работы, услуги</t>
  </si>
  <si>
    <t>Реагирование на срабатывание средств тревожной сигнализации</t>
  </si>
  <si>
    <t>Итого прочие работы, услуги</t>
  </si>
  <si>
    <t>Затраты на услуги связи</t>
  </si>
  <si>
    <t>Интернет</t>
  </si>
  <si>
    <t>Прочие затраты</t>
  </si>
  <si>
    <t xml:space="preserve"> БАЗОВОГО  НОРМАТИВА ЗАТРАТ НА ОКАЗАНИЕ МУНИЦИПАЛЬНЫХ УСЛУГ (РАБОТ)</t>
  </si>
  <si>
    <t>Услуги междугородней связи</t>
  </si>
  <si>
    <t>месяц</t>
  </si>
  <si>
    <t xml:space="preserve">Итого услуги </t>
  </si>
  <si>
    <t>Лонская Клавдия Алексеевна</t>
  </si>
  <si>
    <t>Вывоз мусора</t>
  </si>
  <si>
    <t>Охрана объекта</t>
  </si>
  <si>
    <t>Ремонт (текущий) помещения МВЦ</t>
  </si>
  <si>
    <t>Видеонаблюдение</t>
  </si>
  <si>
    <t>Кредиторская задолженность по взносам на кап. Ремонту</t>
  </si>
  <si>
    <t>Мероприятия</t>
  </si>
  <si>
    <t>Увеличение стоимости материальных запасов однократного применения</t>
  </si>
  <si>
    <t>Призовая продукция</t>
  </si>
  <si>
    <t>Итого материальные запасы</t>
  </si>
  <si>
    <t>"________"____________20       г.</t>
  </si>
  <si>
    <t xml:space="preserve">НА 2021г. </t>
  </si>
  <si>
    <r>
      <t xml:space="preserve">Учреждение: </t>
    </r>
    <r>
      <rPr>
        <sz val="11"/>
        <rFont val="Times New Roman"/>
        <family val="1"/>
        <charset val="204"/>
      </rPr>
      <t>Муниципальное бюджетное учреждение культуры "Музейно-Выставочный центр" г.Назарово Красноярского края</t>
    </r>
  </si>
  <si>
    <r>
      <t xml:space="preserve">Услуга: </t>
    </r>
    <r>
      <rPr>
        <sz val="11"/>
        <rFont val="Times New Roman"/>
        <family val="1"/>
        <charset val="204"/>
      </rPr>
      <t xml:space="preserve">Публичный показ музейных предметов, музейных коллекций </t>
    </r>
  </si>
  <si>
    <r>
      <t xml:space="preserve">Содержание услуги: </t>
    </r>
    <r>
      <rPr>
        <sz val="11"/>
        <rFont val="Times New Roman"/>
        <family val="1"/>
        <charset val="204"/>
      </rPr>
      <t>Стационар, вне стационара, удаленно через сеть Интернет</t>
    </r>
  </si>
  <si>
    <r>
      <t xml:space="preserve">Наименование показателя объема: 19242 </t>
    </r>
    <r>
      <rPr>
        <sz val="11"/>
        <rFont val="Times New Roman"/>
        <family val="1"/>
        <charset val="204"/>
      </rPr>
      <t>человека.</t>
    </r>
  </si>
  <si>
    <r>
      <t xml:space="preserve">Наименование показателя объема: 1002 </t>
    </r>
    <r>
      <rPr>
        <sz val="11"/>
        <rFont val="Times New Roman"/>
        <family val="1"/>
        <charset val="204"/>
      </rPr>
      <t>человека.</t>
    </r>
  </si>
  <si>
    <t>Взносы по капремонту</t>
  </si>
  <si>
    <t>ПР</t>
  </si>
  <si>
    <r>
      <t xml:space="preserve">Содержание услуги: </t>
    </r>
    <r>
      <rPr>
        <sz val="11"/>
        <rFont val="Times New Roman"/>
        <family val="1"/>
        <charset val="204"/>
      </rPr>
      <t>Стационар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</si>
</sst>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5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4" fontId="4" fillId="0" borderId="0" xfId="0" applyNumberFormat="1" applyFont="1" applyBorder="1" applyAlignment="1">
      <alignment horizontal="center"/>
    </xf>
    <xf numFmtId="4" fontId="1" fillId="0" borderId="0" xfId="0" applyNumberFormat="1" applyFont="1"/>
    <xf numFmtId="4" fontId="0" fillId="0" borderId="0" xfId="0" applyNumberFormat="1"/>
    <xf numFmtId="0" fontId="6" fillId="0" borderId="1" xfId="0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5" fillId="0" borderId="1" xfId="0" applyNumberFormat="1" applyFont="1" applyBorder="1" applyAlignment="1"/>
    <xf numFmtId="4" fontId="5" fillId="0" borderId="1" xfId="0" applyNumberFormat="1" applyFont="1" applyBorder="1"/>
    <xf numFmtId="4" fontId="5" fillId="0" borderId="0" xfId="0" applyNumberFormat="1" applyFont="1" applyBorder="1" applyAlignment="1"/>
    <xf numFmtId="2" fontId="0" fillId="0" borderId="0" xfId="0" applyNumberFormat="1"/>
    <xf numFmtId="4" fontId="5" fillId="0" borderId="0" xfId="0" applyNumberFormat="1" applyFont="1"/>
    <xf numFmtId="4" fontId="3" fillId="0" borderId="0" xfId="0" applyNumberFormat="1" applyFont="1"/>
    <xf numFmtId="4" fontId="3" fillId="0" borderId="0" xfId="0" applyNumberFormat="1" applyFont="1" applyAlignment="1">
      <alignment horizontal="left"/>
    </xf>
    <xf numFmtId="4" fontId="4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/>
    <xf numFmtId="4" fontId="3" fillId="0" borderId="0" xfId="0" applyNumberFormat="1" applyFont="1" applyAlignment="1"/>
    <xf numFmtId="4" fontId="1" fillId="0" borderId="1" xfId="0" applyNumberFormat="1" applyFont="1" applyBorder="1" applyAlignment="1">
      <alignment horizontal="center" wrapText="1"/>
    </xf>
    <xf numFmtId="4" fontId="1" fillId="0" borderId="1" xfId="0" applyNumberFormat="1" applyFont="1" applyBorder="1"/>
    <xf numFmtId="4" fontId="1" fillId="0" borderId="1" xfId="0" applyNumberFormat="1" applyFont="1" applyFill="1" applyBorder="1"/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wrapText="1"/>
    </xf>
    <xf numFmtId="4" fontId="4" fillId="0" borderId="1" xfId="0" applyNumberFormat="1" applyFont="1" applyBorder="1"/>
    <xf numFmtId="4" fontId="5" fillId="0" borderId="0" xfId="0" applyNumberFormat="1" applyFont="1" applyBorder="1" applyAlignment="1">
      <alignment horizontal="left" wrapText="1"/>
    </xf>
    <xf numFmtId="4" fontId="1" fillId="0" borderId="0" xfId="0" applyNumberFormat="1" applyFont="1" applyBorder="1"/>
    <xf numFmtId="4" fontId="5" fillId="0" borderId="0" xfId="0" applyNumberFormat="1" applyFont="1" applyBorder="1"/>
    <xf numFmtId="4" fontId="1" fillId="0" borderId="0" xfId="0" applyNumberFormat="1" applyFont="1" applyBorder="1" applyAlignment="1">
      <alignment wrapText="1"/>
    </xf>
    <xf numFmtId="4" fontId="1" fillId="0" borderId="0" xfId="0" applyNumberFormat="1" applyFont="1" applyAlignment="1">
      <alignment horizontal="right"/>
    </xf>
    <xf numFmtId="4" fontId="5" fillId="0" borderId="0" xfId="0" applyNumberFormat="1" applyFont="1" applyBorder="1" applyAlignment="1">
      <alignment horizontal="left"/>
    </xf>
    <xf numFmtId="4" fontId="1" fillId="0" borderId="2" xfId="0" applyNumberFormat="1" applyFont="1" applyBorder="1" applyAlignment="1">
      <alignment horizontal="center" wrapText="1"/>
    </xf>
    <xf numFmtId="4" fontId="1" fillId="0" borderId="1" xfId="0" applyNumberFormat="1" applyFont="1" applyFill="1" applyBorder="1" applyAlignment="1">
      <alignment wrapText="1"/>
    </xf>
    <xf numFmtId="4" fontId="1" fillId="0" borderId="2" xfId="0" applyNumberFormat="1" applyFont="1" applyBorder="1"/>
    <xf numFmtId="4" fontId="5" fillId="0" borderId="2" xfId="0" applyNumberFormat="1" applyFont="1" applyBorder="1"/>
    <xf numFmtId="4" fontId="1" fillId="0" borderId="2" xfId="0" applyNumberFormat="1" applyFont="1" applyFill="1" applyBorder="1" applyAlignment="1">
      <alignment horizontal="center" wrapText="1"/>
    </xf>
    <xf numFmtId="4" fontId="1" fillId="0" borderId="7" xfId="0" applyNumberFormat="1" applyFont="1" applyBorder="1" applyAlignment="1">
      <alignment wrapText="1"/>
    </xf>
    <xf numFmtId="4" fontId="1" fillId="0" borderId="7" xfId="0" applyNumberFormat="1" applyFont="1" applyBorder="1"/>
    <xf numFmtId="4" fontId="5" fillId="0" borderId="2" xfId="0" applyNumberFormat="1" applyFont="1" applyBorder="1" applyAlignment="1"/>
    <xf numFmtId="4" fontId="4" fillId="0" borderId="0" xfId="0" applyNumberFormat="1" applyFont="1"/>
    <xf numFmtId="4" fontId="1" fillId="0" borderId="0" xfId="0" applyNumberFormat="1" applyFont="1" applyFill="1" applyBorder="1"/>
    <xf numFmtId="4" fontId="1" fillId="0" borderId="2" xfId="0" applyNumberFormat="1" applyFont="1" applyBorder="1"/>
    <xf numFmtId="4" fontId="1" fillId="0" borderId="1" xfId="0" applyNumberFormat="1" applyFont="1" applyBorder="1" applyAlignment="1">
      <alignment horizontal="center" wrapText="1"/>
    </xf>
    <xf numFmtId="4" fontId="3" fillId="0" borderId="0" xfId="0" applyNumberFormat="1" applyFont="1" applyAlignment="1">
      <alignment horizontal="left"/>
    </xf>
    <xf numFmtId="4" fontId="3" fillId="0" borderId="0" xfId="0" applyNumberFormat="1" applyFont="1" applyAlignment="1"/>
    <xf numFmtId="4" fontId="1" fillId="0" borderId="2" xfId="0" applyNumberFormat="1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4" fontId="4" fillId="0" borderId="1" xfId="0" applyNumberFormat="1" applyFont="1" applyBorder="1" applyAlignment="1">
      <alignment horizontal="center" wrapText="1"/>
    </xf>
    <xf numFmtId="165" fontId="5" fillId="0" borderId="0" xfId="0" applyNumberFormat="1" applyFont="1"/>
    <xf numFmtId="4" fontId="7" fillId="0" borderId="0" xfId="0" applyNumberFormat="1" applyFont="1"/>
    <xf numFmtId="4" fontId="8" fillId="0" borderId="0" xfId="0" applyNumberFormat="1" applyFont="1"/>
    <xf numFmtId="4" fontId="4" fillId="0" borderId="1" xfId="0" applyNumberFormat="1" applyFont="1" applyFill="1" applyBorder="1"/>
    <xf numFmtId="4" fontId="4" fillId="0" borderId="9" xfId="0" applyNumberFormat="1" applyFont="1" applyBorder="1"/>
    <xf numFmtId="4" fontId="5" fillId="0" borderId="8" xfId="0" applyNumberFormat="1" applyFont="1" applyBorder="1"/>
    <xf numFmtId="4" fontId="1" fillId="0" borderId="9" xfId="0" applyNumberFormat="1" applyFont="1" applyBorder="1"/>
    <xf numFmtId="4" fontId="1" fillId="0" borderId="10" xfId="0" applyNumberFormat="1" applyFont="1" applyBorder="1" applyAlignment="1">
      <alignment horizontal="center" wrapText="1"/>
    </xf>
    <xf numFmtId="4" fontId="5" fillId="0" borderId="3" xfId="0" applyNumberFormat="1" applyFont="1" applyBorder="1"/>
    <xf numFmtId="4" fontId="5" fillId="0" borderId="8" xfId="0" applyNumberFormat="1" applyFont="1" applyBorder="1" applyAlignment="1"/>
    <xf numFmtId="4" fontId="5" fillId="0" borderId="3" xfId="0" applyNumberFormat="1" applyFont="1" applyBorder="1" applyAlignment="1"/>
    <xf numFmtId="4" fontId="1" fillId="0" borderId="5" xfId="0" applyNumberFormat="1" applyFont="1" applyBorder="1"/>
    <xf numFmtId="4" fontId="0" fillId="0" borderId="2" xfId="0" applyNumberFormat="1" applyFont="1" applyBorder="1"/>
    <xf numFmtId="4" fontId="7" fillId="2" borderId="8" xfId="0" applyNumberFormat="1" applyFont="1" applyFill="1" applyBorder="1"/>
    <xf numFmtId="4" fontId="7" fillId="0" borderId="8" xfId="0" applyNumberFormat="1" applyFont="1" applyBorder="1"/>
    <xf numFmtId="4" fontId="1" fillId="0" borderId="2" xfId="0" applyNumberFormat="1" applyFont="1" applyBorder="1" applyAlignment="1">
      <alignment horizontal="left"/>
    </xf>
    <xf numFmtId="4" fontId="0" fillId="0" borderId="3" xfId="0" applyNumberFormat="1" applyBorder="1" applyAlignment="1">
      <alignment horizontal="left"/>
    </xf>
    <xf numFmtId="4" fontId="0" fillId="0" borderId="4" xfId="0" applyNumberFormat="1" applyBorder="1" applyAlignment="1">
      <alignment horizontal="left"/>
    </xf>
    <xf numFmtId="4" fontId="5" fillId="0" borderId="2" xfId="0" applyNumberFormat="1" applyFont="1" applyBorder="1" applyAlignment="1">
      <alignment horizontal="left" wrapText="1"/>
    </xf>
    <xf numFmtId="4" fontId="5" fillId="0" borderId="3" xfId="0" applyNumberFormat="1" applyFont="1" applyBorder="1" applyAlignment="1">
      <alignment horizontal="left" wrapText="1"/>
    </xf>
    <xf numFmtId="4" fontId="5" fillId="0" borderId="4" xfId="0" applyNumberFormat="1" applyFont="1" applyBorder="1" applyAlignment="1">
      <alignment horizontal="left" wrapText="1"/>
    </xf>
    <xf numFmtId="4" fontId="1" fillId="0" borderId="1" xfId="0" applyNumberFormat="1" applyFont="1" applyBorder="1" applyAlignment="1">
      <alignment horizontal="left"/>
    </xf>
    <xf numFmtId="4" fontId="5" fillId="3" borderId="0" xfId="0" applyNumberFormat="1" applyFont="1" applyFill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left"/>
    </xf>
    <xf numFmtId="4" fontId="1" fillId="0" borderId="4" xfId="0" applyNumberFormat="1" applyFont="1" applyBorder="1" applyAlignment="1">
      <alignment horizontal="left"/>
    </xf>
    <xf numFmtId="4" fontId="1" fillId="0" borderId="1" xfId="0" applyNumberFormat="1" applyFont="1" applyBorder="1" applyAlignment="1">
      <alignment horizontal="center"/>
    </xf>
    <xf numFmtId="4" fontId="1" fillId="0" borderId="12" xfId="0" applyNumberFormat="1" applyFont="1" applyBorder="1"/>
    <xf numFmtId="4" fontId="1" fillId="0" borderId="13" xfId="0" applyNumberFormat="1" applyFont="1" applyBorder="1"/>
    <xf numFmtId="4" fontId="5" fillId="0" borderId="2" xfId="0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" fontId="1" fillId="0" borderId="2" xfId="0" applyNumberFormat="1" applyFont="1" applyBorder="1" applyAlignment="1">
      <alignment horizontal="left" wrapText="1"/>
    </xf>
    <xf numFmtId="4" fontId="1" fillId="0" borderId="3" xfId="0" applyNumberFormat="1" applyFont="1" applyBorder="1" applyAlignment="1">
      <alignment horizontal="left" wrapText="1"/>
    </xf>
    <xf numFmtId="4" fontId="1" fillId="0" borderId="4" xfId="0" applyNumberFormat="1" applyFont="1" applyBorder="1" applyAlignment="1">
      <alignment horizontal="left" wrapText="1"/>
    </xf>
    <xf numFmtId="4" fontId="1" fillId="0" borderId="1" xfId="0" applyNumberFormat="1" applyFont="1" applyBorder="1" applyAlignment="1">
      <alignment horizontal="center" wrapText="1"/>
    </xf>
    <xf numFmtId="4" fontId="1" fillId="0" borderId="5" xfId="0" applyNumberFormat="1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1" fillId="0" borderId="7" xfId="0" applyNumberFormat="1" applyFont="1" applyBorder="1" applyAlignment="1">
      <alignment horizontal="center" wrapText="1"/>
    </xf>
    <xf numFmtId="4" fontId="1" fillId="0" borderId="11" xfId="0" applyNumberFormat="1" applyFont="1" applyBorder="1" applyAlignment="1">
      <alignment horizontal="center" wrapText="1"/>
    </xf>
    <xf numFmtId="4" fontId="4" fillId="0" borderId="2" xfId="0" applyNumberFormat="1" applyFont="1" applyBorder="1" applyAlignment="1">
      <alignment horizontal="left"/>
    </xf>
    <xf numFmtId="4" fontId="4" fillId="0" borderId="3" xfId="0" applyNumberFormat="1" applyFont="1" applyBorder="1" applyAlignment="1">
      <alignment horizontal="left"/>
    </xf>
    <xf numFmtId="4" fontId="4" fillId="0" borderId="4" xfId="0" applyNumberFormat="1" applyFont="1" applyBorder="1" applyAlignment="1">
      <alignment horizontal="left"/>
    </xf>
    <xf numFmtId="4" fontId="4" fillId="0" borderId="1" xfId="0" applyNumberFormat="1" applyFont="1" applyBorder="1" applyAlignment="1">
      <alignment horizontal="left"/>
    </xf>
    <xf numFmtId="4" fontId="5" fillId="0" borderId="1" xfId="0" applyNumberFormat="1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4" fontId="5" fillId="0" borderId="4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left"/>
    </xf>
    <xf numFmtId="4" fontId="3" fillId="0" borderId="0" xfId="0" applyNumberFormat="1" applyFont="1" applyAlignment="1">
      <alignment horizontal="left"/>
    </xf>
    <xf numFmtId="4" fontId="0" fillId="0" borderId="0" xfId="0" applyNumberFormat="1" applyAlignment="1"/>
    <xf numFmtId="4" fontId="3" fillId="0" borderId="0" xfId="0" applyNumberFormat="1" applyFont="1" applyAlignment="1"/>
    <xf numFmtId="4" fontId="2" fillId="0" borderId="0" xfId="0" applyNumberFormat="1" applyFont="1" applyAlignment="1">
      <alignment horizontal="center"/>
    </xf>
    <xf numFmtId="4" fontId="4" fillId="0" borderId="1" xfId="0" applyNumberFormat="1" applyFont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left"/>
    </xf>
    <xf numFmtId="4" fontId="4" fillId="0" borderId="2" xfId="0" applyNumberFormat="1" applyFont="1" applyBorder="1" applyAlignment="1">
      <alignment horizontal="left" wrapText="1"/>
    </xf>
    <xf numFmtId="4" fontId="4" fillId="0" borderId="3" xfId="0" applyNumberFormat="1" applyFont="1" applyBorder="1" applyAlignment="1">
      <alignment horizontal="left" wrapText="1"/>
    </xf>
    <xf numFmtId="4" fontId="4" fillId="0" borderId="4" xfId="0" applyNumberFormat="1" applyFont="1" applyBorder="1" applyAlignment="1">
      <alignment horizontal="left" wrapText="1"/>
    </xf>
    <xf numFmtId="4" fontId="7" fillId="0" borderId="1" xfId="0" applyNumberFormat="1" applyFont="1" applyBorder="1" applyAlignment="1">
      <alignment horizontal="center"/>
    </xf>
    <xf numFmtId="4" fontId="7" fillId="0" borderId="2" xfId="0" applyNumberFormat="1" applyFont="1" applyBorder="1" applyAlignment="1">
      <alignment horizontal="center"/>
    </xf>
    <xf numFmtId="4" fontId="7" fillId="0" borderId="4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5" x14ac:dyDescent="0.25"/>
  <cols>
    <col min="1" max="2" width="18.28515625" customWidth="1"/>
  </cols>
  <sheetData>
    <row r="1" spans="1:2" ht="33" customHeight="1" x14ac:dyDescent="0.25">
      <c r="A1" s="4" t="s">
        <v>73</v>
      </c>
      <c r="B1" s="4" t="s">
        <v>74</v>
      </c>
    </row>
    <row r="2" spans="1:2" ht="31.5" customHeight="1" x14ac:dyDescent="0.25">
      <c r="A2" s="5">
        <f>'Услуга №1 '!I105+'Услуга №2'!I105</f>
        <v>4881170.0002680002</v>
      </c>
      <c r="B2" s="5">
        <f>'Услуга №1 '!L105+'Услуга №2'!L105</f>
        <v>4881170.0002680011</v>
      </c>
    </row>
    <row r="6" spans="1:2" x14ac:dyDescent="0.25">
      <c r="A6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10"/>
  <sheetViews>
    <sheetView zoomScale="85" zoomScaleNormal="85" workbookViewId="0">
      <selection activeCell="N97" sqref="N97"/>
    </sheetView>
  </sheetViews>
  <sheetFormatPr defaultRowHeight="15" x14ac:dyDescent="0.25"/>
  <cols>
    <col min="1" max="1" width="13.140625" style="3" customWidth="1"/>
    <col min="2" max="4" width="9.140625" style="3"/>
    <col min="5" max="5" width="14.140625" style="3" customWidth="1"/>
    <col min="6" max="6" width="11.42578125" style="3" customWidth="1"/>
    <col min="7" max="7" width="14.140625" style="3" customWidth="1"/>
    <col min="8" max="8" width="14" style="3" customWidth="1"/>
    <col min="9" max="9" width="13.7109375" style="3" customWidth="1"/>
    <col min="10" max="10" width="17" style="3" customWidth="1"/>
    <col min="11" max="11" width="14.140625" style="3" customWidth="1"/>
    <col min="12" max="12" width="14.7109375" style="3" customWidth="1"/>
    <col min="13" max="13" width="13.85546875" style="3" hidden="1" customWidth="1"/>
    <col min="14" max="16384" width="9.140625" style="3"/>
  </cols>
  <sheetData>
    <row r="2" spans="1:13" ht="15.75" x14ac:dyDescent="0.25">
      <c r="A2" s="11" t="s">
        <v>58</v>
      </c>
      <c r="B2" s="11"/>
      <c r="C2" s="1"/>
      <c r="D2" s="1"/>
    </row>
    <row r="3" spans="1:13" ht="15.75" x14ac:dyDescent="0.25">
      <c r="A3" s="12" t="s">
        <v>59</v>
      </c>
      <c r="B3" s="12"/>
      <c r="C3" s="1"/>
      <c r="D3" s="1"/>
    </row>
    <row r="4" spans="1:13" ht="6" customHeight="1" x14ac:dyDescent="0.25">
      <c r="A4" s="13"/>
      <c r="B4" s="14"/>
      <c r="C4" s="1"/>
      <c r="D4" s="1"/>
    </row>
    <row r="5" spans="1:13" ht="15.75" x14ac:dyDescent="0.25">
      <c r="A5" s="94" t="s">
        <v>60</v>
      </c>
      <c r="B5" s="94"/>
      <c r="C5" s="94"/>
      <c r="D5" s="95"/>
      <c r="E5" s="95"/>
      <c r="F5" s="95"/>
    </row>
    <row r="6" spans="1:13" ht="15.75" x14ac:dyDescent="0.25">
      <c r="A6" s="96" t="s">
        <v>97</v>
      </c>
      <c r="B6" s="96"/>
      <c r="C6" s="96"/>
      <c r="D6" s="95"/>
    </row>
    <row r="7" spans="1:13" ht="15.75" x14ac:dyDescent="0.25">
      <c r="A7" s="15"/>
      <c r="B7" s="15"/>
      <c r="C7" s="15"/>
      <c r="D7" s="11"/>
    </row>
    <row r="9" spans="1:13" ht="15.75" x14ac:dyDescent="0.25">
      <c r="A9" s="97" t="s">
        <v>57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</row>
    <row r="10" spans="1:13" ht="15.75" x14ac:dyDescent="0.25">
      <c r="A10" s="97" t="s">
        <v>83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</row>
    <row r="11" spans="1:13" ht="15.75" x14ac:dyDescent="0.25">
      <c r="A11" s="97" t="s">
        <v>98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</row>
    <row r="13" spans="1:13" s="2" customFormat="1" x14ac:dyDescent="0.25">
      <c r="A13" s="46" t="s">
        <v>99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</row>
    <row r="14" spans="1:13" s="2" customFormat="1" x14ac:dyDescent="0.25">
      <c r="A14" s="46" t="s">
        <v>100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</row>
    <row r="15" spans="1:13" s="2" customFormat="1" x14ac:dyDescent="0.25">
      <c r="A15" s="46" t="s">
        <v>101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</row>
    <row r="16" spans="1:13" s="2" customFormat="1" x14ac:dyDescent="0.25">
      <c r="A16" s="46" t="s">
        <v>102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</row>
    <row r="17" spans="1:13" x14ac:dyDescent="0.25">
      <c r="A17" s="46" t="s">
        <v>68</v>
      </c>
      <c r="B17" s="36"/>
      <c r="C17" s="36"/>
      <c r="D17" s="36"/>
      <c r="E17" s="36"/>
      <c r="F17" s="47"/>
      <c r="G17" s="47"/>
      <c r="H17" s="47"/>
      <c r="I17" s="47"/>
      <c r="J17" s="47"/>
      <c r="K17" s="47"/>
    </row>
    <row r="18" spans="1:13" s="2" customFormat="1" ht="33" customHeight="1" x14ac:dyDescent="0.25">
      <c r="A18" s="98" t="s">
        <v>0</v>
      </c>
      <c r="B18" s="98"/>
      <c r="C18" s="98"/>
      <c r="D18" s="98"/>
      <c r="E18" s="98"/>
      <c r="F18" s="44" t="s">
        <v>1</v>
      </c>
      <c r="G18" s="98" t="s">
        <v>2</v>
      </c>
      <c r="H18" s="98"/>
      <c r="I18" s="98"/>
      <c r="J18" s="98"/>
      <c r="K18" s="98"/>
      <c r="L18" s="17" t="s">
        <v>1</v>
      </c>
    </row>
    <row r="19" spans="1:13" s="2" customFormat="1" x14ac:dyDescent="0.25">
      <c r="A19" s="86" t="s">
        <v>6</v>
      </c>
      <c r="B19" s="87"/>
      <c r="C19" s="87"/>
      <c r="D19" s="87"/>
      <c r="E19" s="88"/>
      <c r="F19" s="21">
        <f>1*95.05%</f>
        <v>0.95050000000000001</v>
      </c>
      <c r="G19" s="99" t="s">
        <v>5</v>
      </c>
      <c r="H19" s="99"/>
      <c r="I19" s="99"/>
      <c r="J19" s="99"/>
      <c r="K19" s="99"/>
      <c r="L19" s="18">
        <f>1*95.05%</f>
        <v>0.95050000000000001</v>
      </c>
    </row>
    <row r="20" spans="1:13" s="2" customFormat="1" x14ac:dyDescent="0.25">
      <c r="A20" s="86" t="s">
        <v>3</v>
      </c>
      <c r="B20" s="87"/>
      <c r="C20" s="87"/>
      <c r="D20" s="87"/>
      <c r="E20" s="88"/>
      <c r="F20" s="21">
        <f t="shared" ref="F20:F28" si="0">1*95.05%</f>
        <v>0.95050000000000001</v>
      </c>
      <c r="G20" s="99" t="s">
        <v>13</v>
      </c>
      <c r="H20" s="99"/>
      <c r="I20" s="99"/>
      <c r="J20" s="99"/>
      <c r="K20" s="99"/>
      <c r="L20" s="18">
        <f>1*95.05%</f>
        <v>0.95050000000000001</v>
      </c>
    </row>
    <row r="21" spans="1:13" s="2" customFormat="1" x14ac:dyDescent="0.25">
      <c r="A21" s="86" t="s">
        <v>4</v>
      </c>
      <c r="B21" s="87"/>
      <c r="C21" s="87"/>
      <c r="D21" s="87"/>
      <c r="E21" s="88"/>
      <c r="F21" s="21">
        <f t="shared" si="0"/>
        <v>0.95050000000000001</v>
      </c>
      <c r="G21" s="89"/>
      <c r="H21" s="89"/>
      <c r="I21" s="89"/>
      <c r="J21" s="89"/>
      <c r="K21" s="89"/>
      <c r="L21" s="17"/>
    </row>
    <row r="22" spans="1:13" s="2" customFormat="1" x14ac:dyDescent="0.25">
      <c r="A22" s="86" t="s">
        <v>11</v>
      </c>
      <c r="B22" s="87"/>
      <c r="C22" s="87"/>
      <c r="D22" s="87"/>
      <c r="E22" s="88"/>
      <c r="F22" s="21">
        <f t="shared" si="0"/>
        <v>0.95050000000000001</v>
      </c>
      <c r="G22" s="89"/>
      <c r="H22" s="89"/>
      <c r="I22" s="89"/>
      <c r="J22" s="89"/>
      <c r="K22" s="89"/>
      <c r="L22" s="17"/>
    </row>
    <row r="23" spans="1:13" s="2" customFormat="1" x14ac:dyDescent="0.25">
      <c r="A23" s="86" t="s">
        <v>7</v>
      </c>
      <c r="B23" s="87"/>
      <c r="C23" s="87"/>
      <c r="D23" s="87"/>
      <c r="E23" s="88"/>
      <c r="F23" s="21">
        <f t="shared" si="0"/>
        <v>0.95050000000000001</v>
      </c>
      <c r="G23" s="89"/>
      <c r="H23" s="89"/>
      <c r="I23" s="89"/>
      <c r="J23" s="89"/>
      <c r="K23" s="89"/>
      <c r="L23" s="17"/>
    </row>
    <row r="24" spans="1:13" s="2" customFormat="1" x14ac:dyDescent="0.25">
      <c r="A24" s="86" t="s">
        <v>10</v>
      </c>
      <c r="B24" s="87"/>
      <c r="C24" s="87"/>
      <c r="D24" s="87"/>
      <c r="E24" s="88"/>
      <c r="F24" s="21">
        <f t="shared" si="0"/>
        <v>0.95050000000000001</v>
      </c>
      <c r="G24" s="89"/>
      <c r="H24" s="89"/>
      <c r="I24" s="89"/>
      <c r="J24" s="89"/>
      <c r="K24" s="89"/>
      <c r="L24" s="17"/>
    </row>
    <row r="25" spans="1:13" s="2" customFormat="1" x14ac:dyDescent="0.25">
      <c r="A25" s="86" t="s">
        <v>9</v>
      </c>
      <c r="B25" s="87"/>
      <c r="C25" s="87"/>
      <c r="D25" s="87"/>
      <c r="E25" s="88"/>
      <c r="F25" s="21">
        <f>0.5*95.05%</f>
        <v>0.47525000000000001</v>
      </c>
      <c r="G25" s="89"/>
      <c r="H25" s="89"/>
      <c r="I25" s="89"/>
      <c r="J25" s="89"/>
      <c r="K25" s="89"/>
      <c r="L25" s="17"/>
    </row>
    <row r="26" spans="1:13" s="2" customFormat="1" x14ac:dyDescent="0.25">
      <c r="A26" s="86" t="s">
        <v>12</v>
      </c>
      <c r="B26" s="87"/>
      <c r="C26" s="87"/>
      <c r="D26" s="87"/>
      <c r="E26" s="88"/>
      <c r="F26" s="21">
        <f t="shared" si="0"/>
        <v>0.95050000000000001</v>
      </c>
      <c r="G26" s="89"/>
      <c r="H26" s="89"/>
      <c r="I26" s="89"/>
      <c r="J26" s="89"/>
      <c r="K26" s="89"/>
      <c r="L26" s="17"/>
    </row>
    <row r="27" spans="1:13" s="2" customFormat="1" ht="28.5" customHeight="1" x14ac:dyDescent="0.25">
      <c r="A27" s="100" t="s">
        <v>8</v>
      </c>
      <c r="B27" s="101"/>
      <c r="C27" s="101"/>
      <c r="D27" s="101"/>
      <c r="E27" s="102"/>
      <c r="F27" s="21">
        <f t="shared" si="0"/>
        <v>0.95050000000000001</v>
      </c>
      <c r="G27" s="89"/>
      <c r="H27" s="89"/>
      <c r="I27" s="89"/>
      <c r="J27" s="89"/>
      <c r="K27" s="89"/>
      <c r="L27" s="17"/>
    </row>
    <row r="28" spans="1:13" s="2" customFormat="1" ht="15.75" thickBot="1" x14ac:dyDescent="0.3">
      <c r="A28" s="86" t="s">
        <v>54</v>
      </c>
      <c r="B28" s="87"/>
      <c r="C28" s="87"/>
      <c r="D28" s="87"/>
      <c r="E28" s="88"/>
      <c r="F28" s="21">
        <f t="shared" si="0"/>
        <v>0.95050000000000001</v>
      </c>
      <c r="G28" s="89"/>
      <c r="H28" s="89"/>
      <c r="I28" s="89"/>
      <c r="J28" s="89"/>
      <c r="K28" s="89"/>
      <c r="L28" s="17"/>
    </row>
    <row r="29" spans="1:13" s="2" customFormat="1" hidden="1" x14ac:dyDescent="0.25">
      <c r="A29" s="86"/>
      <c r="B29" s="87"/>
      <c r="C29" s="87"/>
      <c r="D29" s="87"/>
      <c r="E29" s="88"/>
      <c r="F29" s="21"/>
      <c r="G29" s="89"/>
      <c r="H29" s="89"/>
      <c r="I29" s="89"/>
      <c r="J29" s="89"/>
      <c r="K29" s="89"/>
      <c r="L29" s="17"/>
    </row>
    <row r="30" spans="1:13" s="2" customFormat="1" hidden="1" x14ac:dyDescent="0.25">
      <c r="A30" s="86"/>
      <c r="B30" s="87"/>
      <c r="C30" s="87"/>
      <c r="D30" s="87"/>
      <c r="E30" s="88"/>
      <c r="F30" s="21"/>
      <c r="G30" s="89"/>
      <c r="H30" s="89"/>
      <c r="I30" s="89"/>
      <c r="J30" s="89"/>
      <c r="K30" s="89"/>
      <c r="L30" s="17"/>
    </row>
    <row r="31" spans="1:13" s="2" customFormat="1" hidden="1" x14ac:dyDescent="0.25">
      <c r="A31" s="86"/>
      <c r="B31" s="87"/>
      <c r="C31" s="87"/>
      <c r="D31" s="87"/>
      <c r="E31" s="88"/>
      <c r="F31" s="49"/>
      <c r="G31" s="89"/>
      <c r="H31" s="89"/>
      <c r="I31" s="89"/>
      <c r="J31" s="89"/>
      <c r="K31" s="89"/>
      <c r="L31" s="51"/>
    </row>
    <row r="32" spans="1:13" s="2" customFormat="1" ht="15.75" thickBot="1" x14ac:dyDescent="0.3">
      <c r="A32" s="90" t="s">
        <v>14</v>
      </c>
      <c r="B32" s="90"/>
      <c r="C32" s="90"/>
      <c r="D32" s="90"/>
      <c r="E32" s="91"/>
      <c r="F32" s="50">
        <f>SUM(F19:F31)</f>
        <v>9.0297499999999999</v>
      </c>
      <c r="G32" s="92" t="s">
        <v>14</v>
      </c>
      <c r="H32" s="90"/>
      <c r="I32" s="90"/>
      <c r="J32" s="90"/>
      <c r="K32" s="91"/>
      <c r="L32" s="50">
        <f>SUM(L19:L31)</f>
        <v>1.901</v>
      </c>
      <c r="M32" s="45"/>
    </row>
    <row r="33" spans="1:13" s="2" customFormat="1" ht="15.75" thickBot="1" x14ac:dyDescent="0.3"/>
    <row r="34" spans="1:13" s="2" customFormat="1" ht="15.75" thickBot="1" x14ac:dyDescent="0.3">
      <c r="A34" s="10" t="s">
        <v>56</v>
      </c>
      <c r="F34" s="50">
        <v>19242</v>
      </c>
    </row>
    <row r="35" spans="1:13" s="2" customFormat="1" ht="60.75" customHeight="1" thickBot="1" x14ac:dyDescent="0.3">
      <c r="A35" s="73" t="s">
        <v>15</v>
      </c>
      <c r="B35" s="73"/>
      <c r="C35" s="73"/>
      <c r="D35" s="73"/>
      <c r="E35" s="73"/>
      <c r="F35" s="52" t="s">
        <v>16</v>
      </c>
      <c r="G35" s="16" t="s">
        <v>1</v>
      </c>
      <c r="H35" s="16" t="s">
        <v>69</v>
      </c>
      <c r="I35" s="16" t="s">
        <v>70</v>
      </c>
      <c r="J35" s="16" t="s">
        <v>71</v>
      </c>
      <c r="K35" s="19" t="s">
        <v>72</v>
      </c>
      <c r="L35" s="25"/>
    </row>
    <row r="36" spans="1:13" s="2" customFormat="1" ht="14.25" hidden="1" customHeight="1" x14ac:dyDescent="0.25">
      <c r="A36" s="66" t="s">
        <v>6</v>
      </c>
      <c r="B36" s="66"/>
      <c r="C36" s="66"/>
      <c r="D36" s="66"/>
      <c r="E36" s="66"/>
      <c r="F36" s="17">
        <v>11538</v>
      </c>
      <c r="G36" s="17">
        <f t="shared" ref="G36:G45" si="1">F19</f>
        <v>0.95050000000000001</v>
      </c>
      <c r="H36" s="17">
        <f>F36*G36*12</f>
        <v>131602.42800000001</v>
      </c>
      <c r="I36" s="17">
        <f>H36*1.302</f>
        <v>171346.36125600003</v>
      </c>
      <c r="J36" s="17">
        <v>20222</v>
      </c>
      <c r="K36" s="17">
        <f>I36/J36</f>
        <v>8.4732648232617951</v>
      </c>
      <c r="L36" s="23"/>
    </row>
    <row r="37" spans="1:13" s="2" customFormat="1" ht="15" hidden="1" customHeight="1" x14ac:dyDescent="0.25">
      <c r="A37" s="66" t="s">
        <v>3</v>
      </c>
      <c r="B37" s="66"/>
      <c r="C37" s="66"/>
      <c r="D37" s="66"/>
      <c r="E37" s="66"/>
      <c r="F37" s="17">
        <v>11235</v>
      </c>
      <c r="G37" s="17">
        <f t="shared" si="1"/>
        <v>0.95050000000000001</v>
      </c>
      <c r="H37" s="17">
        <f>F37*G37*12</f>
        <v>128146.41</v>
      </c>
      <c r="I37" s="17">
        <f>H37*1.302</f>
        <v>166846.62582000002</v>
      </c>
      <c r="J37" s="17">
        <v>20222</v>
      </c>
      <c r="K37" s="17">
        <f>I37/J37</f>
        <v>8.2507479883295431</v>
      </c>
      <c r="L37" s="23"/>
    </row>
    <row r="38" spans="1:13" s="2" customFormat="1" ht="15" hidden="1" customHeight="1" x14ac:dyDescent="0.25">
      <c r="A38" s="66" t="s">
        <v>4</v>
      </c>
      <c r="B38" s="66"/>
      <c r="C38" s="66"/>
      <c r="D38" s="66"/>
      <c r="E38" s="66"/>
      <c r="F38" s="17">
        <v>11538</v>
      </c>
      <c r="G38" s="17">
        <f t="shared" si="1"/>
        <v>0.95050000000000001</v>
      </c>
      <c r="H38" s="17">
        <f>F38*G38*12</f>
        <v>131602.42800000001</v>
      </c>
      <c r="I38" s="17">
        <f t="shared" ref="I38:I45" si="2">H38*1.302</f>
        <v>171346.36125600003</v>
      </c>
      <c r="J38" s="17">
        <v>20222</v>
      </c>
      <c r="K38" s="17">
        <f t="shared" ref="K38:K42" si="3">I38/J38</f>
        <v>8.4732648232617951</v>
      </c>
      <c r="L38" s="23"/>
    </row>
    <row r="39" spans="1:13" s="2" customFormat="1" ht="15" hidden="1" customHeight="1" x14ac:dyDescent="0.25">
      <c r="A39" s="66" t="s">
        <v>11</v>
      </c>
      <c r="B39" s="66"/>
      <c r="C39" s="66"/>
      <c r="D39" s="66"/>
      <c r="E39" s="66"/>
      <c r="F39" s="17">
        <v>8837</v>
      </c>
      <c r="G39" s="17">
        <f t="shared" si="1"/>
        <v>0.95050000000000001</v>
      </c>
      <c r="H39" s="17">
        <f t="shared" ref="H39:H45" si="4">F39*G39*12</f>
        <v>100794.82199999999</v>
      </c>
      <c r="I39" s="17">
        <f t="shared" si="2"/>
        <v>131234.85824399997</v>
      </c>
      <c r="J39" s="17">
        <v>20222</v>
      </c>
      <c r="K39" s="17">
        <f>I39/J39</f>
        <v>6.4897071626940939</v>
      </c>
      <c r="L39" s="23"/>
    </row>
    <row r="40" spans="1:13" s="2" customFormat="1" ht="15" hidden="1" customHeight="1" x14ac:dyDescent="0.25">
      <c r="A40" s="66" t="s">
        <v>7</v>
      </c>
      <c r="B40" s="66"/>
      <c r="C40" s="66"/>
      <c r="D40" s="66"/>
      <c r="E40" s="66"/>
      <c r="F40" s="17">
        <v>8837</v>
      </c>
      <c r="G40" s="17">
        <f t="shared" si="1"/>
        <v>0.95050000000000001</v>
      </c>
      <c r="H40" s="17">
        <f>F40*G40*12</f>
        <v>100794.82199999999</v>
      </c>
      <c r="I40" s="17">
        <f>H40*1.302</f>
        <v>131234.85824399997</v>
      </c>
      <c r="J40" s="17">
        <v>20222</v>
      </c>
      <c r="K40" s="17">
        <f t="shared" si="3"/>
        <v>6.4897071626940939</v>
      </c>
      <c r="L40" s="23"/>
    </row>
    <row r="41" spans="1:13" s="2" customFormat="1" ht="15" hidden="1" customHeight="1" x14ac:dyDescent="0.25">
      <c r="A41" s="66" t="s">
        <v>10</v>
      </c>
      <c r="B41" s="66"/>
      <c r="C41" s="66"/>
      <c r="D41" s="66"/>
      <c r="E41" s="66"/>
      <c r="F41" s="17">
        <v>4496</v>
      </c>
      <c r="G41" s="17">
        <f t="shared" si="1"/>
        <v>0.95050000000000001</v>
      </c>
      <c r="H41" s="17">
        <f t="shared" si="4"/>
        <v>51281.376000000004</v>
      </c>
      <c r="I41" s="17">
        <f t="shared" si="2"/>
        <v>66768.351552000007</v>
      </c>
      <c r="J41" s="17">
        <v>20222</v>
      </c>
      <c r="K41" s="17">
        <f t="shared" si="3"/>
        <v>3.3017679533181687</v>
      </c>
      <c r="L41" s="23"/>
    </row>
    <row r="42" spans="1:13" s="2" customFormat="1" ht="15" hidden="1" customHeight="1" x14ac:dyDescent="0.25">
      <c r="A42" s="66" t="s">
        <v>9</v>
      </c>
      <c r="B42" s="66"/>
      <c r="C42" s="66"/>
      <c r="D42" s="66"/>
      <c r="E42" s="66"/>
      <c r="F42" s="21">
        <v>4418.5</v>
      </c>
      <c r="G42" s="17">
        <f t="shared" si="1"/>
        <v>0.47525000000000001</v>
      </c>
      <c r="H42" s="17">
        <f t="shared" si="4"/>
        <v>25198.705499999996</v>
      </c>
      <c r="I42" s="17">
        <f t="shared" si="2"/>
        <v>32808.714560999993</v>
      </c>
      <c r="J42" s="17">
        <v>20222</v>
      </c>
      <c r="K42" s="17">
        <f t="shared" si="3"/>
        <v>1.6224267906735235</v>
      </c>
      <c r="L42" s="23"/>
    </row>
    <row r="43" spans="1:13" s="2" customFormat="1" ht="17.25" hidden="1" customHeight="1" x14ac:dyDescent="0.25">
      <c r="A43" s="78" t="s">
        <v>12</v>
      </c>
      <c r="B43" s="79"/>
      <c r="C43" s="79"/>
      <c r="D43" s="79"/>
      <c r="E43" s="80"/>
      <c r="F43" s="21">
        <v>8837</v>
      </c>
      <c r="G43" s="17">
        <f t="shared" si="1"/>
        <v>0.95050000000000001</v>
      </c>
      <c r="H43" s="17">
        <f t="shared" si="4"/>
        <v>100794.82199999999</v>
      </c>
      <c r="I43" s="17">
        <f>H43*1.302</f>
        <v>131234.85824399997</v>
      </c>
      <c r="J43" s="17">
        <v>20222</v>
      </c>
      <c r="K43" s="17">
        <f>I43/J43</f>
        <v>6.4897071626940939</v>
      </c>
      <c r="L43" s="23"/>
    </row>
    <row r="44" spans="1:13" s="2" customFormat="1" ht="30" hidden="1" customHeight="1" x14ac:dyDescent="0.25">
      <c r="A44" s="78" t="s">
        <v>8</v>
      </c>
      <c r="B44" s="79"/>
      <c r="C44" s="79"/>
      <c r="D44" s="79"/>
      <c r="E44" s="80"/>
      <c r="F44" s="21">
        <v>11538</v>
      </c>
      <c r="G44" s="17">
        <f t="shared" si="1"/>
        <v>0.95050000000000001</v>
      </c>
      <c r="H44" s="17">
        <f t="shared" si="4"/>
        <v>131602.42800000001</v>
      </c>
      <c r="I44" s="17">
        <f t="shared" si="2"/>
        <v>171346.36125600003</v>
      </c>
      <c r="J44" s="17">
        <v>20222</v>
      </c>
      <c r="K44" s="17">
        <f>I44/J44</f>
        <v>8.4732648232617951</v>
      </c>
      <c r="L44" s="23"/>
    </row>
    <row r="45" spans="1:13" s="2" customFormat="1" ht="15.75" hidden="1" customHeight="1" x14ac:dyDescent="0.25">
      <c r="A45" s="66" t="s">
        <v>54</v>
      </c>
      <c r="B45" s="66"/>
      <c r="C45" s="66"/>
      <c r="D45" s="66"/>
      <c r="E45" s="66"/>
      <c r="F45" s="21">
        <v>11538</v>
      </c>
      <c r="G45" s="17">
        <f t="shared" si="1"/>
        <v>0.95050000000000001</v>
      </c>
      <c r="H45" s="51">
        <f t="shared" si="4"/>
        <v>131602.42800000001</v>
      </c>
      <c r="I45" s="51">
        <f t="shared" si="2"/>
        <v>171346.36125600003</v>
      </c>
      <c r="J45" s="17">
        <v>20222</v>
      </c>
      <c r="K45" s="51">
        <f>I45/J45</f>
        <v>8.4732648232617951</v>
      </c>
      <c r="L45" s="23"/>
    </row>
    <row r="46" spans="1:13" s="2" customFormat="1" ht="30" customHeight="1" thickBot="1" x14ac:dyDescent="0.3">
      <c r="A46" s="63" t="s">
        <v>66</v>
      </c>
      <c r="B46" s="64"/>
      <c r="C46" s="64"/>
      <c r="D46" s="64"/>
      <c r="E46" s="65"/>
      <c r="F46" s="7">
        <v>22512.37</v>
      </c>
      <c r="G46" s="31">
        <f>SUM(G36:G45)</f>
        <v>9.0297499999999999</v>
      </c>
      <c r="H46" s="31">
        <v>2439440.41</v>
      </c>
      <c r="I46" s="50">
        <f>(H46*1.302)-0.17</f>
        <v>3176151.2438200004</v>
      </c>
      <c r="J46" s="53">
        <f>F34</f>
        <v>19242</v>
      </c>
      <c r="K46" s="50">
        <f>I46/J46</f>
        <v>165.06346761355371</v>
      </c>
      <c r="L46" s="23"/>
      <c r="M46" s="10">
        <f>I46+I86+'Услуга №2'!I46+'Услуга №2'!I86</f>
        <v>4045044.3602680005</v>
      </c>
    </row>
    <row r="47" spans="1:13" s="2" customFormat="1" ht="17.25" customHeight="1" x14ac:dyDescent="0.25">
      <c r="A47" s="22"/>
      <c r="B47" s="22"/>
      <c r="C47" s="22"/>
      <c r="D47" s="22"/>
      <c r="E47" s="22"/>
      <c r="F47" s="23"/>
      <c r="G47" s="23"/>
      <c r="H47" s="23"/>
      <c r="I47" s="23"/>
      <c r="J47" s="23"/>
      <c r="K47" s="23"/>
      <c r="L47" s="23"/>
      <c r="M47" s="2">
        <f>M46-4045045.07</f>
        <v>-0.70973199931904674</v>
      </c>
    </row>
    <row r="48" spans="1:13" s="2" customFormat="1" x14ac:dyDescent="0.25">
      <c r="A48" s="67" t="s">
        <v>18</v>
      </c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</row>
    <row r="49" spans="1:14" s="2" customFormat="1" ht="60" customHeight="1" x14ac:dyDescent="0.25">
      <c r="A49" s="73" t="s">
        <v>19</v>
      </c>
      <c r="B49" s="73"/>
      <c r="C49" s="73"/>
      <c r="D49" s="73"/>
      <c r="E49" s="73"/>
      <c r="F49" s="16" t="s">
        <v>17</v>
      </c>
      <c r="G49" s="16" t="s">
        <v>65</v>
      </c>
      <c r="H49" s="43" t="s">
        <v>64</v>
      </c>
      <c r="I49" s="16" t="s">
        <v>75</v>
      </c>
      <c r="J49" s="16" t="s">
        <v>71</v>
      </c>
      <c r="K49" s="19" t="s">
        <v>72</v>
      </c>
      <c r="L49" s="25"/>
    </row>
    <row r="50" spans="1:14" s="2" customFormat="1" x14ac:dyDescent="0.25">
      <c r="A50" s="66" t="s">
        <v>20</v>
      </c>
      <c r="B50" s="66"/>
      <c r="C50" s="66"/>
      <c r="D50" s="66"/>
      <c r="E50" s="66"/>
      <c r="F50" s="17" t="s">
        <v>24</v>
      </c>
      <c r="G50" s="21">
        <v>8000</v>
      </c>
      <c r="H50" s="21">
        <v>7.8</v>
      </c>
      <c r="I50" s="17">
        <f>61922.07*95.05%</f>
        <v>58856.927535000003</v>
      </c>
      <c r="J50" s="17">
        <f>F34</f>
        <v>19242</v>
      </c>
      <c r="K50" s="17">
        <f>I50/J50</f>
        <v>3.0587739078578111</v>
      </c>
      <c r="L50" s="23"/>
      <c r="N50" s="23"/>
    </row>
    <row r="51" spans="1:14" s="2" customFormat="1" x14ac:dyDescent="0.25">
      <c r="A51" s="66" t="s">
        <v>21</v>
      </c>
      <c r="B51" s="66"/>
      <c r="C51" s="66"/>
      <c r="D51" s="66"/>
      <c r="E51" s="66"/>
      <c r="F51" s="17" t="s">
        <v>25</v>
      </c>
      <c r="G51" s="21">
        <v>190</v>
      </c>
      <c r="H51" s="21">
        <v>1690.47</v>
      </c>
      <c r="I51" s="17">
        <f>314643.2*95.05%</f>
        <v>299068.3616</v>
      </c>
      <c r="J51" s="17">
        <f>J50</f>
        <v>19242</v>
      </c>
      <c r="K51" s="17">
        <f t="shared" ref="K51:K52" si="5">I51/J51</f>
        <v>15.542477996050307</v>
      </c>
      <c r="L51" s="23"/>
      <c r="N51" s="23"/>
    </row>
    <row r="52" spans="1:14" s="2" customFormat="1" x14ac:dyDescent="0.25">
      <c r="A52" s="66" t="s">
        <v>88</v>
      </c>
      <c r="B52" s="66"/>
      <c r="C52" s="66"/>
      <c r="D52" s="66"/>
      <c r="E52" s="66"/>
      <c r="F52" s="17" t="s">
        <v>26</v>
      </c>
      <c r="G52" s="21">
        <v>12</v>
      </c>
      <c r="H52" s="21">
        <v>800</v>
      </c>
      <c r="I52" s="17">
        <f>14138.64*95.05%</f>
        <v>13438.777319999999</v>
      </c>
      <c r="J52" s="17">
        <f>F34</f>
        <v>19242</v>
      </c>
      <c r="K52" s="17">
        <f t="shared" si="5"/>
        <v>0.6984085500467726</v>
      </c>
      <c r="L52" s="23"/>
      <c r="N52" s="23"/>
    </row>
    <row r="53" spans="1:14" s="2" customFormat="1" x14ac:dyDescent="0.25">
      <c r="A53" s="66" t="s">
        <v>22</v>
      </c>
      <c r="B53" s="66"/>
      <c r="C53" s="66"/>
      <c r="D53" s="66"/>
      <c r="E53" s="66"/>
      <c r="F53" s="17" t="s">
        <v>26</v>
      </c>
      <c r="G53" s="21">
        <v>130</v>
      </c>
      <c r="H53" s="21">
        <v>41.8</v>
      </c>
      <c r="I53" s="17">
        <f>6442.73*95.05%</f>
        <v>6123.8148649999994</v>
      </c>
      <c r="J53" s="17">
        <f>J51</f>
        <v>19242</v>
      </c>
      <c r="K53" s="17">
        <f>I53/J53</f>
        <v>0.31825251351210887</v>
      </c>
      <c r="L53" s="23"/>
      <c r="N53" s="23"/>
    </row>
    <row r="54" spans="1:14" s="2" customFormat="1" ht="15.75" thickBot="1" x14ac:dyDescent="0.3">
      <c r="A54" s="66" t="s">
        <v>23</v>
      </c>
      <c r="B54" s="66"/>
      <c r="C54" s="66"/>
      <c r="D54" s="66"/>
      <c r="E54" s="66"/>
      <c r="F54" s="17" t="s">
        <v>26</v>
      </c>
      <c r="G54" s="21">
        <v>130</v>
      </c>
      <c r="H54" s="21">
        <v>60.8</v>
      </c>
      <c r="I54" s="51">
        <f>9421.72*95.05%</f>
        <v>8955.3448599999992</v>
      </c>
      <c r="J54" s="17">
        <f>J53</f>
        <v>19242</v>
      </c>
      <c r="K54" s="51">
        <f>I54/J54</f>
        <v>0.46540613553684645</v>
      </c>
      <c r="L54" s="23"/>
      <c r="M54" s="26"/>
      <c r="N54" s="23"/>
    </row>
    <row r="55" spans="1:14" s="2" customFormat="1" ht="15.75" thickBot="1" x14ac:dyDescent="0.3">
      <c r="A55" s="93" t="s">
        <v>67</v>
      </c>
      <c r="B55" s="93"/>
      <c r="C55" s="93"/>
      <c r="D55" s="93"/>
      <c r="E55" s="93"/>
      <c r="F55" s="93"/>
      <c r="G55" s="93"/>
      <c r="H55" s="76"/>
      <c r="I55" s="54">
        <f>SUM(I50:I54)</f>
        <v>386443.22618000006</v>
      </c>
      <c r="J55" s="53">
        <f>J54</f>
        <v>19242</v>
      </c>
      <c r="K55" s="54">
        <f>I55/J54</f>
        <v>20.083319103003848</v>
      </c>
      <c r="L55" s="24"/>
      <c r="M55" s="10">
        <f>I55+'Услуга №2'!I55</f>
        <v>406568.36000000004</v>
      </c>
      <c r="N55" s="23"/>
    </row>
    <row r="56" spans="1:14" s="2" customFormat="1" x14ac:dyDescent="0.25"/>
    <row r="57" spans="1:14" s="2" customFormat="1" x14ac:dyDescent="0.25">
      <c r="A57" s="67" t="s">
        <v>27</v>
      </c>
      <c r="B57" s="67"/>
      <c r="C57" s="67"/>
      <c r="D57" s="67"/>
      <c r="E57" s="67"/>
      <c r="F57" s="67"/>
      <c r="G57" s="67"/>
      <c r="H57" s="67"/>
      <c r="I57" s="67"/>
      <c r="J57" s="67"/>
      <c r="K57" s="67"/>
      <c r="L57" s="67"/>
    </row>
    <row r="58" spans="1:14" s="2" customFormat="1" ht="60" customHeight="1" x14ac:dyDescent="0.25">
      <c r="A58" s="73" t="s">
        <v>33</v>
      </c>
      <c r="B58" s="73"/>
      <c r="C58" s="73"/>
      <c r="D58" s="73"/>
      <c r="E58" s="73"/>
      <c r="F58" s="16" t="s">
        <v>17</v>
      </c>
      <c r="G58" s="16" t="s">
        <v>65</v>
      </c>
      <c r="H58" s="16" t="s">
        <v>64</v>
      </c>
      <c r="I58" s="16" t="s">
        <v>75</v>
      </c>
      <c r="J58" s="16" t="s">
        <v>71</v>
      </c>
      <c r="K58" s="19" t="s">
        <v>72</v>
      </c>
      <c r="L58" s="25"/>
    </row>
    <row r="59" spans="1:14" s="2" customFormat="1" x14ac:dyDescent="0.25">
      <c r="A59" s="66" t="s">
        <v>28</v>
      </c>
      <c r="B59" s="66"/>
      <c r="C59" s="66"/>
      <c r="D59" s="66"/>
      <c r="E59" s="66"/>
      <c r="F59" s="17" t="s">
        <v>85</v>
      </c>
      <c r="G59" s="17">
        <v>12</v>
      </c>
      <c r="H59" s="17">
        <v>500</v>
      </c>
      <c r="I59" s="17">
        <f>3600*95.05%</f>
        <v>3421.8</v>
      </c>
      <c r="J59" s="17">
        <f>F34</f>
        <v>19242</v>
      </c>
      <c r="K59" s="17">
        <f t="shared" ref="K59:K63" si="6">I59/J59</f>
        <v>0.17782974742750235</v>
      </c>
      <c r="L59" s="23"/>
    </row>
    <row r="60" spans="1:14" s="2" customFormat="1" x14ac:dyDescent="0.25">
      <c r="A60" s="60" t="s">
        <v>104</v>
      </c>
      <c r="B60" s="61"/>
      <c r="C60" s="61"/>
      <c r="D60" s="61"/>
      <c r="E60" s="62"/>
      <c r="F60" s="17" t="s">
        <v>85</v>
      </c>
      <c r="G60" s="17">
        <v>1</v>
      </c>
      <c r="H60" s="17">
        <v>0</v>
      </c>
      <c r="I60" s="17">
        <f>24202</f>
        <v>24202</v>
      </c>
      <c r="J60" s="17">
        <f>J59</f>
        <v>19242</v>
      </c>
      <c r="K60" s="17">
        <f t="shared" si="6"/>
        <v>1.2577694626338218</v>
      </c>
      <c r="L60" s="23"/>
    </row>
    <row r="61" spans="1:14" s="2" customFormat="1" hidden="1" x14ac:dyDescent="0.25">
      <c r="A61" s="66" t="s">
        <v>29</v>
      </c>
      <c r="B61" s="66"/>
      <c r="C61" s="66"/>
      <c r="D61" s="66"/>
      <c r="E61" s="66"/>
      <c r="F61" s="17" t="s">
        <v>85</v>
      </c>
      <c r="G61" s="17">
        <v>0</v>
      </c>
      <c r="H61" s="17">
        <v>0</v>
      </c>
      <c r="I61" s="17">
        <v>0</v>
      </c>
      <c r="J61" s="17">
        <v>0</v>
      </c>
      <c r="K61" s="17" t="e">
        <f t="shared" si="6"/>
        <v>#DIV/0!</v>
      </c>
      <c r="L61" s="23"/>
    </row>
    <row r="62" spans="1:14" s="2" customFormat="1" x14ac:dyDescent="0.25">
      <c r="A62" s="66" t="s">
        <v>30</v>
      </c>
      <c r="B62" s="66"/>
      <c r="C62" s="66"/>
      <c r="D62" s="66"/>
      <c r="E62" s="66"/>
      <c r="F62" s="17" t="s">
        <v>85</v>
      </c>
      <c r="G62" s="17">
        <v>12</v>
      </c>
      <c r="H62" s="17">
        <v>1500</v>
      </c>
      <c r="I62" s="17">
        <f>15600*95.05%</f>
        <v>14827.8</v>
      </c>
      <c r="J62" s="17">
        <f>J60</f>
        <v>19242</v>
      </c>
      <c r="K62" s="17">
        <f t="shared" si="6"/>
        <v>0.7705955721858434</v>
      </c>
      <c r="L62" s="23"/>
    </row>
    <row r="63" spans="1:14" s="2" customFormat="1" ht="28.5" customHeight="1" thickBot="1" x14ac:dyDescent="0.3">
      <c r="A63" s="78" t="s">
        <v>76</v>
      </c>
      <c r="B63" s="79"/>
      <c r="C63" s="79"/>
      <c r="D63" s="79"/>
      <c r="E63" s="80"/>
      <c r="F63" s="17" t="s">
        <v>85</v>
      </c>
      <c r="G63" s="17">
        <v>12</v>
      </c>
      <c r="H63" s="17">
        <v>6666.67</v>
      </c>
      <c r="I63" s="51">
        <f>292055.28*95.05%</f>
        <v>277598.54364000005</v>
      </c>
      <c r="J63" s="17">
        <f>J62</f>
        <v>19242</v>
      </c>
      <c r="K63" s="51">
        <f t="shared" si="6"/>
        <v>14.426699077019023</v>
      </c>
      <c r="L63" s="23"/>
    </row>
    <row r="64" spans="1:14" s="2" customFormat="1" ht="15.75" thickBot="1" x14ac:dyDescent="0.3">
      <c r="A64" s="76" t="s">
        <v>32</v>
      </c>
      <c r="B64" s="77"/>
      <c r="C64" s="77"/>
      <c r="D64" s="77"/>
      <c r="E64" s="77"/>
      <c r="F64" s="77"/>
      <c r="G64" s="77"/>
      <c r="H64" s="77"/>
      <c r="I64" s="54">
        <f>SUM(I59:I63)</f>
        <v>320050.14364000002</v>
      </c>
      <c r="J64" s="53">
        <f>J63</f>
        <v>19242</v>
      </c>
      <c r="K64" s="54">
        <f>I64/J63</f>
        <v>16.63289385926619</v>
      </c>
      <c r="L64" s="24"/>
      <c r="M64" s="10">
        <f>I64+'Услуга №2'!I64</f>
        <v>335457.28000000003</v>
      </c>
    </row>
    <row r="65" spans="1:13" s="2" customFormat="1" ht="13.5" customHeight="1" x14ac:dyDescent="0.25"/>
    <row r="66" spans="1:13" s="2" customFormat="1" x14ac:dyDescent="0.25">
      <c r="A66" s="67" t="s">
        <v>77</v>
      </c>
      <c r="B66" s="67"/>
      <c r="C66" s="67"/>
      <c r="D66" s="67"/>
      <c r="E66" s="67"/>
      <c r="F66" s="67"/>
      <c r="G66" s="67"/>
      <c r="H66" s="67"/>
      <c r="I66" s="67"/>
      <c r="J66" s="67"/>
      <c r="K66" s="67"/>
      <c r="L66" s="67"/>
    </row>
    <row r="67" spans="1:13" s="2" customFormat="1" ht="60" customHeight="1" x14ac:dyDescent="0.25">
      <c r="A67" s="73" t="s">
        <v>33</v>
      </c>
      <c r="B67" s="73"/>
      <c r="C67" s="73"/>
      <c r="D67" s="73"/>
      <c r="E67" s="73"/>
      <c r="F67" s="16" t="s">
        <v>17</v>
      </c>
      <c r="G67" s="16" t="s">
        <v>65</v>
      </c>
      <c r="H67" s="16" t="s">
        <v>64</v>
      </c>
      <c r="I67" s="16" t="s">
        <v>75</v>
      </c>
      <c r="J67" s="16" t="s">
        <v>71</v>
      </c>
      <c r="K67" s="19" t="s">
        <v>72</v>
      </c>
      <c r="L67" s="25"/>
    </row>
    <row r="68" spans="1:13" s="2" customFormat="1" ht="30.75" customHeight="1" x14ac:dyDescent="0.25">
      <c r="A68" s="78" t="s">
        <v>78</v>
      </c>
      <c r="B68" s="79"/>
      <c r="C68" s="79"/>
      <c r="D68" s="79"/>
      <c r="E68" s="80"/>
      <c r="F68" s="17" t="s">
        <v>85</v>
      </c>
      <c r="G68" s="17">
        <v>12</v>
      </c>
      <c r="H68" s="17">
        <v>800</v>
      </c>
      <c r="I68" s="17">
        <f>9600*95.05%</f>
        <v>9124.7999999999993</v>
      </c>
      <c r="J68" s="17">
        <f>J63</f>
        <v>19242</v>
      </c>
      <c r="K68" s="17">
        <f>I68/J68</f>
        <v>0.47421265980667288</v>
      </c>
      <c r="L68" s="23"/>
    </row>
    <row r="69" spans="1:13" s="2" customFormat="1" ht="20.25" customHeight="1" thickBot="1" x14ac:dyDescent="0.3">
      <c r="A69" s="60" t="s">
        <v>89</v>
      </c>
      <c r="B69" s="61"/>
      <c r="C69" s="61"/>
      <c r="D69" s="61"/>
      <c r="E69" s="62"/>
      <c r="F69" s="17" t="s">
        <v>85</v>
      </c>
      <c r="G69" s="17">
        <v>12</v>
      </c>
      <c r="H69" s="17">
        <v>1500</v>
      </c>
      <c r="I69" s="17">
        <f>18000*95.05%</f>
        <v>17109</v>
      </c>
      <c r="J69" s="17">
        <f>J68</f>
        <v>19242</v>
      </c>
      <c r="K69" s="17">
        <f t="shared" ref="K69:K70" si="7">I69/J69</f>
        <v>0.88914873713751175</v>
      </c>
      <c r="L69" s="23"/>
    </row>
    <row r="70" spans="1:13" s="2" customFormat="1" ht="20.25" hidden="1" customHeight="1" x14ac:dyDescent="0.25">
      <c r="A70" s="60" t="s">
        <v>92</v>
      </c>
      <c r="B70" s="61"/>
      <c r="C70" s="61"/>
      <c r="D70" s="61"/>
      <c r="E70" s="62"/>
      <c r="F70" s="17"/>
      <c r="G70" s="17"/>
      <c r="H70" s="17"/>
      <c r="I70" s="17">
        <v>0</v>
      </c>
      <c r="J70" s="17">
        <v>0</v>
      </c>
      <c r="K70" s="17" t="e">
        <f t="shared" si="7"/>
        <v>#DIV/0!</v>
      </c>
      <c r="L70" s="23"/>
    </row>
    <row r="71" spans="1:13" s="2" customFormat="1" ht="21.75" hidden="1" customHeight="1" x14ac:dyDescent="0.25">
      <c r="A71" s="60" t="s">
        <v>90</v>
      </c>
      <c r="B71" s="61"/>
      <c r="C71" s="61"/>
      <c r="D71" s="61"/>
      <c r="E71" s="62"/>
      <c r="F71" s="17"/>
      <c r="G71" s="17"/>
      <c r="H71" s="17"/>
      <c r="I71" s="17"/>
      <c r="J71" s="17">
        <v>20222</v>
      </c>
      <c r="K71" s="17"/>
      <c r="L71" s="23"/>
    </row>
    <row r="72" spans="1:13" s="2" customFormat="1" ht="16.5" hidden="1" customHeight="1" x14ac:dyDescent="0.25">
      <c r="A72" s="60" t="s">
        <v>91</v>
      </c>
      <c r="B72" s="61"/>
      <c r="C72" s="61"/>
      <c r="D72" s="61"/>
      <c r="E72" s="62"/>
      <c r="F72" s="17"/>
      <c r="G72" s="17"/>
      <c r="H72" s="17"/>
      <c r="I72" s="51"/>
      <c r="J72" s="17">
        <v>20222</v>
      </c>
      <c r="K72" s="51"/>
      <c r="L72" s="23"/>
    </row>
    <row r="73" spans="1:13" s="2" customFormat="1" ht="15.75" thickBot="1" x14ac:dyDescent="0.3">
      <c r="A73" s="76" t="s">
        <v>79</v>
      </c>
      <c r="B73" s="77"/>
      <c r="C73" s="77"/>
      <c r="D73" s="77"/>
      <c r="E73" s="77"/>
      <c r="F73" s="77"/>
      <c r="G73" s="77"/>
      <c r="H73" s="77"/>
      <c r="I73" s="54">
        <f>SUM(I68:I72)</f>
        <v>26233.8</v>
      </c>
      <c r="J73" s="53">
        <f>J69</f>
        <v>19242</v>
      </c>
      <c r="K73" s="54">
        <f>I73/J68</f>
        <v>1.3633613969441845</v>
      </c>
      <c r="L73" s="24"/>
      <c r="M73" s="10">
        <f>I73+'Услуга №2'!I73</f>
        <v>27600</v>
      </c>
    </row>
    <row r="74" spans="1:13" s="2" customFormat="1" x14ac:dyDescent="0.25">
      <c r="A74" s="27"/>
      <c r="B74" s="27"/>
      <c r="C74" s="27"/>
      <c r="D74" s="27"/>
      <c r="E74" s="27"/>
      <c r="F74" s="27"/>
      <c r="G74" s="27"/>
      <c r="H74" s="27"/>
      <c r="I74" s="8"/>
      <c r="J74" s="8"/>
      <c r="K74" s="8"/>
      <c r="L74" s="23"/>
    </row>
    <row r="75" spans="1:13" s="2" customFormat="1" x14ac:dyDescent="0.25">
      <c r="A75" s="67" t="s">
        <v>80</v>
      </c>
      <c r="B75" s="67"/>
      <c r="C75" s="67"/>
      <c r="D75" s="67"/>
      <c r="E75" s="67"/>
      <c r="F75" s="67"/>
      <c r="G75" s="67"/>
      <c r="H75" s="67"/>
      <c r="I75" s="67"/>
      <c r="J75" s="67"/>
      <c r="K75" s="67"/>
      <c r="L75" s="67"/>
    </row>
    <row r="76" spans="1:13" s="2" customFormat="1" ht="60" customHeight="1" x14ac:dyDescent="0.25">
      <c r="A76" s="68" t="s">
        <v>34</v>
      </c>
      <c r="B76" s="69"/>
      <c r="C76" s="69"/>
      <c r="D76" s="69"/>
      <c r="E76" s="70"/>
      <c r="F76" s="16" t="s">
        <v>17</v>
      </c>
      <c r="G76" s="16" t="s">
        <v>65</v>
      </c>
      <c r="H76" s="16" t="s">
        <v>64</v>
      </c>
      <c r="I76" s="16" t="s">
        <v>75</v>
      </c>
      <c r="J76" s="28" t="s">
        <v>71</v>
      </c>
      <c r="K76" s="19" t="s">
        <v>72</v>
      </c>
      <c r="L76" s="25"/>
      <c r="M76" s="25"/>
    </row>
    <row r="77" spans="1:13" s="2" customFormat="1" ht="45" x14ac:dyDescent="0.25">
      <c r="A77" s="60" t="s">
        <v>35</v>
      </c>
      <c r="B77" s="71"/>
      <c r="C77" s="71"/>
      <c r="D77" s="71"/>
      <c r="E77" s="72"/>
      <c r="F77" s="29" t="s">
        <v>36</v>
      </c>
      <c r="G77" s="17">
        <v>2</v>
      </c>
      <c r="H77" s="17">
        <v>400</v>
      </c>
      <c r="I77" s="17">
        <f>9600*95.05%</f>
        <v>9124.7999999999993</v>
      </c>
      <c r="J77" s="30">
        <f>J68</f>
        <v>19242</v>
      </c>
      <c r="K77" s="17">
        <f>I77/J77</f>
        <v>0.47421265980667288</v>
      </c>
      <c r="L77" s="23"/>
      <c r="M77" s="23"/>
    </row>
    <row r="78" spans="1:13" s="2" customFormat="1" x14ac:dyDescent="0.25">
      <c r="A78" s="60" t="s">
        <v>84</v>
      </c>
      <c r="B78" s="71"/>
      <c r="C78" s="71"/>
      <c r="D78" s="71"/>
      <c r="E78" s="72"/>
      <c r="F78" s="29" t="s">
        <v>31</v>
      </c>
      <c r="G78" s="17">
        <v>1</v>
      </c>
      <c r="H78" s="17"/>
      <c r="I78" s="17">
        <f>10800*95.05%</f>
        <v>10265.4</v>
      </c>
      <c r="J78" s="30">
        <f>J77</f>
        <v>19242</v>
      </c>
      <c r="K78" s="17">
        <f>I78/J78</f>
        <v>0.53348924228250705</v>
      </c>
      <c r="L78" s="23"/>
      <c r="M78" s="23"/>
    </row>
    <row r="79" spans="1:13" s="2" customFormat="1" ht="15.75" thickBot="1" x14ac:dyDescent="0.3">
      <c r="A79" s="60" t="s">
        <v>81</v>
      </c>
      <c r="B79" s="71"/>
      <c r="C79" s="71"/>
      <c r="D79" s="71"/>
      <c r="E79" s="72"/>
      <c r="F79" s="29" t="s">
        <v>31</v>
      </c>
      <c r="G79" s="17">
        <v>1</v>
      </c>
      <c r="H79" s="17">
        <v>800</v>
      </c>
      <c r="I79" s="51">
        <f>9600*95.05%</f>
        <v>9124.7999999999993</v>
      </c>
      <c r="J79" s="30">
        <f>J77</f>
        <v>19242</v>
      </c>
      <c r="K79" s="51">
        <f>I79/J79</f>
        <v>0.47421265980667288</v>
      </c>
      <c r="L79" s="23"/>
      <c r="M79" s="23"/>
    </row>
    <row r="80" spans="1:13" s="2" customFormat="1" ht="15.75" thickBot="1" x14ac:dyDescent="0.3">
      <c r="A80" s="76" t="s">
        <v>86</v>
      </c>
      <c r="B80" s="77"/>
      <c r="C80" s="77"/>
      <c r="D80" s="77"/>
      <c r="E80" s="77"/>
      <c r="F80" s="77"/>
      <c r="G80" s="77"/>
      <c r="H80" s="77"/>
      <c r="I80" s="54">
        <f>SUM(I77:I79)</f>
        <v>28514.999999999996</v>
      </c>
      <c r="J80" s="53">
        <f>J78</f>
        <v>19242</v>
      </c>
      <c r="K80" s="54">
        <f>I80/J79</f>
        <v>1.4819145618958527</v>
      </c>
      <c r="L80" s="8"/>
      <c r="M80" s="23">
        <f>I80+'Услуга №2'!I80</f>
        <v>29999.999999999996</v>
      </c>
    </row>
    <row r="81" spans="1:13" s="2" customFormat="1" x14ac:dyDescent="0.25"/>
    <row r="82" spans="1:13" s="2" customFormat="1" x14ac:dyDescent="0.25">
      <c r="A82" s="67" t="s">
        <v>55</v>
      </c>
      <c r="B82" s="67"/>
      <c r="C82" s="67"/>
      <c r="D82" s="67"/>
      <c r="E82" s="67"/>
      <c r="F82" s="67"/>
      <c r="G82" s="67"/>
      <c r="H82" s="67"/>
      <c r="I82" s="67"/>
      <c r="J82" s="67"/>
      <c r="K82" s="67"/>
      <c r="L82" s="67"/>
    </row>
    <row r="83" spans="1:13" s="2" customFormat="1" ht="75.75" thickBot="1" x14ac:dyDescent="0.3">
      <c r="A83" s="73" t="s">
        <v>15</v>
      </c>
      <c r="B83" s="73"/>
      <c r="C83" s="73"/>
      <c r="D83" s="73"/>
      <c r="E83" s="73"/>
      <c r="F83" s="16" t="s">
        <v>16</v>
      </c>
      <c r="G83" s="16" t="s">
        <v>1</v>
      </c>
      <c r="H83" s="16" t="s">
        <v>69</v>
      </c>
      <c r="I83" s="16" t="s">
        <v>70</v>
      </c>
      <c r="J83" s="16" t="s">
        <v>71</v>
      </c>
      <c r="K83" s="32" t="s">
        <v>72</v>
      </c>
      <c r="L83" s="33"/>
    </row>
    <row r="84" spans="1:13" s="2" customFormat="1" ht="17.25" hidden="1" customHeight="1" x14ac:dyDescent="0.25">
      <c r="A84" s="66" t="s">
        <v>5</v>
      </c>
      <c r="B84" s="66"/>
      <c r="C84" s="66"/>
      <c r="D84" s="66"/>
      <c r="E84" s="66"/>
      <c r="F84" s="21">
        <v>15258</v>
      </c>
      <c r="G84" s="17">
        <f>L19</f>
        <v>0.95050000000000001</v>
      </c>
      <c r="H84" s="17">
        <f>F84*G84*12</f>
        <v>174032.74799999999</v>
      </c>
      <c r="I84" s="17">
        <f>H84*1.302</f>
        <v>226590.637896</v>
      </c>
      <c r="J84" s="17">
        <v>20222</v>
      </c>
      <c r="K84" s="30">
        <f>I84/J84</f>
        <v>11.205154677875582</v>
      </c>
      <c r="L84" s="34"/>
    </row>
    <row r="85" spans="1:13" s="2" customFormat="1" ht="17.25" hidden="1" customHeight="1" x14ac:dyDescent="0.25">
      <c r="A85" s="66" t="s">
        <v>13</v>
      </c>
      <c r="B85" s="66"/>
      <c r="C85" s="66"/>
      <c r="D85" s="66"/>
      <c r="E85" s="66"/>
      <c r="F85" s="21">
        <v>11538</v>
      </c>
      <c r="G85" s="17">
        <f>L20</f>
        <v>0.95050000000000001</v>
      </c>
      <c r="H85" s="17">
        <f>F85*G85*12</f>
        <v>131602.42800000001</v>
      </c>
      <c r="I85" s="51">
        <f>H85*1.302</f>
        <v>171346.36125600003</v>
      </c>
      <c r="J85" s="17">
        <f>J84</f>
        <v>20222</v>
      </c>
      <c r="K85" s="56">
        <f>I85/J85</f>
        <v>8.4732648232617951</v>
      </c>
      <c r="L85" s="34"/>
    </row>
    <row r="86" spans="1:13" s="2" customFormat="1" ht="18" customHeight="1" thickBot="1" x14ac:dyDescent="0.3">
      <c r="A86" s="63" t="s">
        <v>37</v>
      </c>
      <c r="B86" s="64"/>
      <c r="C86" s="64"/>
      <c r="D86" s="64"/>
      <c r="E86" s="65"/>
      <c r="F86" s="6">
        <v>22524.84</v>
      </c>
      <c r="G86" s="6">
        <f t="shared" ref="G86" si="8">G84+G85</f>
        <v>1.901</v>
      </c>
      <c r="H86" s="35">
        <v>513566.35</v>
      </c>
      <c r="I86" s="54">
        <f>H86*1.302</f>
        <v>668663.38769999996</v>
      </c>
      <c r="J86" s="55">
        <f>J80</f>
        <v>19242</v>
      </c>
      <c r="K86" s="54">
        <f>I86/J86</f>
        <v>34.750202042407231</v>
      </c>
      <c r="L86" s="23"/>
    </row>
    <row r="87" spans="1:13" s="2" customFormat="1" ht="13.5" customHeight="1" x14ac:dyDescent="0.25">
      <c r="L87" s="23"/>
    </row>
    <row r="88" spans="1:13" s="2" customFormat="1" x14ac:dyDescent="0.25">
      <c r="A88" s="67" t="s">
        <v>38</v>
      </c>
      <c r="B88" s="67"/>
      <c r="C88" s="67"/>
      <c r="D88" s="67"/>
      <c r="E88" s="67"/>
      <c r="F88" s="67"/>
      <c r="G88" s="67"/>
      <c r="H88" s="67"/>
      <c r="I88" s="67"/>
      <c r="J88" s="67"/>
      <c r="K88" s="67"/>
      <c r="L88" s="67"/>
    </row>
    <row r="89" spans="1:13" s="2" customFormat="1" ht="60" customHeight="1" x14ac:dyDescent="0.25">
      <c r="A89" s="73" t="s">
        <v>82</v>
      </c>
      <c r="B89" s="73"/>
      <c r="C89" s="73"/>
      <c r="D89" s="73"/>
      <c r="E89" s="73"/>
      <c r="F89" s="16" t="s">
        <v>17</v>
      </c>
      <c r="G89" s="16" t="s">
        <v>65</v>
      </c>
      <c r="H89" s="16" t="s">
        <v>64</v>
      </c>
      <c r="I89" s="16" t="s">
        <v>75</v>
      </c>
      <c r="J89" s="16" t="s">
        <v>71</v>
      </c>
      <c r="K89" s="19" t="s">
        <v>72</v>
      </c>
      <c r="L89" s="25"/>
    </row>
    <row r="90" spans="1:13" s="2" customFormat="1" ht="15.75" thickBot="1" x14ac:dyDescent="0.3">
      <c r="A90" s="66" t="s">
        <v>93</v>
      </c>
      <c r="B90" s="66"/>
      <c r="C90" s="66"/>
      <c r="D90" s="66"/>
      <c r="E90" s="66"/>
      <c r="F90" s="17" t="s">
        <v>39</v>
      </c>
      <c r="G90" s="17"/>
      <c r="H90" s="17"/>
      <c r="I90" s="51">
        <f>30900*95.05%</f>
        <v>29370.45</v>
      </c>
      <c r="J90" s="17">
        <f>J86</f>
        <v>19242</v>
      </c>
      <c r="K90" s="51">
        <f>I90/J90</f>
        <v>1.5263719987527284</v>
      </c>
      <c r="L90" s="23"/>
      <c r="M90" s="10"/>
    </row>
    <row r="91" spans="1:13" s="2" customFormat="1" ht="15.75" thickBot="1" x14ac:dyDescent="0.3">
      <c r="A91" s="76" t="s">
        <v>40</v>
      </c>
      <c r="B91" s="77"/>
      <c r="C91" s="77"/>
      <c r="D91" s="77"/>
      <c r="E91" s="77"/>
      <c r="F91" s="77"/>
      <c r="G91" s="77"/>
      <c r="H91" s="77"/>
      <c r="I91" s="54">
        <f>I90</f>
        <v>29370.45</v>
      </c>
      <c r="J91" s="53">
        <f>J90</f>
        <v>19242</v>
      </c>
      <c r="K91" s="54">
        <f>I91/J90</f>
        <v>1.5263719987527284</v>
      </c>
      <c r="L91" s="24"/>
      <c r="M91" s="2">
        <f>I91+'Услуга №2'!I91</f>
        <v>30900</v>
      </c>
    </row>
    <row r="92" spans="1:13" s="2" customFormat="1" x14ac:dyDescent="0.25">
      <c r="A92" s="27"/>
      <c r="B92" s="27"/>
      <c r="C92" s="27"/>
      <c r="D92" s="27"/>
      <c r="E92" s="27"/>
      <c r="F92" s="27"/>
      <c r="G92" s="27"/>
      <c r="H92" s="27"/>
      <c r="I92" s="8"/>
      <c r="J92" s="8"/>
      <c r="K92" s="8"/>
      <c r="L92" s="24"/>
    </row>
    <row r="93" spans="1:13" s="2" customFormat="1" x14ac:dyDescent="0.25">
      <c r="A93" s="67" t="s">
        <v>94</v>
      </c>
      <c r="B93" s="67"/>
      <c r="C93" s="67"/>
      <c r="D93" s="67"/>
      <c r="E93" s="67"/>
      <c r="F93" s="67"/>
      <c r="G93" s="67"/>
      <c r="H93" s="67"/>
      <c r="I93" s="67"/>
      <c r="J93" s="67"/>
      <c r="K93" s="67"/>
      <c r="L93" s="67"/>
    </row>
    <row r="94" spans="1:13" s="2" customFormat="1" ht="60" customHeight="1" x14ac:dyDescent="0.25">
      <c r="A94" s="73" t="s">
        <v>82</v>
      </c>
      <c r="B94" s="73"/>
      <c r="C94" s="73"/>
      <c r="D94" s="73"/>
      <c r="E94" s="73"/>
      <c r="F94" s="16" t="s">
        <v>17</v>
      </c>
      <c r="G94" s="16" t="s">
        <v>65</v>
      </c>
      <c r="H94" s="16" t="s">
        <v>64</v>
      </c>
      <c r="I94" s="16" t="s">
        <v>75</v>
      </c>
      <c r="J94" s="16" t="s">
        <v>71</v>
      </c>
      <c r="K94" s="19" t="s">
        <v>72</v>
      </c>
      <c r="L94" s="25"/>
    </row>
    <row r="95" spans="1:13" s="2" customFormat="1" ht="15.75" thickBot="1" x14ac:dyDescent="0.3">
      <c r="A95" s="66" t="s">
        <v>95</v>
      </c>
      <c r="B95" s="66"/>
      <c r="C95" s="66"/>
      <c r="D95" s="66"/>
      <c r="E95" s="66"/>
      <c r="F95" s="17" t="s">
        <v>39</v>
      </c>
      <c r="G95" s="17"/>
      <c r="H95" s="17"/>
      <c r="I95" s="51">
        <f>5600*95.05%</f>
        <v>5322.8</v>
      </c>
      <c r="J95" s="17">
        <f>J91</f>
        <v>19242</v>
      </c>
      <c r="K95" s="51">
        <f>I95/J95</f>
        <v>0.27662405155389252</v>
      </c>
      <c r="L95" s="23"/>
      <c r="M95" s="10"/>
    </row>
    <row r="96" spans="1:13" s="2" customFormat="1" ht="15.75" thickBot="1" x14ac:dyDescent="0.3">
      <c r="A96" s="76" t="s">
        <v>96</v>
      </c>
      <c r="B96" s="77"/>
      <c r="C96" s="77"/>
      <c r="D96" s="77"/>
      <c r="E96" s="77"/>
      <c r="F96" s="77"/>
      <c r="G96" s="77"/>
      <c r="H96" s="77"/>
      <c r="I96" s="54">
        <f>I95</f>
        <v>5322.8</v>
      </c>
      <c r="J96" s="53">
        <f>J95</f>
        <v>19242</v>
      </c>
      <c r="K96" s="54">
        <f>I96/J95</f>
        <v>0.27662405155389252</v>
      </c>
      <c r="L96" s="24"/>
      <c r="M96" s="2">
        <f>I96+'Услуга №2'!I96</f>
        <v>5600</v>
      </c>
    </row>
    <row r="97" spans="1:12" s="2" customFormat="1" x14ac:dyDescent="0.25">
      <c r="A97" s="27"/>
      <c r="B97" s="27"/>
      <c r="C97" s="27"/>
      <c r="D97" s="27"/>
      <c r="E97" s="27"/>
      <c r="F97" s="27"/>
      <c r="G97" s="27"/>
      <c r="H97" s="27"/>
      <c r="I97" s="8"/>
      <c r="J97" s="8"/>
      <c r="K97" s="8"/>
      <c r="L97" s="24"/>
    </row>
    <row r="98" spans="1:12" s="2" customFormat="1" x14ac:dyDescent="0.25"/>
    <row r="99" spans="1:12" s="2" customFormat="1" x14ac:dyDescent="0.25">
      <c r="A99" s="67" t="s">
        <v>41</v>
      </c>
      <c r="B99" s="67"/>
      <c r="C99" s="67"/>
      <c r="D99" s="67"/>
      <c r="E99" s="67"/>
      <c r="F99" s="67"/>
      <c r="G99" s="67"/>
      <c r="H99" s="67"/>
      <c r="I99" s="67"/>
      <c r="J99" s="67"/>
      <c r="K99" s="67"/>
      <c r="L99" s="67"/>
    </row>
    <row r="100" spans="1:12" s="2" customFormat="1" ht="48" customHeight="1" x14ac:dyDescent="0.25">
      <c r="A100" s="81" t="s">
        <v>42</v>
      </c>
      <c r="B100" s="81"/>
      <c r="C100" s="81"/>
      <c r="D100" s="68" t="s">
        <v>43</v>
      </c>
      <c r="E100" s="69"/>
      <c r="F100" s="69"/>
      <c r="G100" s="69"/>
      <c r="H100" s="69"/>
      <c r="I100" s="69"/>
      <c r="J100" s="70"/>
      <c r="K100" s="82" t="s">
        <v>53</v>
      </c>
      <c r="L100" s="83"/>
    </row>
    <row r="101" spans="1:12" s="2" customFormat="1" ht="30.75" thickBot="1" x14ac:dyDescent="0.3">
      <c r="A101" s="17" t="s">
        <v>44</v>
      </c>
      <c r="B101" s="20" t="s">
        <v>45</v>
      </c>
      <c r="C101" s="17" t="s">
        <v>46</v>
      </c>
      <c r="D101" s="17" t="s">
        <v>47</v>
      </c>
      <c r="E101" s="17" t="s">
        <v>48</v>
      </c>
      <c r="F101" s="17" t="s">
        <v>49</v>
      </c>
      <c r="G101" s="17" t="s">
        <v>50</v>
      </c>
      <c r="H101" s="17" t="s">
        <v>105</v>
      </c>
      <c r="I101" s="17" t="s">
        <v>51</v>
      </c>
      <c r="J101" s="17" t="s">
        <v>52</v>
      </c>
      <c r="K101" s="84"/>
      <c r="L101" s="85"/>
    </row>
    <row r="102" spans="1:12" s="2" customFormat="1" ht="15.75" thickBot="1" x14ac:dyDescent="0.3">
      <c r="A102" s="17">
        <f>K46</f>
        <v>165.06346761355371</v>
      </c>
      <c r="B102" s="17"/>
      <c r="C102" s="17"/>
      <c r="D102" s="17">
        <f>K55</f>
        <v>20.083319103003848</v>
      </c>
      <c r="E102" s="17">
        <f>K64</f>
        <v>16.63289385926619</v>
      </c>
      <c r="F102" s="17"/>
      <c r="G102" s="17">
        <f>K80</f>
        <v>1.4819145618958527</v>
      </c>
      <c r="H102" s="17">
        <f>K73</f>
        <v>1.3633613969441845</v>
      </c>
      <c r="I102" s="17">
        <f>K86</f>
        <v>34.750202042407231</v>
      </c>
      <c r="J102" s="57">
        <f>K91+K96</f>
        <v>1.8029960503066209</v>
      </c>
      <c r="K102" s="74">
        <f>SUM(A102:J102)</f>
        <v>241.17815462737767</v>
      </c>
      <c r="L102" s="75"/>
    </row>
    <row r="103" spans="1:12" s="2" customFormat="1" x14ac:dyDescent="0.25"/>
    <row r="104" spans="1:12" s="2" customFormat="1" ht="15.75" thickBot="1" x14ac:dyDescent="0.3">
      <c r="A104" s="36" t="s">
        <v>61</v>
      </c>
      <c r="B104" s="36"/>
      <c r="C104" s="36"/>
      <c r="D104" s="36"/>
      <c r="E104" s="36"/>
      <c r="F104" s="36" t="s">
        <v>62</v>
      </c>
      <c r="G104" s="36"/>
    </row>
    <row r="105" spans="1:12" s="2" customFormat="1" ht="15.75" thickBot="1" x14ac:dyDescent="0.3">
      <c r="A105" s="36"/>
      <c r="B105" s="36"/>
      <c r="C105" s="1"/>
      <c r="D105" s="1"/>
      <c r="E105" s="1"/>
      <c r="F105" s="1"/>
      <c r="G105" s="1"/>
      <c r="I105" s="58">
        <f>I91+I86+I80+I73+I64+I55+I46+I96</f>
        <v>4640750.0513399998</v>
      </c>
      <c r="L105" s="58">
        <f>J90*K102</f>
        <v>4640750.0513400007</v>
      </c>
    </row>
    <row r="106" spans="1:12" s="2" customFormat="1" x14ac:dyDescent="0.25"/>
    <row r="107" spans="1:12" s="2" customFormat="1" x14ac:dyDescent="0.25">
      <c r="A107" s="36" t="s">
        <v>87</v>
      </c>
      <c r="B107" s="14"/>
    </row>
    <row r="108" spans="1:12" s="2" customFormat="1" x14ac:dyDescent="0.25">
      <c r="A108" s="36" t="s">
        <v>63</v>
      </c>
      <c r="B108" s="14"/>
    </row>
    <row r="110" spans="1:12" x14ac:dyDescent="0.25">
      <c r="H110" s="37"/>
    </row>
  </sheetData>
  <mergeCells count="95">
    <mergeCell ref="A94:E94"/>
    <mergeCell ref="A93:L93"/>
    <mergeCell ref="A95:E95"/>
    <mergeCell ref="A96:H96"/>
    <mergeCell ref="A19:E19"/>
    <mergeCell ref="G19:K19"/>
    <mergeCell ref="A25:E25"/>
    <mergeCell ref="G25:K25"/>
    <mergeCell ref="A26:E26"/>
    <mergeCell ref="G26:K26"/>
    <mergeCell ref="A27:E27"/>
    <mergeCell ref="G27:K27"/>
    <mergeCell ref="A53:E53"/>
    <mergeCell ref="A48:L48"/>
    <mergeCell ref="G22:K22"/>
    <mergeCell ref="A23:E23"/>
    <mergeCell ref="A5:F5"/>
    <mergeCell ref="A6:D6"/>
    <mergeCell ref="A28:E28"/>
    <mergeCell ref="G28:K28"/>
    <mergeCell ref="A9:M9"/>
    <mergeCell ref="A10:M10"/>
    <mergeCell ref="A11:M11"/>
    <mergeCell ref="A18:E18"/>
    <mergeCell ref="G18:K18"/>
    <mergeCell ref="A20:E20"/>
    <mergeCell ref="G20:K20"/>
    <mergeCell ref="A21:E21"/>
    <mergeCell ref="G21:K21"/>
    <mergeCell ref="A22:E22"/>
    <mergeCell ref="A24:E24"/>
    <mergeCell ref="G24:K24"/>
    <mergeCell ref="G23:K23"/>
    <mergeCell ref="A63:E63"/>
    <mergeCell ref="A55:H55"/>
    <mergeCell ref="A49:E49"/>
    <mergeCell ref="A50:E50"/>
    <mergeCell ref="A51:E51"/>
    <mergeCell ref="A52:E52"/>
    <mergeCell ref="A61:E61"/>
    <mergeCell ref="A62:E62"/>
    <mergeCell ref="A54:E54"/>
    <mergeCell ref="A57:L57"/>
    <mergeCell ref="A58:E58"/>
    <mergeCell ref="A59:E59"/>
    <mergeCell ref="A45:E45"/>
    <mergeCell ref="A30:E30"/>
    <mergeCell ref="G30:K30"/>
    <mergeCell ref="A31:E31"/>
    <mergeCell ref="G31:K31"/>
    <mergeCell ref="A29:E29"/>
    <mergeCell ref="A32:E32"/>
    <mergeCell ref="G32:K32"/>
    <mergeCell ref="G29:K29"/>
    <mergeCell ref="A35:E35"/>
    <mergeCell ref="A36:E36"/>
    <mergeCell ref="A37:E37"/>
    <mergeCell ref="A38:E38"/>
    <mergeCell ref="A39:E39"/>
    <mergeCell ref="A46:E46"/>
    <mergeCell ref="A40:E40"/>
    <mergeCell ref="A41:E41"/>
    <mergeCell ref="A42:E42"/>
    <mergeCell ref="A43:E43"/>
    <mergeCell ref="A44:E44"/>
    <mergeCell ref="K102:L102"/>
    <mergeCell ref="A64:H64"/>
    <mergeCell ref="A66:L66"/>
    <mergeCell ref="A67:E67"/>
    <mergeCell ref="A68:E68"/>
    <mergeCell ref="A73:H73"/>
    <mergeCell ref="A80:H80"/>
    <mergeCell ref="A99:L99"/>
    <mergeCell ref="A100:C100"/>
    <mergeCell ref="D100:J100"/>
    <mergeCell ref="K100:L101"/>
    <mergeCell ref="A89:E89"/>
    <mergeCell ref="A79:E79"/>
    <mergeCell ref="A91:H91"/>
    <mergeCell ref="A75:L75"/>
    <mergeCell ref="A82:L82"/>
    <mergeCell ref="A86:E86"/>
    <mergeCell ref="A90:E90"/>
    <mergeCell ref="A85:E85"/>
    <mergeCell ref="A88:L88"/>
    <mergeCell ref="A76:E76"/>
    <mergeCell ref="A77:E77"/>
    <mergeCell ref="A83:E83"/>
    <mergeCell ref="A84:E84"/>
    <mergeCell ref="A78:E78"/>
    <mergeCell ref="A60:E60"/>
    <mergeCell ref="A69:E69"/>
    <mergeCell ref="A70:E70"/>
    <mergeCell ref="A71:E71"/>
    <mergeCell ref="A72:E72"/>
  </mergeCells>
  <pageMargins left="0.70866141732283472" right="0.55118110236220474" top="0.55118110236220474" bottom="0.55118110236220474" header="0.31496062992125984" footer="0.31496062992125984"/>
  <pageSetup paperSize="9" scale="8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10"/>
  <sheetViews>
    <sheetView tabSelected="1" topLeftCell="A86" zoomScale="85" zoomScaleNormal="85" workbookViewId="0">
      <selection activeCell="L105" sqref="L105"/>
    </sheetView>
  </sheetViews>
  <sheetFormatPr defaultRowHeight="15" x14ac:dyDescent="0.25"/>
  <cols>
    <col min="1" max="1" width="13.140625" style="3" customWidth="1"/>
    <col min="2" max="4" width="9.140625" style="3"/>
    <col min="5" max="5" width="14.140625" style="3" customWidth="1"/>
    <col min="6" max="6" width="11.42578125" style="3" customWidth="1"/>
    <col min="7" max="7" width="13.5703125" style="3" customWidth="1"/>
    <col min="8" max="8" width="14" style="3" customWidth="1"/>
    <col min="9" max="9" width="13.7109375" style="3" customWidth="1"/>
    <col min="10" max="10" width="17" style="3" customWidth="1"/>
    <col min="11" max="11" width="15.28515625" style="3" customWidth="1"/>
    <col min="12" max="12" width="14.7109375" style="3" customWidth="1"/>
    <col min="13" max="13" width="13.85546875" style="3" hidden="1" customWidth="1"/>
    <col min="14" max="16384" width="9.140625" style="3"/>
  </cols>
  <sheetData>
    <row r="2" spans="1:13" ht="15.75" x14ac:dyDescent="0.25">
      <c r="A2" s="11" t="s">
        <v>58</v>
      </c>
      <c r="B2" s="11"/>
      <c r="C2" s="1"/>
      <c r="D2" s="1"/>
    </row>
    <row r="3" spans="1:13" ht="15.75" x14ac:dyDescent="0.25">
      <c r="A3" s="40" t="s">
        <v>59</v>
      </c>
      <c r="B3" s="40"/>
      <c r="C3" s="1"/>
      <c r="D3" s="1"/>
    </row>
    <row r="4" spans="1:13" ht="6" customHeight="1" x14ac:dyDescent="0.25">
      <c r="A4" s="13"/>
      <c r="B4" s="14"/>
      <c r="C4" s="1"/>
      <c r="D4" s="1"/>
    </row>
    <row r="5" spans="1:13" ht="15.75" x14ac:dyDescent="0.25">
      <c r="A5" s="94" t="s">
        <v>60</v>
      </c>
      <c r="B5" s="94"/>
      <c r="C5" s="94"/>
      <c r="D5" s="95"/>
      <c r="E5" s="95"/>
      <c r="F5" s="95"/>
    </row>
    <row r="6" spans="1:13" ht="15.75" x14ac:dyDescent="0.25">
      <c r="A6" s="96" t="s">
        <v>97</v>
      </c>
      <c r="B6" s="96"/>
      <c r="C6" s="96"/>
      <c r="D6" s="95"/>
    </row>
    <row r="7" spans="1:13" ht="15.75" x14ac:dyDescent="0.25">
      <c r="A7" s="41"/>
      <c r="B7" s="41"/>
      <c r="C7" s="41"/>
      <c r="D7" s="11"/>
    </row>
    <row r="9" spans="1:13" ht="15.75" x14ac:dyDescent="0.25">
      <c r="A9" s="97" t="s">
        <v>57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</row>
    <row r="10" spans="1:13" ht="15.75" x14ac:dyDescent="0.25">
      <c r="A10" s="97" t="s">
        <v>83</v>
      </c>
      <c r="B10" s="97"/>
      <c r="C10" s="97"/>
      <c r="D10" s="97"/>
      <c r="E10" s="97"/>
      <c r="F10" s="97"/>
      <c r="G10" s="97"/>
      <c r="H10" s="97"/>
      <c r="I10" s="97"/>
      <c r="J10" s="97"/>
      <c r="K10" s="97"/>
      <c r="L10" s="97"/>
      <c r="M10" s="97"/>
    </row>
    <row r="11" spans="1:13" ht="15.75" x14ac:dyDescent="0.25">
      <c r="A11" s="97" t="s">
        <v>98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</row>
    <row r="13" spans="1:13" s="2" customFormat="1" x14ac:dyDescent="0.25">
      <c r="A13" s="46" t="s">
        <v>99</v>
      </c>
      <c r="B13" s="36"/>
      <c r="C13" s="36"/>
      <c r="D13" s="36"/>
      <c r="E13" s="36"/>
      <c r="F13" s="36"/>
      <c r="G13" s="36"/>
      <c r="H13" s="36"/>
      <c r="I13" s="36"/>
      <c r="J13" s="36"/>
      <c r="K13" s="36"/>
      <c r="L13" s="36"/>
    </row>
    <row r="14" spans="1:13" s="2" customFormat="1" x14ac:dyDescent="0.25">
      <c r="A14" s="46" t="s">
        <v>100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</row>
    <row r="15" spans="1:13" s="2" customFormat="1" x14ac:dyDescent="0.25">
      <c r="A15" s="46" t="s">
        <v>106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</row>
    <row r="16" spans="1:13" s="2" customFormat="1" x14ac:dyDescent="0.25">
      <c r="A16" s="46" t="s">
        <v>103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</row>
    <row r="17" spans="1:13" x14ac:dyDescent="0.25">
      <c r="A17" s="46" t="s">
        <v>68</v>
      </c>
      <c r="B17" s="36"/>
      <c r="C17" s="36"/>
      <c r="D17" s="36"/>
      <c r="E17" s="36"/>
      <c r="F17" s="47"/>
      <c r="G17" s="47"/>
      <c r="H17" s="47"/>
      <c r="I17" s="47"/>
      <c r="J17" s="47"/>
      <c r="K17" s="47"/>
      <c r="L17" s="47"/>
    </row>
    <row r="18" spans="1:13" s="2" customFormat="1" ht="33" customHeight="1" x14ac:dyDescent="0.25">
      <c r="A18" s="98" t="s">
        <v>0</v>
      </c>
      <c r="B18" s="98"/>
      <c r="C18" s="98"/>
      <c r="D18" s="98"/>
      <c r="E18" s="98"/>
      <c r="F18" s="44" t="s">
        <v>1</v>
      </c>
      <c r="G18" s="98" t="s">
        <v>2</v>
      </c>
      <c r="H18" s="98"/>
      <c r="I18" s="98"/>
      <c r="J18" s="98"/>
      <c r="K18" s="98"/>
      <c r="L18" s="21" t="s">
        <v>1</v>
      </c>
    </row>
    <row r="19" spans="1:13" s="2" customFormat="1" x14ac:dyDescent="0.25">
      <c r="A19" s="86" t="s">
        <v>6</v>
      </c>
      <c r="B19" s="87"/>
      <c r="C19" s="87"/>
      <c r="D19" s="87"/>
      <c r="E19" s="88"/>
      <c r="F19" s="21">
        <f>1*4.95%</f>
        <v>4.9500000000000002E-2</v>
      </c>
      <c r="G19" s="99" t="s">
        <v>5</v>
      </c>
      <c r="H19" s="99"/>
      <c r="I19" s="99"/>
      <c r="J19" s="99"/>
      <c r="K19" s="99"/>
      <c r="L19" s="48">
        <v>0.05</v>
      </c>
    </row>
    <row r="20" spans="1:13" s="2" customFormat="1" x14ac:dyDescent="0.25">
      <c r="A20" s="86" t="s">
        <v>3</v>
      </c>
      <c r="B20" s="87"/>
      <c r="C20" s="87"/>
      <c r="D20" s="87"/>
      <c r="E20" s="88"/>
      <c r="F20" s="21">
        <f t="shared" ref="F20:F28" si="0">1*4.95%</f>
        <v>4.9500000000000002E-2</v>
      </c>
      <c r="G20" s="99" t="s">
        <v>13</v>
      </c>
      <c r="H20" s="99"/>
      <c r="I20" s="99"/>
      <c r="J20" s="99"/>
      <c r="K20" s="99"/>
      <c r="L20" s="48">
        <v>0.05</v>
      </c>
    </row>
    <row r="21" spans="1:13" s="2" customFormat="1" x14ac:dyDescent="0.25">
      <c r="A21" s="86" t="s">
        <v>4</v>
      </c>
      <c r="B21" s="87"/>
      <c r="C21" s="87"/>
      <c r="D21" s="87"/>
      <c r="E21" s="88"/>
      <c r="F21" s="21">
        <f t="shared" si="0"/>
        <v>4.9500000000000002E-2</v>
      </c>
      <c r="G21" s="89"/>
      <c r="H21" s="89"/>
      <c r="I21" s="89"/>
      <c r="J21" s="89"/>
      <c r="K21" s="89"/>
      <c r="L21" s="21"/>
    </row>
    <row r="22" spans="1:13" s="2" customFormat="1" x14ac:dyDescent="0.25">
      <c r="A22" s="86" t="s">
        <v>11</v>
      </c>
      <c r="B22" s="87"/>
      <c r="C22" s="87"/>
      <c r="D22" s="87"/>
      <c r="E22" s="88"/>
      <c r="F22" s="21">
        <f t="shared" si="0"/>
        <v>4.9500000000000002E-2</v>
      </c>
      <c r="G22" s="89"/>
      <c r="H22" s="89"/>
      <c r="I22" s="89"/>
      <c r="J22" s="89"/>
      <c r="K22" s="89"/>
      <c r="L22" s="21"/>
    </row>
    <row r="23" spans="1:13" s="2" customFormat="1" x14ac:dyDescent="0.25">
      <c r="A23" s="86" t="s">
        <v>7</v>
      </c>
      <c r="B23" s="87"/>
      <c r="C23" s="87"/>
      <c r="D23" s="87"/>
      <c r="E23" s="88"/>
      <c r="F23" s="21">
        <f t="shared" si="0"/>
        <v>4.9500000000000002E-2</v>
      </c>
      <c r="G23" s="89"/>
      <c r="H23" s="89"/>
      <c r="I23" s="89"/>
      <c r="J23" s="89"/>
      <c r="K23" s="89"/>
      <c r="L23" s="21"/>
    </row>
    <row r="24" spans="1:13" s="2" customFormat="1" x14ac:dyDescent="0.25">
      <c r="A24" s="86" t="s">
        <v>10</v>
      </c>
      <c r="B24" s="87"/>
      <c r="C24" s="87"/>
      <c r="D24" s="87"/>
      <c r="E24" s="88"/>
      <c r="F24" s="21">
        <f t="shared" si="0"/>
        <v>4.9500000000000002E-2</v>
      </c>
      <c r="G24" s="89"/>
      <c r="H24" s="89"/>
      <c r="I24" s="89"/>
      <c r="J24" s="89"/>
      <c r="K24" s="89"/>
      <c r="L24" s="21"/>
    </row>
    <row r="25" spans="1:13" s="2" customFormat="1" x14ac:dyDescent="0.25">
      <c r="A25" s="86" t="s">
        <v>9</v>
      </c>
      <c r="B25" s="87"/>
      <c r="C25" s="87"/>
      <c r="D25" s="87"/>
      <c r="E25" s="88"/>
      <c r="F25" s="21">
        <f>0.5*4.95%</f>
        <v>2.4750000000000001E-2</v>
      </c>
      <c r="G25" s="89"/>
      <c r="H25" s="89"/>
      <c r="I25" s="89"/>
      <c r="J25" s="89"/>
      <c r="K25" s="89"/>
      <c r="L25" s="21"/>
    </row>
    <row r="26" spans="1:13" s="2" customFormat="1" x14ac:dyDescent="0.25">
      <c r="A26" s="86" t="s">
        <v>12</v>
      </c>
      <c r="B26" s="87"/>
      <c r="C26" s="87"/>
      <c r="D26" s="87"/>
      <c r="E26" s="88"/>
      <c r="F26" s="21">
        <f t="shared" si="0"/>
        <v>4.9500000000000002E-2</v>
      </c>
      <c r="G26" s="89"/>
      <c r="H26" s="89"/>
      <c r="I26" s="89"/>
      <c r="J26" s="89"/>
      <c r="K26" s="89"/>
      <c r="L26" s="21"/>
    </row>
    <row r="27" spans="1:13" s="2" customFormat="1" ht="28.5" customHeight="1" x14ac:dyDescent="0.25">
      <c r="A27" s="100" t="s">
        <v>8</v>
      </c>
      <c r="B27" s="101"/>
      <c r="C27" s="101"/>
      <c r="D27" s="101"/>
      <c r="E27" s="102"/>
      <c r="F27" s="21">
        <f t="shared" si="0"/>
        <v>4.9500000000000002E-2</v>
      </c>
      <c r="G27" s="89"/>
      <c r="H27" s="89"/>
      <c r="I27" s="89"/>
      <c r="J27" s="89"/>
      <c r="K27" s="89"/>
      <c r="L27" s="21"/>
    </row>
    <row r="28" spans="1:13" s="2" customFormat="1" ht="15.75" thickBot="1" x14ac:dyDescent="0.3">
      <c r="A28" s="86" t="s">
        <v>54</v>
      </c>
      <c r="B28" s="87"/>
      <c r="C28" s="87"/>
      <c r="D28" s="87"/>
      <c r="E28" s="88"/>
      <c r="F28" s="21">
        <f t="shared" si="0"/>
        <v>4.9500000000000002E-2</v>
      </c>
      <c r="G28" s="89"/>
      <c r="H28" s="89"/>
      <c r="I28" s="89"/>
      <c r="J28" s="89"/>
      <c r="K28" s="89"/>
      <c r="L28" s="21"/>
    </row>
    <row r="29" spans="1:13" s="2" customFormat="1" hidden="1" x14ac:dyDescent="0.25">
      <c r="A29" s="86"/>
      <c r="B29" s="87"/>
      <c r="C29" s="87"/>
      <c r="D29" s="87"/>
      <c r="E29" s="88"/>
      <c r="F29" s="21"/>
      <c r="G29" s="89"/>
      <c r="H29" s="89"/>
      <c r="I29" s="89"/>
      <c r="J29" s="89"/>
      <c r="K29" s="89"/>
      <c r="L29" s="21"/>
    </row>
    <row r="30" spans="1:13" s="2" customFormat="1" hidden="1" x14ac:dyDescent="0.25">
      <c r="A30" s="86"/>
      <c r="B30" s="87"/>
      <c r="C30" s="87"/>
      <c r="D30" s="87"/>
      <c r="E30" s="88"/>
      <c r="F30" s="21"/>
      <c r="G30" s="89"/>
      <c r="H30" s="89"/>
      <c r="I30" s="89"/>
      <c r="J30" s="89"/>
      <c r="K30" s="89"/>
      <c r="L30" s="21"/>
    </row>
    <row r="31" spans="1:13" s="2" customFormat="1" hidden="1" x14ac:dyDescent="0.25">
      <c r="A31" s="86"/>
      <c r="B31" s="87"/>
      <c r="C31" s="87"/>
      <c r="D31" s="87"/>
      <c r="E31" s="88"/>
      <c r="F31" s="49"/>
      <c r="G31" s="89"/>
      <c r="H31" s="89"/>
      <c r="I31" s="89"/>
      <c r="J31" s="89"/>
      <c r="K31" s="89"/>
      <c r="L31" s="49"/>
    </row>
    <row r="32" spans="1:13" s="2" customFormat="1" ht="15.75" thickBot="1" x14ac:dyDescent="0.3">
      <c r="A32" s="103" t="s">
        <v>14</v>
      </c>
      <c r="B32" s="103"/>
      <c r="C32" s="103"/>
      <c r="D32" s="103"/>
      <c r="E32" s="104"/>
      <c r="F32" s="59">
        <f>SUM(F19:F31)</f>
        <v>0.47024999999999995</v>
      </c>
      <c r="G32" s="105" t="s">
        <v>14</v>
      </c>
      <c r="H32" s="103"/>
      <c r="I32" s="103"/>
      <c r="J32" s="103"/>
      <c r="K32" s="104"/>
      <c r="L32" s="59">
        <f>SUM(L19:L31)</f>
        <v>0.1</v>
      </c>
      <c r="M32" s="10" t="e">
        <f>F32+L32+#REF!+#REF!+#REF!+#REF!+#REF!+#REF!</f>
        <v>#REF!</v>
      </c>
    </row>
    <row r="33" spans="1:13" s="2" customFormat="1" ht="15.75" thickBot="1" x14ac:dyDescent="0.3"/>
    <row r="34" spans="1:13" s="2" customFormat="1" ht="15.75" thickBot="1" x14ac:dyDescent="0.3">
      <c r="A34" s="10" t="s">
        <v>56</v>
      </c>
      <c r="F34" s="50">
        <v>1002</v>
      </c>
    </row>
    <row r="35" spans="1:13" s="2" customFormat="1" ht="60.75" customHeight="1" thickBot="1" x14ac:dyDescent="0.3">
      <c r="A35" s="73" t="s">
        <v>15</v>
      </c>
      <c r="B35" s="73"/>
      <c r="C35" s="73"/>
      <c r="D35" s="73"/>
      <c r="E35" s="73"/>
      <c r="F35" s="52" t="s">
        <v>16</v>
      </c>
      <c r="G35" s="39" t="s">
        <v>1</v>
      </c>
      <c r="H35" s="39" t="s">
        <v>69</v>
      </c>
      <c r="I35" s="39" t="s">
        <v>70</v>
      </c>
      <c r="J35" s="39" t="s">
        <v>71</v>
      </c>
      <c r="K35" s="19" t="s">
        <v>72</v>
      </c>
      <c r="L35" s="25"/>
    </row>
    <row r="36" spans="1:13" s="2" customFormat="1" ht="14.25" hidden="1" customHeight="1" x14ac:dyDescent="0.25">
      <c r="A36" s="66" t="s">
        <v>6</v>
      </c>
      <c r="B36" s="66"/>
      <c r="C36" s="66"/>
      <c r="D36" s="66"/>
      <c r="E36" s="66"/>
      <c r="F36" s="17">
        <v>11538</v>
      </c>
      <c r="G36" s="17">
        <f t="shared" ref="G36:G45" si="1">F19</f>
        <v>4.9500000000000002E-2</v>
      </c>
      <c r="H36" s="17">
        <f>F36*G36*12</f>
        <v>6853.5720000000001</v>
      </c>
      <c r="I36" s="17">
        <f>H36*1.302</f>
        <v>8923.3507440000012</v>
      </c>
      <c r="J36" s="17">
        <v>20222</v>
      </c>
      <c r="K36" s="17">
        <f>I36/J36</f>
        <v>0.44126944634556431</v>
      </c>
      <c r="L36" s="23"/>
    </row>
    <row r="37" spans="1:13" s="2" customFormat="1" ht="15" hidden="1" customHeight="1" x14ac:dyDescent="0.25">
      <c r="A37" s="66" t="s">
        <v>3</v>
      </c>
      <c r="B37" s="66"/>
      <c r="C37" s="66"/>
      <c r="D37" s="66"/>
      <c r="E37" s="66"/>
      <c r="F37" s="17">
        <v>11235</v>
      </c>
      <c r="G37" s="17">
        <f t="shared" si="1"/>
        <v>4.9500000000000002E-2</v>
      </c>
      <c r="H37" s="17">
        <f>F37*G37*12</f>
        <v>6673.59</v>
      </c>
      <c r="I37" s="17">
        <f>H37*1.302</f>
        <v>8689.0141800000001</v>
      </c>
      <c r="J37" s="17">
        <v>20222</v>
      </c>
      <c r="K37" s="17">
        <f>I37/J37</f>
        <v>0.42968124715656214</v>
      </c>
      <c r="L37" s="23"/>
    </row>
    <row r="38" spans="1:13" s="2" customFormat="1" ht="15" hidden="1" customHeight="1" x14ac:dyDescent="0.25">
      <c r="A38" s="66" t="s">
        <v>4</v>
      </c>
      <c r="B38" s="66"/>
      <c r="C38" s="66"/>
      <c r="D38" s="66"/>
      <c r="E38" s="66"/>
      <c r="F38" s="17">
        <v>11538</v>
      </c>
      <c r="G38" s="17">
        <f t="shared" si="1"/>
        <v>4.9500000000000002E-2</v>
      </c>
      <c r="H38" s="17">
        <f>F38*G38*12</f>
        <v>6853.5720000000001</v>
      </c>
      <c r="I38" s="17">
        <f t="shared" ref="I38:I45" si="2">H38*1.302</f>
        <v>8923.3507440000012</v>
      </c>
      <c r="J38" s="17">
        <v>20222</v>
      </c>
      <c r="K38" s="17">
        <f t="shared" ref="K38:K42" si="3">I38/J38</f>
        <v>0.44126944634556431</v>
      </c>
      <c r="L38" s="23"/>
    </row>
    <row r="39" spans="1:13" s="2" customFormat="1" ht="15" hidden="1" customHeight="1" x14ac:dyDescent="0.25">
      <c r="A39" s="66" t="s">
        <v>11</v>
      </c>
      <c r="B39" s="66"/>
      <c r="C39" s="66"/>
      <c r="D39" s="66"/>
      <c r="E39" s="66"/>
      <c r="F39" s="17">
        <v>8837</v>
      </c>
      <c r="G39" s="17">
        <f t="shared" si="1"/>
        <v>4.9500000000000002E-2</v>
      </c>
      <c r="H39" s="17">
        <f t="shared" ref="H39:H45" si="4">F39*G39*12</f>
        <v>5249.1779999999999</v>
      </c>
      <c r="I39" s="17">
        <f t="shared" si="2"/>
        <v>6834.4297560000005</v>
      </c>
      <c r="J39" s="17">
        <v>20222</v>
      </c>
      <c r="K39" s="17">
        <f>I39/J39</f>
        <v>0.33797002057165465</v>
      </c>
      <c r="L39" s="23"/>
    </row>
    <row r="40" spans="1:13" s="2" customFormat="1" ht="15" hidden="1" customHeight="1" x14ac:dyDescent="0.25">
      <c r="A40" s="66" t="s">
        <v>7</v>
      </c>
      <c r="B40" s="66"/>
      <c r="C40" s="66"/>
      <c r="D40" s="66"/>
      <c r="E40" s="66"/>
      <c r="F40" s="17">
        <v>8837</v>
      </c>
      <c r="G40" s="17">
        <f t="shared" si="1"/>
        <v>4.9500000000000002E-2</v>
      </c>
      <c r="H40" s="17">
        <f>F40*G40*12</f>
        <v>5249.1779999999999</v>
      </c>
      <c r="I40" s="17">
        <f>H40*1.302</f>
        <v>6834.4297560000005</v>
      </c>
      <c r="J40" s="17">
        <v>20222</v>
      </c>
      <c r="K40" s="17">
        <f t="shared" si="3"/>
        <v>0.33797002057165465</v>
      </c>
      <c r="L40" s="23"/>
    </row>
    <row r="41" spans="1:13" s="2" customFormat="1" ht="15" hidden="1" customHeight="1" x14ac:dyDescent="0.25">
      <c r="A41" s="66" t="s">
        <v>10</v>
      </c>
      <c r="B41" s="66"/>
      <c r="C41" s="66"/>
      <c r="D41" s="66"/>
      <c r="E41" s="66"/>
      <c r="F41" s="17">
        <v>4496</v>
      </c>
      <c r="G41" s="17">
        <f t="shared" si="1"/>
        <v>4.9500000000000002E-2</v>
      </c>
      <c r="H41" s="17">
        <f t="shared" si="4"/>
        <v>2670.6240000000003</v>
      </c>
      <c r="I41" s="17">
        <f t="shared" si="2"/>
        <v>3477.1524480000003</v>
      </c>
      <c r="J41" s="17">
        <v>20222</v>
      </c>
      <c r="K41" s="17">
        <f t="shared" si="3"/>
        <v>0.17194898862624866</v>
      </c>
      <c r="L41" s="23"/>
    </row>
    <row r="42" spans="1:13" s="2" customFormat="1" ht="15" hidden="1" customHeight="1" x14ac:dyDescent="0.25">
      <c r="A42" s="66" t="s">
        <v>9</v>
      </c>
      <c r="B42" s="66"/>
      <c r="C42" s="66"/>
      <c r="D42" s="66"/>
      <c r="E42" s="66"/>
      <c r="F42" s="21">
        <v>4418.5</v>
      </c>
      <c r="G42" s="17">
        <f t="shared" si="1"/>
        <v>2.4750000000000001E-2</v>
      </c>
      <c r="H42" s="17">
        <f t="shared" si="4"/>
        <v>1312.2945</v>
      </c>
      <c r="I42" s="17">
        <f t="shared" si="2"/>
        <v>1708.6074390000001</v>
      </c>
      <c r="J42" s="17">
        <v>20222</v>
      </c>
      <c r="K42" s="17">
        <f t="shared" si="3"/>
        <v>8.4492505142913663E-2</v>
      </c>
      <c r="L42" s="23"/>
    </row>
    <row r="43" spans="1:13" s="2" customFormat="1" ht="17.25" hidden="1" customHeight="1" x14ac:dyDescent="0.25">
      <c r="A43" s="78" t="s">
        <v>12</v>
      </c>
      <c r="B43" s="79"/>
      <c r="C43" s="79"/>
      <c r="D43" s="79"/>
      <c r="E43" s="80"/>
      <c r="F43" s="21">
        <v>8837</v>
      </c>
      <c r="G43" s="17">
        <f t="shared" si="1"/>
        <v>4.9500000000000002E-2</v>
      </c>
      <c r="H43" s="17">
        <f t="shared" si="4"/>
        <v>5249.1779999999999</v>
      </c>
      <c r="I43" s="17">
        <f>H43*1.302</f>
        <v>6834.4297560000005</v>
      </c>
      <c r="J43" s="17">
        <v>20222</v>
      </c>
      <c r="K43" s="17">
        <f>I43/J43</f>
        <v>0.33797002057165465</v>
      </c>
      <c r="L43" s="23"/>
    </row>
    <row r="44" spans="1:13" s="2" customFormat="1" ht="30" hidden="1" customHeight="1" x14ac:dyDescent="0.25">
      <c r="A44" s="78" t="s">
        <v>8</v>
      </c>
      <c r="B44" s="79"/>
      <c r="C44" s="79"/>
      <c r="D44" s="79"/>
      <c r="E44" s="80"/>
      <c r="F44" s="21">
        <v>11538</v>
      </c>
      <c r="G44" s="17">
        <f t="shared" si="1"/>
        <v>4.9500000000000002E-2</v>
      </c>
      <c r="H44" s="17">
        <f t="shared" si="4"/>
        <v>6853.5720000000001</v>
      </c>
      <c r="I44" s="17">
        <f t="shared" si="2"/>
        <v>8923.3507440000012</v>
      </c>
      <c r="J44" s="17">
        <v>20222</v>
      </c>
      <c r="K44" s="17">
        <f>I44/J44</f>
        <v>0.44126944634556431</v>
      </c>
      <c r="L44" s="23"/>
    </row>
    <row r="45" spans="1:13" s="2" customFormat="1" ht="15.75" hidden="1" customHeight="1" x14ac:dyDescent="0.25">
      <c r="A45" s="66" t="s">
        <v>54</v>
      </c>
      <c r="B45" s="66"/>
      <c r="C45" s="66"/>
      <c r="D45" s="66"/>
      <c r="E45" s="66"/>
      <c r="F45" s="21">
        <v>11538</v>
      </c>
      <c r="G45" s="17">
        <f t="shared" si="1"/>
        <v>4.9500000000000002E-2</v>
      </c>
      <c r="H45" s="17">
        <f t="shared" si="4"/>
        <v>6853.5720000000001</v>
      </c>
      <c r="I45" s="51">
        <f t="shared" si="2"/>
        <v>8923.3507440000012</v>
      </c>
      <c r="J45" s="17">
        <v>20222</v>
      </c>
      <c r="K45" s="51">
        <f>I45/J45</f>
        <v>0.44126944634556431</v>
      </c>
      <c r="L45" s="23"/>
    </row>
    <row r="46" spans="1:13" s="2" customFormat="1" ht="30" customHeight="1" thickBot="1" x14ac:dyDescent="0.3">
      <c r="A46" s="63" t="s">
        <v>66</v>
      </c>
      <c r="B46" s="64"/>
      <c r="C46" s="64"/>
      <c r="D46" s="64"/>
      <c r="E46" s="65"/>
      <c r="F46" s="7">
        <v>22524.97</v>
      </c>
      <c r="G46" s="7">
        <f>SUM(G36:G45)</f>
        <v>0.47024999999999995</v>
      </c>
      <c r="H46" s="31">
        <v>127040.83</v>
      </c>
      <c r="I46" s="50">
        <f>(H46*1.302)</f>
        <v>165407.16065999999</v>
      </c>
      <c r="J46" s="53">
        <f>F34</f>
        <v>1002</v>
      </c>
      <c r="K46" s="50">
        <f>I46/J46</f>
        <v>165.07700664670659</v>
      </c>
      <c r="L46" s="23"/>
      <c r="M46" s="10" t="e">
        <f>I46+#REF!+#REF!+#REF!</f>
        <v>#REF!</v>
      </c>
    </row>
    <row r="47" spans="1:13" s="2" customFormat="1" ht="17.25" customHeight="1" x14ac:dyDescent="0.25">
      <c r="A47" s="22"/>
      <c r="B47" s="22"/>
      <c r="C47" s="22"/>
      <c r="D47" s="22"/>
      <c r="E47" s="22"/>
      <c r="F47" s="23"/>
      <c r="G47" s="23"/>
      <c r="H47" s="23"/>
      <c r="I47" s="23"/>
      <c r="J47" s="23"/>
      <c r="K47" s="23"/>
      <c r="L47" s="23"/>
    </row>
    <row r="48" spans="1:13" s="2" customFormat="1" x14ac:dyDescent="0.25">
      <c r="A48" s="67" t="s">
        <v>18</v>
      </c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</row>
    <row r="49" spans="1:14" s="2" customFormat="1" ht="60" customHeight="1" x14ac:dyDescent="0.25">
      <c r="A49" s="73" t="s">
        <v>19</v>
      </c>
      <c r="B49" s="73"/>
      <c r="C49" s="73"/>
      <c r="D49" s="73"/>
      <c r="E49" s="73"/>
      <c r="F49" s="39" t="s">
        <v>17</v>
      </c>
      <c r="G49" s="39" t="s">
        <v>65</v>
      </c>
      <c r="H49" s="39" t="s">
        <v>64</v>
      </c>
      <c r="I49" s="39" t="s">
        <v>75</v>
      </c>
      <c r="J49" s="39" t="s">
        <v>71</v>
      </c>
      <c r="K49" s="19" t="s">
        <v>72</v>
      </c>
      <c r="L49" s="25"/>
    </row>
    <row r="50" spans="1:14" s="2" customFormat="1" x14ac:dyDescent="0.25">
      <c r="A50" s="66" t="s">
        <v>20</v>
      </c>
      <c r="B50" s="66"/>
      <c r="C50" s="66"/>
      <c r="D50" s="66"/>
      <c r="E50" s="66"/>
      <c r="F50" s="17" t="s">
        <v>24</v>
      </c>
      <c r="G50" s="21">
        <v>8000</v>
      </c>
      <c r="H50" s="21">
        <v>7.8</v>
      </c>
      <c r="I50" s="17">
        <f>61922.07*4.95%</f>
        <v>3065.1424650000004</v>
      </c>
      <c r="J50" s="17">
        <f>F34</f>
        <v>1002</v>
      </c>
      <c r="K50" s="17">
        <f>I50/J50</f>
        <v>3.0590244161676652</v>
      </c>
      <c r="L50" s="23"/>
      <c r="N50" s="23"/>
    </row>
    <row r="51" spans="1:14" s="2" customFormat="1" x14ac:dyDescent="0.25">
      <c r="A51" s="66" t="s">
        <v>21</v>
      </c>
      <c r="B51" s="66"/>
      <c r="C51" s="66"/>
      <c r="D51" s="66"/>
      <c r="E51" s="66"/>
      <c r="F51" s="17" t="s">
        <v>25</v>
      </c>
      <c r="G51" s="21">
        <v>190</v>
      </c>
      <c r="H51" s="21">
        <v>1690.47</v>
      </c>
      <c r="I51" s="17">
        <f>314643.2*4.95%</f>
        <v>15574.838400000001</v>
      </c>
      <c r="J51" s="17">
        <f>J50</f>
        <v>1002</v>
      </c>
      <c r="K51" s="17">
        <f t="shared" ref="K51:K52" si="5">I51/J51</f>
        <v>15.543750898203593</v>
      </c>
      <c r="L51" s="23"/>
      <c r="N51" s="23"/>
    </row>
    <row r="52" spans="1:14" s="2" customFormat="1" x14ac:dyDescent="0.25">
      <c r="A52" s="66" t="s">
        <v>88</v>
      </c>
      <c r="B52" s="66"/>
      <c r="C52" s="66"/>
      <c r="D52" s="66"/>
      <c r="E52" s="66"/>
      <c r="F52" s="17" t="s">
        <v>26</v>
      </c>
      <c r="G52" s="21">
        <v>12</v>
      </c>
      <c r="H52" s="21">
        <v>800</v>
      </c>
      <c r="I52" s="17">
        <f>14138.64*4.95%</f>
        <v>699.86267999999995</v>
      </c>
      <c r="J52" s="17">
        <f>J51</f>
        <v>1002</v>
      </c>
      <c r="K52" s="17">
        <f t="shared" si="5"/>
        <v>0.69846574850299392</v>
      </c>
      <c r="L52" s="23"/>
      <c r="N52" s="23"/>
    </row>
    <row r="53" spans="1:14" s="2" customFormat="1" x14ac:dyDescent="0.25">
      <c r="A53" s="66" t="s">
        <v>22</v>
      </c>
      <c r="B53" s="66"/>
      <c r="C53" s="66"/>
      <c r="D53" s="66"/>
      <c r="E53" s="66"/>
      <c r="F53" s="17" t="s">
        <v>26</v>
      </c>
      <c r="G53" s="21">
        <v>130</v>
      </c>
      <c r="H53" s="21">
        <v>41.8</v>
      </c>
      <c r="I53" s="17">
        <f>6442.73*4.95%</f>
        <v>318.91513500000002</v>
      </c>
      <c r="J53" s="17">
        <f>J51</f>
        <v>1002</v>
      </c>
      <c r="K53" s="17">
        <f>I53/J53</f>
        <v>0.31827857784431141</v>
      </c>
      <c r="L53" s="23"/>
      <c r="N53" s="23"/>
    </row>
    <row r="54" spans="1:14" s="2" customFormat="1" ht="15.75" thickBot="1" x14ac:dyDescent="0.3">
      <c r="A54" s="66" t="s">
        <v>23</v>
      </c>
      <c r="B54" s="66"/>
      <c r="C54" s="66"/>
      <c r="D54" s="66"/>
      <c r="E54" s="66"/>
      <c r="F54" s="17" t="s">
        <v>26</v>
      </c>
      <c r="G54" s="21">
        <v>130</v>
      </c>
      <c r="H54" s="21">
        <v>60.8</v>
      </c>
      <c r="I54" s="51">
        <f>9421.72*4.95%</f>
        <v>466.37513999999999</v>
      </c>
      <c r="J54" s="17">
        <f>J53</f>
        <v>1002</v>
      </c>
      <c r="K54" s="51">
        <f>I54/J54</f>
        <v>0.46544425149700597</v>
      </c>
      <c r="L54" s="23"/>
      <c r="M54" s="26"/>
      <c r="N54" s="23"/>
    </row>
    <row r="55" spans="1:14" s="2" customFormat="1" ht="15.75" thickBot="1" x14ac:dyDescent="0.3">
      <c r="A55" s="93" t="s">
        <v>67</v>
      </c>
      <c r="B55" s="93"/>
      <c r="C55" s="93"/>
      <c r="D55" s="93"/>
      <c r="E55" s="93"/>
      <c r="F55" s="93"/>
      <c r="G55" s="93"/>
      <c r="H55" s="76"/>
      <c r="I55" s="54">
        <f>SUM(I50:I54)</f>
        <v>20125.133819999999</v>
      </c>
      <c r="J55" s="53">
        <f>J54</f>
        <v>1002</v>
      </c>
      <c r="K55" s="54">
        <f>I55/J54</f>
        <v>20.084963892215569</v>
      </c>
      <c r="L55" s="24"/>
      <c r="M55" s="10" t="e">
        <f>I55+#REF!+#REF!+#REF!</f>
        <v>#REF!</v>
      </c>
      <c r="N55" s="23"/>
    </row>
    <row r="56" spans="1:14" s="2" customFormat="1" x14ac:dyDescent="0.25"/>
    <row r="57" spans="1:14" s="2" customFormat="1" x14ac:dyDescent="0.25">
      <c r="A57" s="67" t="s">
        <v>27</v>
      </c>
      <c r="B57" s="67"/>
      <c r="C57" s="67"/>
      <c r="D57" s="67"/>
      <c r="E57" s="67"/>
      <c r="F57" s="67"/>
      <c r="G57" s="67"/>
      <c r="H57" s="67"/>
      <c r="I57" s="67"/>
      <c r="J57" s="67"/>
      <c r="K57" s="67"/>
      <c r="L57" s="67"/>
    </row>
    <row r="58" spans="1:14" s="2" customFormat="1" ht="60" customHeight="1" x14ac:dyDescent="0.25">
      <c r="A58" s="73" t="s">
        <v>33</v>
      </c>
      <c r="B58" s="73"/>
      <c r="C58" s="73"/>
      <c r="D58" s="73"/>
      <c r="E58" s="73"/>
      <c r="F58" s="39" t="s">
        <v>17</v>
      </c>
      <c r="G58" s="39" t="s">
        <v>65</v>
      </c>
      <c r="H58" s="39" t="s">
        <v>64</v>
      </c>
      <c r="I58" s="39" t="s">
        <v>75</v>
      </c>
      <c r="J58" s="39" t="s">
        <v>71</v>
      </c>
      <c r="K58" s="19" t="s">
        <v>72</v>
      </c>
      <c r="L58" s="25"/>
    </row>
    <row r="59" spans="1:14" s="2" customFormat="1" x14ac:dyDescent="0.25">
      <c r="A59" s="66" t="s">
        <v>28</v>
      </c>
      <c r="B59" s="66"/>
      <c r="C59" s="66"/>
      <c r="D59" s="66"/>
      <c r="E59" s="66"/>
      <c r="F59" s="17" t="s">
        <v>85</v>
      </c>
      <c r="G59" s="17">
        <v>12</v>
      </c>
      <c r="H59" s="17">
        <v>500</v>
      </c>
      <c r="I59" s="17">
        <f>3600*4.95%</f>
        <v>178.20000000000002</v>
      </c>
      <c r="J59" s="17">
        <f>F34</f>
        <v>1002</v>
      </c>
      <c r="K59" s="17">
        <f t="shared" ref="K59:K63" si="6">I59/J59</f>
        <v>0.17784431137724552</v>
      </c>
      <c r="L59" s="23"/>
    </row>
    <row r="60" spans="1:14" s="2" customFormat="1" hidden="1" x14ac:dyDescent="0.25">
      <c r="A60" s="60" t="s">
        <v>104</v>
      </c>
      <c r="B60" s="61"/>
      <c r="C60" s="61"/>
      <c r="D60" s="61"/>
      <c r="E60" s="62"/>
      <c r="F60" s="17" t="s">
        <v>85</v>
      </c>
      <c r="G60" s="17">
        <v>1</v>
      </c>
      <c r="H60" s="17">
        <v>0</v>
      </c>
      <c r="I60" s="17">
        <v>0</v>
      </c>
      <c r="J60" s="17">
        <f>J59</f>
        <v>1002</v>
      </c>
      <c r="K60" s="17">
        <f t="shared" si="6"/>
        <v>0</v>
      </c>
      <c r="L60" s="23"/>
    </row>
    <row r="61" spans="1:14" s="2" customFormat="1" ht="15" hidden="1" customHeight="1" x14ac:dyDescent="0.25">
      <c r="A61" s="66" t="s">
        <v>29</v>
      </c>
      <c r="B61" s="66"/>
      <c r="C61" s="66"/>
      <c r="D61" s="66"/>
      <c r="E61" s="66"/>
      <c r="F61" s="17" t="s">
        <v>85</v>
      </c>
      <c r="G61" s="17">
        <v>0</v>
      </c>
      <c r="H61" s="17">
        <v>0</v>
      </c>
      <c r="I61" s="17">
        <v>0</v>
      </c>
      <c r="J61" s="17">
        <v>0</v>
      </c>
      <c r="K61" s="17">
        <v>0</v>
      </c>
      <c r="L61" s="23"/>
    </row>
    <row r="62" spans="1:14" s="2" customFormat="1" x14ac:dyDescent="0.25">
      <c r="A62" s="66" t="s">
        <v>30</v>
      </c>
      <c r="B62" s="66"/>
      <c r="C62" s="66"/>
      <c r="D62" s="66"/>
      <c r="E62" s="66"/>
      <c r="F62" s="17" t="s">
        <v>85</v>
      </c>
      <c r="G62" s="17">
        <v>12</v>
      </c>
      <c r="H62" s="17">
        <v>1500</v>
      </c>
      <c r="I62" s="17">
        <f>15600*4.95%</f>
        <v>772.2</v>
      </c>
      <c r="J62" s="17">
        <f>J60</f>
        <v>1002</v>
      </c>
      <c r="K62" s="17">
        <f t="shared" si="6"/>
        <v>0.77065868263473059</v>
      </c>
      <c r="L62" s="23"/>
    </row>
    <row r="63" spans="1:14" s="2" customFormat="1" ht="28.5" customHeight="1" thickBot="1" x14ac:dyDescent="0.3">
      <c r="A63" s="78" t="s">
        <v>76</v>
      </c>
      <c r="B63" s="79"/>
      <c r="C63" s="79"/>
      <c r="D63" s="79"/>
      <c r="E63" s="80"/>
      <c r="F63" s="17" t="s">
        <v>85</v>
      </c>
      <c r="G63" s="17">
        <v>12</v>
      </c>
      <c r="H63" s="17">
        <v>6666.67</v>
      </c>
      <c r="I63" s="51">
        <f>292055.28*4.95%</f>
        <v>14456.736360000003</v>
      </c>
      <c r="J63" s="17">
        <f>J60</f>
        <v>1002</v>
      </c>
      <c r="K63" s="51">
        <f t="shared" si="6"/>
        <v>14.427880598802398</v>
      </c>
      <c r="L63" s="23"/>
    </row>
    <row r="64" spans="1:14" s="2" customFormat="1" ht="15.75" thickBot="1" x14ac:dyDescent="0.3">
      <c r="A64" s="76" t="s">
        <v>32</v>
      </c>
      <c r="B64" s="77"/>
      <c r="C64" s="77"/>
      <c r="D64" s="77"/>
      <c r="E64" s="77"/>
      <c r="F64" s="77"/>
      <c r="G64" s="77"/>
      <c r="H64" s="77"/>
      <c r="I64" s="54">
        <f>SUM(I59:I63)</f>
        <v>15407.136360000002</v>
      </c>
      <c r="J64" s="53">
        <f>J63</f>
        <v>1002</v>
      </c>
      <c r="K64" s="54">
        <f>I64/J63</f>
        <v>15.376383592814374</v>
      </c>
      <c r="L64" s="24"/>
      <c r="M64" s="10" t="e">
        <f>I64+#REF!+#REF!+#REF!</f>
        <v>#REF!</v>
      </c>
    </row>
    <row r="65" spans="1:13" s="2" customFormat="1" ht="13.5" customHeight="1" x14ac:dyDescent="0.25"/>
    <row r="66" spans="1:13" s="2" customFormat="1" x14ac:dyDescent="0.25">
      <c r="A66" s="67" t="s">
        <v>77</v>
      </c>
      <c r="B66" s="67"/>
      <c r="C66" s="67"/>
      <c r="D66" s="67"/>
      <c r="E66" s="67"/>
      <c r="F66" s="67"/>
      <c r="G66" s="67"/>
      <c r="H66" s="67"/>
      <c r="I66" s="67"/>
      <c r="J66" s="67"/>
      <c r="K66" s="67"/>
      <c r="L66" s="67"/>
    </row>
    <row r="67" spans="1:13" s="2" customFormat="1" ht="60" customHeight="1" x14ac:dyDescent="0.25">
      <c r="A67" s="73" t="s">
        <v>33</v>
      </c>
      <c r="B67" s="73"/>
      <c r="C67" s="73"/>
      <c r="D67" s="73"/>
      <c r="E67" s="73"/>
      <c r="F67" s="39" t="s">
        <v>17</v>
      </c>
      <c r="G67" s="39" t="s">
        <v>65</v>
      </c>
      <c r="H67" s="39" t="s">
        <v>64</v>
      </c>
      <c r="I67" s="39" t="s">
        <v>75</v>
      </c>
      <c r="J67" s="39" t="s">
        <v>71</v>
      </c>
      <c r="K67" s="19" t="s">
        <v>72</v>
      </c>
      <c r="L67" s="25"/>
    </row>
    <row r="68" spans="1:13" s="2" customFormat="1" ht="30.75" customHeight="1" x14ac:dyDescent="0.25">
      <c r="A68" s="78" t="s">
        <v>78</v>
      </c>
      <c r="B68" s="79"/>
      <c r="C68" s="79"/>
      <c r="D68" s="79"/>
      <c r="E68" s="80"/>
      <c r="F68" s="17" t="s">
        <v>85</v>
      </c>
      <c r="G68" s="17">
        <v>12</v>
      </c>
      <c r="H68" s="17">
        <v>800</v>
      </c>
      <c r="I68" s="17">
        <f>9600*4.95%</f>
        <v>475.20000000000005</v>
      </c>
      <c r="J68" s="17">
        <f>J63</f>
        <v>1002</v>
      </c>
      <c r="K68" s="17">
        <f>I68/J68</f>
        <v>0.47425149700598807</v>
      </c>
      <c r="L68" s="23"/>
    </row>
    <row r="69" spans="1:13" s="2" customFormat="1" ht="20.25" customHeight="1" thickBot="1" x14ac:dyDescent="0.3">
      <c r="A69" s="60" t="s">
        <v>89</v>
      </c>
      <c r="B69" s="61"/>
      <c r="C69" s="61"/>
      <c r="D69" s="61"/>
      <c r="E69" s="62"/>
      <c r="F69" s="17" t="s">
        <v>85</v>
      </c>
      <c r="G69" s="17">
        <v>12</v>
      </c>
      <c r="H69" s="17">
        <v>1500</v>
      </c>
      <c r="I69" s="17">
        <f>18000*4.95%</f>
        <v>891</v>
      </c>
      <c r="J69" s="17">
        <f>J68</f>
        <v>1002</v>
      </c>
      <c r="K69" s="17">
        <f t="shared" ref="K69:K70" si="7">I69/J69</f>
        <v>0.8892215568862275</v>
      </c>
      <c r="L69" s="23"/>
    </row>
    <row r="70" spans="1:13" s="2" customFormat="1" ht="20.25" hidden="1" customHeight="1" x14ac:dyDescent="0.25">
      <c r="A70" s="60" t="s">
        <v>92</v>
      </c>
      <c r="B70" s="61"/>
      <c r="C70" s="61"/>
      <c r="D70" s="61"/>
      <c r="E70" s="62"/>
      <c r="F70" s="17"/>
      <c r="G70" s="17"/>
      <c r="H70" s="17"/>
      <c r="I70" s="17">
        <v>0</v>
      </c>
      <c r="J70" s="17">
        <v>0</v>
      </c>
      <c r="K70" s="17" t="e">
        <f t="shared" si="7"/>
        <v>#DIV/0!</v>
      </c>
      <c r="L70" s="23"/>
    </row>
    <row r="71" spans="1:13" s="2" customFormat="1" ht="21.75" hidden="1" customHeight="1" x14ac:dyDescent="0.25">
      <c r="A71" s="60" t="s">
        <v>90</v>
      </c>
      <c r="B71" s="61"/>
      <c r="C71" s="61"/>
      <c r="D71" s="61"/>
      <c r="E71" s="62"/>
      <c r="F71" s="17"/>
      <c r="G71" s="17"/>
      <c r="H71" s="17"/>
      <c r="I71" s="17"/>
      <c r="J71" s="17">
        <v>20222</v>
      </c>
      <c r="K71" s="17"/>
      <c r="L71" s="23"/>
    </row>
    <row r="72" spans="1:13" s="2" customFormat="1" ht="16.5" hidden="1" customHeight="1" x14ac:dyDescent="0.25">
      <c r="A72" s="60" t="s">
        <v>91</v>
      </c>
      <c r="B72" s="61"/>
      <c r="C72" s="61"/>
      <c r="D72" s="61"/>
      <c r="E72" s="62"/>
      <c r="F72" s="17"/>
      <c r="G72" s="17"/>
      <c r="H72" s="17"/>
      <c r="I72" s="51"/>
      <c r="J72" s="17">
        <v>20222</v>
      </c>
      <c r="K72" s="51"/>
      <c r="L72" s="23"/>
    </row>
    <row r="73" spans="1:13" s="2" customFormat="1" ht="15.75" thickBot="1" x14ac:dyDescent="0.3">
      <c r="A73" s="76" t="s">
        <v>79</v>
      </c>
      <c r="B73" s="77"/>
      <c r="C73" s="77"/>
      <c r="D73" s="77"/>
      <c r="E73" s="77"/>
      <c r="F73" s="77"/>
      <c r="G73" s="77"/>
      <c r="H73" s="77"/>
      <c r="I73" s="54">
        <f>SUM(I68:I72)</f>
        <v>1366.2</v>
      </c>
      <c r="J73" s="53">
        <f>J69</f>
        <v>1002</v>
      </c>
      <c r="K73" s="54">
        <f>I73/J68</f>
        <v>1.3634730538922155</v>
      </c>
      <c r="L73" s="24"/>
      <c r="M73" s="10" t="e">
        <f>I73+#REF!+#REF!+#REF!</f>
        <v>#REF!</v>
      </c>
    </row>
    <row r="74" spans="1:13" s="2" customFormat="1" x14ac:dyDescent="0.25">
      <c r="A74" s="27"/>
      <c r="B74" s="27"/>
      <c r="C74" s="27"/>
      <c r="D74" s="27"/>
      <c r="E74" s="27"/>
      <c r="F74" s="27"/>
      <c r="G74" s="27"/>
      <c r="H74" s="27"/>
      <c r="I74" s="8"/>
      <c r="J74" s="8"/>
      <c r="K74" s="8"/>
      <c r="L74" s="23"/>
    </row>
    <row r="75" spans="1:13" s="2" customFormat="1" x14ac:dyDescent="0.25">
      <c r="A75" s="67" t="s">
        <v>80</v>
      </c>
      <c r="B75" s="67"/>
      <c r="C75" s="67"/>
      <c r="D75" s="67"/>
      <c r="E75" s="67"/>
      <c r="F75" s="67"/>
      <c r="G75" s="67"/>
      <c r="H75" s="67"/>
      <c r="I75" s="67"/>
      <c r="J75" s="67"/>
      <c r="K75" s="67"/>
      <c r="L75" s="67"/>
    </row>
    <row r="76" spans="1:13" s="2" customFormat="1" ht="60" customHeight="1" x14ac:dyDescent="0.25">
      <c r="A76" s="68" t="s">
        <v>34</v>
      </c>
      <c r="B76" s="69"/>
      <c r="C76" s="69"/>
      <c r="D76" s="69"/>
      <c r="E76" s="70"/>
      <c r="F76" s="39" t="s">
        <v>17</v>
      </c>
      <c r="G76" s="39" t="s">
        <v>65</v>
      </c>
      <c r="H76" s="39" t="s">
        <v>64</v>
      </c>
      <c r="I76" s="39" t="s">
        <v>75</v>
      </c>
      <c r="J76" s="42" t="s">
        <v>71</v>
      </c>
      <c r="K76" s="19" t="s">
        <v>72</v>
      </c>
      <c r="L76" s="25"/>
      <c r="M76" s="25"/>
    </row>
    <row r="77" spans="1:13" s="2" customFormat="1" ht="45" x14ac:dyDescent="0.25">
      <c r="A77" s="60" t="s">
        <v>35</v>
      </c>
      <c r="B77" s="71"/>
      <c r="C77" s="71"/>
      <c r="D77" s="71"/>
      <c r="E77" s="72"/>
      <c r="F77" s="29" t="s">
        <v>36</v>
      </c>
      <c r="G77" s="17">
        <v>2</v>
      </c>
      <c r="H77" s="17">
        <v>400</v>
      </c>
      <c r="I77" s="17">
        <f>9600*4.95%</f>
        <v>475.20000000000005</v>
      </c>
      <c r="J77" s="38">
        <f>J68</f>
        <v>1002</v>
      </c>
      <c r="K77" s="17">
        <f>I77/J77</f>
        <v>0.47425149700598807</v>
      </c>
      <c r="L77" s="23"/>
      <c r="M77" s="23"/>
    </row>
    <row r="78" spans="1:13" s="2" customFormat="1" x14ac:dyDescent="0.25">
      <c r="A78" s="60" t="s">
        <v>84</v>
      </c>
      <c r="B78" s="71"/>
      <c r="C78" s="71"/>
      <c r="D78" s="71"/>
      <c r="E78" s="72"/>
      <c r="F78" s="29" t="s">
        <v>31</v>
      </c>
      <c r="G78" s="17">
        <v>1</v>
      </c>
      <c r="H78" s="17"/>
      <c r="I78" s="17">
        <f>10800*4.95%</f>
        <v>534.6</v>
      </c>
      <c r="J78" s="38">
        <f>J77</f>
        <v>1002</v>
      </c>
      <c r="K78" s="17">
        <f>I78/J78</f>
        <v>0.53353293413173652</v>
      </c>
      <c r="L78" s="23"/>
      <c r="M78" s="23"/>
    </row>
    <row r="79" spans="1:13" s="2" customFormat="1" ht="15.75" thickBot="1" x14ac:dyDescent="0.3">
      <c r="A79" s="60" t="s">
        <v>81</v>
      </c>
      <c r="B79" s="71"/>
      <c r="C79" s="71"/>
      <c r="D79" s="71"/>
      <c r="E79" s="72"/>
      <c r="F79" s="29" t="s">
        <v>31</v>
      </c>
      <c r="G79" s="17">
        <v>1</v>
      </c>
      <c r="H79" s="17">
        <v>800</v>
      </c>
      <c r="I79" s="51">
        <f>9600*4.95%</f>
        <v>475.20000000000005</v>
      </c>
      <c r="J79" s="38">
        <f>J77</f>
        <v>1002</v>
      </c>
      <c r="K79" s="51">
        <f>I79/J79</f>
        <v>0.47425149700598807</v>
      </c>
      <c r="L79" s="23"/>
      <c r="M79" s="23"/>
    </row>
    <row r="80" spans="1:13" s="2" customFormat="1" ht="15.75" thickBot="1" x14ac:dyDescent="0.3">
      <c r="A80" s="76" t="s">
        <v>86</v>
      </c>
      <c r="B80" s="77"/>
      <c r="C80" s="77"/>
      <c r="D80" s="77"/>
      <c r="E80" s="77"/>
      <c r="F80" s="77"/>
      <c r="G80" s="77"/>
      <c r="H80" s="77"/>
      <c r="I80" s="54">
        <f>SUM(I77:I79)</f>
        <v>1485</v>
      </c>
      <c r="J80" s="53">
        <f>J78</f>
        <v>1002</v>
      </c>
      <c r="K80" s="54">
        <f>I80/J79</f>
        <v>1.4820359281437125</v>
      </c>
      <c r="L80" s="8"/>
      <c r="M80" s="23" t="e">
        <f>I80+#REF!+#REF!+#REF!</f>
        <v>#REF!</v>
      </c>
    </row>
    <row r="81" spans="1:13" s="2" customFormat="1" x14ac:dyDescent="0.25"/>
    <row r="82" spans="1:13" s="2" customFormat="1" x14ac:dyDescent="0.25">
      <c r="A82" s="67" t="s">
        <v>55</v>
      </c>
      <c r="B82" s="67"/>
      <c r="C82" s="67"/>
      <c r="D82" s="67"/>
      <c r="E82" s="67"/>
      <c r="F82" s="67"/>
      <c r="G82" s="67"/>
      <c r="H82" s="67"/>
      <c r="I82" s="67"/>
      <c r="J82" s="67"/>
      <c r="K82" s="67"/>
      <c r="L82" s="67"/>
    </row>
    <row r="83" spans="1:13" s="2" customFormat="1" ht="75.75" thickBot="1" x14ac:dyDescent="0.3">
      <c r="A83" s="73" t="s">
        <v>15</v>
      </c>
      <c r="B83" s="73"/>
      <c r="C83" s="73"/>
      <c r="D83" s="73"/>
      <c r="E83" s="73"/>
      <c r="F83" s="39" t="s">
        <v>16</v>
      </c>
      <c r="G83" s="39" t="s">
        <v>1</v>
      </c>
      <c r="H83" s="39" t="s">
        <v>69</v>
      </c>
      <c r="I83" s="39" t="s">
        <v>70</v>
      </c>
      <c r="J83" s="39" t="s">
        <v>71</v>
      </c>
      <c r="K83" s="32" t="s">
        <v>72</v>
      </c>
      <c r="L83" s="33"/>
    </row>
    <row r="84" spans="1:13" s="2" customFormat="1" ht="17.25" hidden="1" customHeight="1" x14ac:dyDescent="0.25">
      <c r="A84" s="66" t="s">
        <v>5</v>
      </c>
      <c r="B84" s="66"/>
      <c r="C84" s="66"/>
      <c r="D84" s="66"/>
      <c r="E84" s="66"/>
      <c r="F84" s="21">
        <v>15258</v>
      </c>
      <c r="G84" s="17">
        <f>L19</f>
        <v>0.05</v>
      </c>
      <c r="H84" s="17">
        <f>F84*G84*12</f>
        <v>9154.8000000000011</v>
      </c>
      <c r="I84" s="17">
        <f>H84*1.302</f>
        <v>11919.549600000002</v>
      </c>
      <c r="J84" s="17">
        <v>20222</v>
      </c>
      <c r="K84" s="38">
        <f>I84/J84</f>
        <v>0.58943475422806857</v>
      </c>
      <c r="L84" s="34"/>
    </row>
    <row r="85" spans="1:13" s="2" customFormat="1" ht="17.25" hidden="1" customHeight="1" x14ac:dyDescent="0.25">
      <c r="A85" s="66" t="s">
        <v>13</v>
      </c>
      <c r="B85" s="66"/>
      <c r="C85" s="66"/>
      <c r="D85" s="66"/>
      <c r="E85" s="66"/>
      <c r="F85" s="21">
        <v>11538</v>
      </c>
      <c r="G85" s="17">
        <f>L20</f>
        <v>0.05</v>
      </c>
      <c r="H85" s="17">
        <f>F85*G85*12</f>
        <v>6922.7999999999993</v>
      </c>
      <c r="I85" s="51">
        <f>H85*1.302</f>
        <v>9013.4856</v>
      </c>
      <c r="J85" s="17">
        <f>J84</f>
        <v>20222</v>
      </c>
      <c r="K85" s="56">
        <f>I85/J85</f>
        <v>0.44572671348036791</v>
      </c>
      <c r="L85" s="34"/>
    </row>
    <row r="86" spans="1:13" s="2" customFormat="1" ht="18" customHeight="1" thickBot="1" x14ac:dyDescent="0.3">
      <c r="A86" s="63" t="s">
        <v>37</v>
      </c>
      <c r="B86" s="64"/>
      <c r="C86" s="64"/>
      <c r="D86" s="64"/>
      <c r="E86" s="65"/>
      <c r="F86" s="6">
        <v>22287.87</v>
      </c>
      <c r="G86" s="6">
        <f t="shared" ref="G86" si="8">G84+G85</f>
        <v>0.1</v>
      </c>
      <c r="H86" s="35">
        <f>F86*G86*12</f>
        <v>26745.443999999996</v>
      </c>
      <c r="I86" s="54">
        <f>H86*1.302</f>
        <v>34822.568087999993</v>
      </c>
      <c r="J86" s="55">
        <f>J80</f>
        <v>1002</v>
      </c>
      <c r="K86" s="54">
        <f>I86/J86</f>
        <v>34.753061964071847</v>
      </c>
      <c r="L86" s="23"/>
      <c r="M86" s="2" t="e">
        <f>'Услуга №2'!I86+#REF!+#REF!+#REF!</f>
        <v>#REF!</v>
      </c>
    </row>
    <row r="87" spans="1:13" s="2" customFormat="1" ht="13.5" customHeight="1" x14ac:dyDescent="0.25">
      <c r="L87" s="23"/>
    </row>
    <row r="88" spans="1:13" s="2" customFormat="1" x14ac:dyDescent="0.25">
      <c r="A88" s="67" t="s">
        <v>38</v>
      </c>
      <c r="B88" s="67"/>
      <c r="C88" s="67"/>
      <c r="D88" s="67"/>
      <c r="E88" s="67"/>
      <c r="F88" s="67"/>
      <c r="G88" s="67"/>
      <c r="H88" s="67"/>
      <c r="I88" s="67"/>
      <c r="J88" s="67"/>
      <c r="K88" s="67"/>
      <c r="L88" s="67"/>
    </row>
    <row r="89" spans="1:13" s="2" customFormat="1" ht="60" customHeight="1" x14ac:dyDescent="0.25">
      <c r="A89" s="73" t="s">
        <v>82</v>
      </c>
      <c r="B89" s="73"/>
      <c r="C89" s="73"/>
      <c r="D89" s="73"/>
      <c r="E89" s="73"/>
      <c r="F89" s="39" t="s">
        <v>17</v>
      </c>
      <c r="G89" s="39" t="s">
        <v>65</v>
      </c>
      <c r="H89" s="39" t="s">
        <v>64</v>
      </c>
      <c r="I89" s="39" t="s">
        <v>75</v>
      </c>
      <c r="J89" s="39" t="s">
        <v>71</v>
      </c>
      <c r="K89" s="19" t="s">
        <v>72</v>
      </c>
      <c r="L89" s="25"/>
    </row>
    <row r="90" spans="1:13" s="2" customFormat="1" ht="15.75" thickBot="1" x14ac:dyDescent="0.3">
      <c r="A90" s="66" t="s">
        <v>93</v>
      </c>
      <c r="B90" s="66"/>
      <c r="C90" s="66"/>
      <c r="D90" s="66"/>
      <c r="E90" s="66"/>
      <c r="F90" s="17" t="s">
        <v>39</v>
      </c>
      <c r="G90" s="17"/>
      <c r="H90" s="17"/>
      <c r="I90" s="51">
        <f>30900*4.95%</f>
        <v>1529.5500000000002</v>
      </c>
      <c r="J90" s="17">
        <f>J86</f>
        <v>1002</v>
      </c>
      <c r="K90" s="51">
        <f>I90/J90</f>
        <v>1.5264970059880241</v>
      </c>
      <c r="L90" s="23"/>
      <c r="M90" s="10"/>
    </row>
    <row r="91" spans="1:13" s="2" customFormat="1" ht="15.75" thickBot="1" x14ac:dyDescent="0.3">
      <c r="A91" s="76" t="s">
        <v>40</v>
      </c>
      <c r="B91" s="77"/>
      <c r="C91" s="77"/>
      <c r="D91" s="77"/>
      <c r="E91" s="77"/>
      <c r="F91" s="77"/>
      <c r="G91" s="77"/>
      <c r="H91" s="77"/>
      <c r="I91" s="54">
        <f>I90</f>
        <v>1529.5500000000002</v>
      </c>
      <c r="J91" s="53">
        <f>J90</f>
        <v>1002</v>
      </c>
      <c r="K91" s="54">
        <f>I91/J90</f>
        <v>1.5264970059880241</v>
      </c>
      <c r="L91" s="24"/>
      <c r="M91" s="2" t="e">
        <f>I91+#REF!+#REF!+#REF!</f>
        <v>#REF!</v>
      </c>
    </row>
    <row r="92" spans="1:13" s="2" customFormat="1" x14ac:dyDescent="0.25">
      <c r="A92" s="27"/>
      <c r="B92" s="27"/>
      <c r="C92" s="27"/>
      <c r="D92" s="27"/>
      <c r="E92" s="27"/>
      <c r="F92" s="27"/>
      <c r="G92" s="27"/>
      <c r="H92" s="27"/>
      <c r="I92" s="8"/>
      <c r="J92" s="8"/>
      <c r="K92" s="8"/>
      <c r="L92" s="24"/>
    </row>
    <row r="93" spans="1:13" s="2" customFormat="1" x14ac:dyDescent="0.25">
      <c r="A93" s="67" t="s">
        <v>94</v>
      </c>
      <c r="B93" s="67"/>
      <c r="C93" s="67"/>
      <c r="D93" s="67"/>
      <c r="E93" s="67"/>
      <c r="F93" s="67"/>
      <c r="G93" s="67"/>
      <c r="H93" s="67"/>
      <c r="I93" s="67"/>
      <c r="J93" s="67"/>
      <c r="K93" s="67"/>
      <c r="L93" s="67"/>
    </row>
    <row r="94" spans="1:13" s="2" customFormat="1" ht="60" customHeight="1" x14ac:dyDescent="0.25">
      <c r="A94" s="73" t="s">
        <v>82</v>
      </c>
      <c r="B94" s="73"/>
      <c r="C94" s="73"/>
      <c r="D94" s="73"/>
      <c r="E94" s="73"/>
      <c r="F94" s="39" t="s">
        <v>17</v>
      </c>
      <c r="G94" s="39" t="s">
        <v>65</v>
      </c>
      <c r="H94" s="39" t="s">
        <v>64</v>
      </c>
      <c r="I94" s="39" t="s">
        <v>75</v>
      </c>
      <c r="J94" s="39" t="s">
        <v>71</v>
      </c>
      <c r="K94" s="19" t="s">
        <v>72</v>
      </c>
      <c r="L94" s="25"/>
    </row>
    <row r="95" spans="1:13" s="2" customFormat="1" ht="15.75" thickBot="1" x14ac:dyDescent="0.3">
      <c r="A95" s="66" t="s">
        <v>95</v>
      </c>
      <c r="B95" s="66"/>
      <c r="C95" s="66"/>
      <c r="D95" s="66"/>
      <c r="E95" s="66"/>
      <c r="F95" s="17" t="s">
        <v>39</v>
      </c>
      <c r="G95" s="17"/>
      <c r="H95" s="17"/>
      <c r="I95" s="51">
        <f>5600*4.95%</f>
        <v>277.2</v>
      </c>
      <c r="J95" s="17">
        <f>J91</f>
        <v>1002</v>
      </c>
      <c r="K95" s="51">
        <f>I95/J95</f>
        <v>0.27664670658682633</v>
      </c>
      <c r="L95" s="23"/>
      <c r="M95" s="10"/>
    </row>
    <row r="96" spans="1:13" s="2" customFormat="1" ht="15.75" thickBot="1" x14ac:dyDescent="0.3">
      <c r="A96" s="76" t="s">
        <v>96</v>
      </c>
      <c r="B96" s="77"/>
      <c r="C96" s="77"/>
      <c r="D96" s="77"/>
      <c r="E96" s="77"/>
      <c r="F96" s="77"/>
      <c r="G96" s="77"/>
      <c r="H96" s="77"/>
      <c r="I96" s="54">
        <f>I95</f>
        <v>277.2</v>
      </c>
      <c r="J96" s="53">
        <f>J95</f>
        <v>1002</v>
      </c>
      <c r="K96" s="54">
        <f>I96/J95</f>
        <v>0.27664670658682633</v>
      </c>
      <c r="L96" s="24"/>
      <c r="M96" s="2" t="e">
        <f>I96+#REF!+#REF!+#REF!</f>
        <v>#REF!</v>
      </c>
    </row>
    <row r="97" spans="1:12" s="2" customFormat="1" x14ac:dyDescent="0.25">
      <c r="A97" s="27"/>
      <c r="B97" s="27"/>
      <c r="C97" s="27"/>
      <c r="D97" s="27"/>
      <c r="E97" s="27"/>
      <c r="F97" s="27"/>
      <c r="G97" s="27"/>
      <c r="H97" s="27"/>
      <c r="I97" s="8"/>
      <c r="J97" s="8"/>
      <c r="K97" s="8"/>
      <c r="L97" s="24"/>
    </row>
    <row r="98" spans="1:12" s="2" customFormat="1" x14ac:dyDescent="0.25"/>
    <row r="99" spans="1:12" s="2" customFormat="1" x14ac:dyDescent="0.25">
      <c r="A99" s="67" t="s">
        <v>41</v>
      </c>
      <c r="B99" s="67"/>
      <c r="C99" s="67"/>
      <c r="D99" s="67"/>
      <c r="E99" s="67"/>
      <c r="F99" s="67"/>
      <c r="G99" s="67"/>
      <c r="H99" s="67"/>
      <c r="I99" s="67"/>
      <c r="J99" s="67"/>
      <c r="K99" s="67"/>
      <c r="L99" s="67"/>
    </row>
    <row r="100" spans="1:12" s="2" customFormat="1" ht="48" customHeight="1" x14ac:dyDescent="0.25">
      <c r="A100" s="81" t="s">
        <v>42</v>
      </c>
      <c r="B100" s="81"/>
      <c r="C100" s="81"/>
      <c r="D100" s="68" t="s">
        <v>43</v>
      </c>
      <c r="E100" s="69"/>
      <c r="F100" s="69"/>
      <c r="G100" s="69"/>
      <c r="H100" s="69"/>
      <c r="I100" s="69"/>
      <c r="J100" s="70"/>
      <c r="K100" s="82" t="s">
        <v>53</v>
      </c>
      <c r="L100" s="83"/>
    </row>
    <row r="101" spans="1:12" s="2" customFormat="1" ht="30.75" thickBot="1" x14ac:dyDescent="0.3">
      <c r="A101" s="17" t="s">
        <v>44</v>
      </c>
      <c r="B101" s="20" t="s">
        <v>45</v>
      </c>
      <c r="C101" s="17" t="s">
        <v>46</v>
      </c>
      <c r="D101" s="17" t="s">
        <v>47</v>
      </c>
      <c r="E101" s="17" t="s">
        <v>48</v>
      </c>
      <c r="F101" s="17" t="s">
        <v>49</v>
      </c>
      <c r="G101" s="17" t="s">
        <v>50</v>
      </c>
      <c r="H101" s="17" t="s">
        <v>105</v>
      </c>
      <c r="I101" s="17" t="s">
        <v>51</v>
      </c>
      <c r="J101" s="17" t="s">
        <v>52</v>
      </c>
      <c r="K101" s="84"/>
      <c r="L101" s="85"/>
    </row>
    <row r="102" spans="1:12" s="2" customFormat="1" ht="15.75" thickBot="1" x14ac:dyDescent="0.3">
      <c r="A102" s="17">
        <f>K46</f>
        <v>165.07700664670659</v>
      </c>
      <c r="B102" s="17"/>
      <c r="C102" s="17"/>
      <c r="D102" s="17">
        <f>K55</f>
        <v>20.084963892215569</v>
      </c>
      <c r="E102" s="17">
        <f>K64</f>
        <v>15.376383592814374</v>
      </c>
      <c r="F102" s="17"/>
      <c r="G102" s="17">
        <f>K80</f>
        <v>1.4820359281437125</v>
      </c>
      <c r="H102" s="17">
        <f>K73</f>
        <v>1.3634730538922155</v>
      </c>
      <c r="I102" s="17">
        <f>K86</f>
        <v>34.753061964071847</v>
      </c>
      <c r="J102" s="57">
        <f>K91+K96</f>
        <v>1.8031437125748504</v>
      </c>
      <c r="K102" s="74">
        <f>SUM(A102:J102)</f>
        <v>239.94006879041913</v>
      </c>
      <c r="L102" s="75"/>
    </row>
    <row r="103" spans="1:12" s="2" customFormat="1" x14ac:dyDescent="0.25"/>
    <row r="104" spans="1:12" s="2" customFormat="1" ht="15.75" thickBot="1" x14ac:dyDescent="0.3">
      <c r="A104" s="36" t="s">
        <v>61</v>
      </c>
      <c r="B104" s="36"/>
      <c r="C104" s="36"/>
      <c r="D104" s="36"/>
      <c r="E104" s="36"/>
      <c r="F104" s="36" t="s">
        <v>62</v>
      </c>
      <c r="G104" s="36"/>
    </row>
    <row r="105" spans="1:12" s="2" customFormat="1" ht="15.75" thickBot="1" x14ac:dyDescent="0.3">
      <c r="A105" s="36"/>
      <c r="B105" s="36"/>
      <c r="C105" s="1"/>
      <c r="D105" s="1"/>
      <c r="E105" s="1"/>
      <c r="F105" s="1"/>
      <c r="G105" s="1"/>
      <c r="I105" s="58">
        <f>I91+I86+I80+I73+I64+I55+I46+I96</f>
        <v>240419.948928</v>
      </c>
      <c r="L105" s="58">
        <f>J90*K102</f>
        <v>240419.94892799997</v>
      </c>
    </row>
    <row r="106" spans="1:12" s="2" customFormat="1" x14ac:dyDescent="0.25"/>
    <row r="107" spans="1:12" s="2" customFormat="1" x14ac:dyDescent="0.25">
      <c r="A107" s="36" t="s">
        <v>87</v>
      </c>
      <c r="B107" s="14"/>
    </row>
    <row r="108" spans="1:12" s="2" customFormat="1" x14ac:dyDescent="0.25">
      <c r="A108" s="36" t="s">
        <v>63</v>
      </c>
      <c r="B108" s="14"/>
    </row>
    <row r="110" spans="1:12" x14ac:dyDescent="0.25">
      <c r="H110" s="37"/>
    </row>
  </sheetData>
  <mergeCells count="95">
    <mergeCell ref="A18:E18"/>
    <mergeCell ref="G18:K18"/>
    <mergeCell ref="A5:F5"/>
    <mergeCell ref="A6:D6"/>
    <mergeCell ref="A9:M9"/>
    <mergeCell ref="A10:M10"/>
    <mergeCell ref="A11:M11"/>
    <mergeCell ref="A19:E19"/>
    <mergeCell ref="G19:K19"/>
    <mergeCell ref="A20:E20"/>
    <mergeCell ref="G20:K20"/>
    <mergeCell ref="A21:E21"/>
    <mergeCell ref="G21:K21"/>
    <mergeCell ref="A22:E22"/>
    <mergeCell ref="G22:K22"/>
    <mergeCell ref="A23:E23"/>
    <mergeCell ref="G23:K23"/>
    <mergeCell ref="A24:E24"/>
    <mergeCell ref="G24:K24"/>
    <mergeCell ref="A25:E25"/>
    <mergeCell ref="G25:K25"/>
    <mergeCell ref="A26:E26"/>
    <mergeCell ref="G26:K26"/>
    <mergeCell ref="A27:E27"/>
    <mergeCell ref="G27:K27"/>
    <mergeCell ref="A36:E36"/>
    <mergeCell ref="A28:E28"/>
    <mergeCell ref="G28:K28"/>
    <mergeCell ref="A29:E29"/>
    <mergeCell ref="G29:K29"/>
    <mergeCell ref="A30:E30"/>
    <mergeCell ref="G30:K30"/>
    <mergeCell ref="A31:E31"/>
    <mergeCell ref="G31:K31"/>
    <mergeCell ref="A32:E32"/>
    <mergeCell ref="G32:K32"/>
    <mergeCell ref="A35:E35"/>
    <mergeCell ref="A49:E49"/>
    <mergeCell ref="A37:E37"/>
    <mergeCell ref="A38:E38"/>
    <mergeCell ref="A39:E39"/>
    <mergeCell ref="A40:E40"/>
    <mergeCell ref="A41:E41"/>
    <mergeCell ref="A42:E42"/>
    <mergeCell ref="A43:E43"/>
    <mergeCell ref="A44:E44"/>
    <mergeCell ref="A45:E45"/>
    <mergeCell ref="A46:E46"/>
    <mergeCell ref="A48:L48"/>
    <mergeCell ref="A62:E62"/>
    <mergeCell ref="A50:E50"/>
    <mergeCell ref="A51:E51"/>
    <mergeCell ref="A52:E52"/>
    <mergeCell ref="A53:E53"/>
    <mergeCell ref="A54:E54"/>
    <mergeCell ref="A55:H55"/>
    <mergeCell ref="A57:L57"/>
    <mergeCell ref="A58:E58"/>
    <mergeCell ref="A59:E59"/>
    <mergeCell ref="A60:E60"/>
    <mergeCell ref="A61:E61"/>
    <mergeCell ref="A76:E76"/>
    <mergeCell ref="A63:E63"/>
    <mergeCell ref="A64:H64"/>
    <mergeCell ref="A66:L66"/>
    <mergeCell ref="A67:E67"/>
    <mergeCell ref="A68:E68"/>
    <mergeCell ref="A69:E69"/>
    <mergeCell ref="A70:E70"/>
    <mergeCell ref="A71:E71"/>
    <mergeCell ref="A72:E72"/>
    <mergeCell ref="A73:H73"/>
    <mergeCell ref="A75:L75"/>
    <mergeCell ref="A90:E90"/>
    <mergeCell ref="A77:E77"/>
    <mergeCell ref="A78:E78"/>
    <mergeCell ref="A79:E79"/>
    <mergeCell ref="A80:H80"/>
    <mergeCell ref="A82:L82"/>
    <mergeCell ref="A83:E83"/>
    <mergeCell ref="A84:E84"/>
    <mergeCell ref="A85:E85"/>
    <mergeCell ref="A86:E86"/>
    <mergeCell ref="A88:L88"/>
    <mergeCell ref="A89:E89"/>
    <mergeCell ref="A100:C100"/>
    <mergeCell ref="D100:J100"/>
    <mergeCell ref="K100:L101"/>
    <mergeCell ref="K102:L102"/>
    <mergeCell ref="A91:H91"/>
    <mergeCell ref="A93:L93"/>
    <mergeCell ref="A94:E94"/>
    <mergeCell ref="A95:E95"/>
    <mergeCell ref="A96:H96"/>
    <mergeCell ref="A99:L99"/>
  </mergeCells>
  <pageMargins left="0.70866141732283472" right="0.55118110236220474" top="0.55118110236220474" bottom="0.55118110236220474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</vt:lpstr>
      <vt:lpstr>Услуга №1 </vt:lpstr>
      <vt:lpstr>Услуга №2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2020-12-14T10:45:59Z</dcterms:modified>
</cp:coreProperties>
</file>