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2"/>
  </bookViews>
  <sheets>
    <sheet name="з.пл." sheetId="1" r:id="rId1"/>
    <sheet name="материалы" sheetId="4" r:id="rId2"/>
    <sheet name="иные" sheetId="5" r:id="rId3"/>
  </sheets>
  <definedNames>
    <definedName name="_xlnm._FilterDatabase" localSheetId="1" hidden="1">материалы!$A$1:$A$260</definedName>
    <definedName name="_xlnm.Print_Titles" localSheetId="2">иные!$5:$6</definedName>
    <definedName name="_xlnm.Print_Titles" localSheetId="1">материалы!$4:$5</definedName>
    <definedName name="_xlnm.Print_Area" localSheetId="0">з.пл.!$A$1:$N$93</definedName>
  </definedNames>
  <calcPr calcId="124519"/>
</workbook>
</file>

<file path=xl/calcChain.xml><?xml version="1.0" encoding="utf-8"?>
<calcChain xmlns="http://schemas.openxmlformats.org/spreadsheetml/2006/main">
  <c r="K169" i="4"/>
  <c r="K165"/>
  <c r="K85"/>
  <c r="K81"/>
  <c r="M260"/>
  <c r="K243"/>
  <c r="K240"/>
  <c r="M240"/>
  <c r="K161"/>
  <c r="K157"/>
  <c r="K77"/>
  <c r="K73"/>
  <c r="M259"/>
  <c r="K231"/>
  <c r="K235"/>
  <c r="K152"/>
  <c r="K148"/>
  <c r="M148"/>
  <c r="K68"/>
  <c r="K64"/>
  <c r="M258"/>
  <c r="K204"/>
  <c r="K200"/>
  <c r="K121"/>
  <c r="K117"/>
  <c r="K37"/>
  <c r="K33"/>
  <c r="M255"/>
  <c r="K224"/>
  <c r="K219"/>
  <c r="M219"/>
  <c r="K136"/>
  <c r="K141"/>
  <c r="M136"/>
  <c r="K57"/>
  <c r="K52"/>
  <c r="M257"/>
  <c r="M256"/>
  <c r="K213"/>
  <c r="K208"/>
  <c r="M208" s="1"/>
  <c r="K125"/>
  <c r="K130"/>
  <c r="M125"/>
  <c r="K41"/>
  <c r="K46"/>
  <c r="M254"/>
  <c r="K196"/>
  <c r="K193"/>
  <c r="M193"/>
  <c r="K113"/>
  <c r="K109"/>
  <c r="K29"/>
  <c r="K25"/>
  <c r="K189"/>
  <c r="K186"/>
  <c r="M186"/>
  <c r="K105"/>
  <c r="K101"/>
  <c r="K21"/>
  <c r="K17"/>
  <c r="M253"/>
  <c r="M252"/>
  <c r="K182"/>
  <c r="K177"/>
  <c r="M177" s="1"/>
  <c r="K97"/>
  <c r="K93"/>
  <c r="K9"/>
  <c r="K13"/>
  <c r="M165" l="1"/>
  <c r="M157"/>
  <c r="M231"/>
  <c r="M200"/>
  <c r="M117"/>
  <c r="M109"/>
  <c r="M101"/>
  <c r="M93"/>
  <c r="E123" i="5" l="1"/>
  <c r="E124" s="1"/>
  <c r="E118"/>
  <c r="E120" s="1"/>
  <c r="E113"/>
  <c r="E115" s="1"/>
  <c r="E109"/>
  <c r="E111" s="1"/>
  <c r="E105"/>
  <c r="E106" s="1"/>
  <c r="E101"/>
  <c r="E103" s="1"/>
  <c r="E97"/>
  <c r="E99" s="1"/>
  <c r="E93"/>
  <c r="E94" s="1"/>
  <c r="E84"/>
  <c r="E86" s="1"/>
  <c r="E80"/>
  <c r="E81" s="1"/>
  <c r="E75"/>
  <c r="E76" s="1"/>
  <c r="E70"/>
  <c r="E71" s="1"/>
  <c r="E66"/>
  <c r="E68" s="1"/>
  <c r="E62"/>
  <c r="E63" s="1"/>
  <c r="E58"/>
  <c r="E59" s="1"/>
  <c r="E54"/>
  <c r="E56" s="1"/>
  <c r="E85"/>
  <c r="E50"/>
  <c r="E51" s="1"/>
  <c r="E41"/>
  <c r="E43" s="1"/>
  <c r="E37"/>
  <c r="E38" s="1"/>
  <c r="E32"/>
  <c r="E34" s="1"/>
  <c r="E27"/>
  <c r="E28" s="1"/>
  <c r="E23"/>
  <c r="E25" s="1"/>
  <c r="E19"/>
  <c r="E20" s="1"/>
  <c r="E15"/>
  <c r="E17" s="1"/>
  <c r="E11"/>
  <c r="E13" s="1"/>
  <c r="E7"/>
  <c r="E9" s="1"/>
  <c r="G165"/>
  <c r="G180"/>
  <c r="G164"/>
  <c r="G179"/>
  <c r="G198"/>
  <c r="G162"/>
  <c r="G196"/>
  <c r="G177"/>
  <c r="G161"/>
  <c r="G176"/>
  <c r="G195"/>
  <c r="G194"/>
  <c r="G175"/>
  <c r="G160"/>
  <c r="G193"/>
  <c r="G174"/>
  <c r="G159"/>
  <c r="G158"/>
  <c r="G173"/>
  <c r="G192"/>
  <c r="G191"/>
  <c r="G172"/>
  <c r="G157"/>
  <c r="G190"/>
  <c r="G171"/>
  <c r="G156"/>
  <c r="L190"/>
  <c r="K165"/>
  <c r="K164"/>
  <c r="K175"/>
  <c r="K171"/>
  <c r="K160"/>
  <c r="K194" s="1"/>
  <c r="L194" s="1"/>
  <c r="K156"/>
  <c r="E209"/>
  <c r="K180" s="1"/>
  <c r="E208"/>
  <c r="E201"/>
  <c r="E207"/>
  <c r="K162" s="1"/>
  <c r="E206"/>
  <c r="K176" s="1"/>
  <c r="E205"/>
  <c r="E204"/>
  <c r="K174" s="1"/>
  <c r="E203"/>
  <c r="K173" s="1"/>
  <c r="E202"/>
  <c r="K157" s="1"/>
  <c r="E200"/>
  <c r="E181"/>
  <c r="E166"/>
  <c r="L33" i="1"/>
  <c r="L17"/>
  <c r="L48"/>
  <c r="L32"/>
  <c r="L16"/>
  <c r="L46"/>
  <c r="L30"/>
  <c r="L14"/>
  <c r="L45"/>
  <c r="L29"/>
  <c r="L13"/>
  <c r="L43"/>
  <c r="L27"/>
  <c r="L11"/>
  <c r="N88"/>
  <c r="L42"/>
  <c r="L26"/>
  <c r="L10"/>
  <c r="L41"/>
  <c r="L25"/>
  <c r="L9"/>
  <c r="L40"/>
  <c r="L24"/>
  <c r="L8"/>
  <c r="L39"/>
  <c r="L23"/>
  <c r="L7"/>
  <c r="N7"/>
  <c r="N93"/>
  <c r="N92"/>
  <c r="N91"/>
  <c r="N90"/>
  <c r="N89"/>
  <c r="N87"/>
  <c r="N86"/>
  <c r="N85"/>
  <c r="K198" i="5" l="1"/>
  <c r="L198" s="1"/>
  <c r="K191"/>
  <c r="L191" s="1"/>
  <c r="K161"/>
  <c r="K195" s="1"/>
  <c r="L195" s="1"/>
  <c r="K172"/>
  <c r="E210"/>
  <c r="K158"/>
  <c r="K192" s="1"/>
  <c r="L192" s="1"/>
  <c r="K177"/>
  <c r="K196" s="1"/>
  <c r="L196" s="1"/>
  <c r="K163"/>
  <c r="K159"/>
  <c r="K193" s="1"/>
  <c r="L193" s="1"/>
  <c r="K178"/>
  <c r="L197" s="1"/>
  <c r="K179"/>
  <c r="E125"/>
  <c r="E33"/>
  <c r="E67"/>
  <c r="E8"/>
  <c r="E55"/>
  <c r="E102"/>
  <c r="E42"/>
  <c r="E52"/>
  <c r="E77"/>
  <c r="E114"/>
  <c r="E119"/>
  <c r="E95"/>
  <c r="E110"/>
  <c r="E107"/>
  <c r="E98"/>
  <c r="E82"/>
  <c r="E72"/>
  <c r="E64"/>
  <c r="E60"/>
  <c r="E39"/>
  <c r="E29"/>
  <c r="E24"/>
  <c r="E21"/>
  <c r="E16"/>
  <c r="E12"/>
  <c r="K199"/>
  <c r="L199" s="1"/>
  <c r="F138" i="4"/>
  <c r="F54"/>
  <c r="I54" l="1"/>
  <c r="I138"/>
  <c r="I143" s="1"/>
  <c r="J143" s="1"/>
  <c r="F41"/>
  <c r="I41" s="1"/>
  <c r="F42"/>
  <c r="J59" l="1"/>
  <c r="I59"/>
  <c r="F40"/>
  <c r="I40" s="1"/>
  <c r="I43" l="1"/>
  <c r="I48" s="1"/>
  <c r="J48" s="1"/>
  <c r="F43"/>
  <c r="F127"/>
  <c r="I127" s="1"/>
  <c r="I132" s="1"/>
  <c r="J132" s="1"/>
  <c r="I215"/>
  <c r="J215" s="1"/>
  <c r="F210"/>
  <c r="I210" s="1"/>
  <c r="F211"/>
  <c r="I211" s="1"/>
  <c r="F221"/>
  <c r="I221" s="1"/>
  <c r="I226" s="1"/>
  <c r="J226" s="1"/>
  <c r="M9" l="1"/>
  <c r="G115" i="5"/>
  <c r="G114"/>
  <c r="G113"/>
  <c r="J114"/>
  <c r="J71"/>
  <c r="G72"/>
  <c r="G71"/>
  <c r="G70"/>
  <c r="J28"/>
  <c r="G29"/>
  <c r="G28"/>
  <c r="G27"/>
  <c r="J85"/>
  <c r="G86"/>
  <c r="G85"/>
  <c r="G84"/>
  <c r="J42"/>
  <c r="G43"/>
  <c r="G42"/>
  <c r="G41"/>
  <c r="G111"/>
  <c r="G110"/>
  <c r="G109"/>
  <c r="J110"/>
  <c r="G68"/>
  <c r="G67"/>
  <c r="G66"/>
  <c r="J67"/>
  <c r="J24"/>
  <c r="G25"/>
  <c r="G24"/>
  <c r="G23"/>
  <c r="G120"/>
  <c r="G119"/>
  <c r="G118"/>
  <c r="J119"/>
  <c r="G34"/>
  <c r="G33"/>
  <c r="G32"/>
  <c r="J33"/>
  <c r="G64"/>
  <c r="G63"/>
  <c r="G62"/>
  <c r="J63"/>
  <c r="G21"/>
  <c r="G20"/>
  <c r="G19"/>
  <c r="J20"/>
  <c r="G125"/>
  <c r="G124"/>
  <c r="G123"/>
  <c r="J124"/>
  <c r="G82"/>
  <c r="G81"/>
  <c r="G80"/>
  <c r="J81"/>
  <c r="J38"/>
  <c r="G39"/>
  <c r="G38"/>
  <c r="G37"/>
  <c r="G103"/>
  <c r="G102"/>
  <c r="G101"/>
  <c r="J102"/>
  <c r="G60"/>
  <c r="G59"/>
  <c r="G58"/>
  <c r="J59"/>
  <c r="G17"/>
  <c r="G16"/>
  <c r="G15"/>
  <c r="J16"/>
  <c r="G56"/>
  <c r="G55"/>
  <c r="G54"/>
  <c r="J55"/>
  <c r="J12"/>
  <c r="G13"/>
  <c r="G12"/>
  <c r="G11"/>
  <c r="J51"/>
  <c r="G52"/>
  <c r="G51"/>
  <c r="G50"/>
  <c r="J8"/>
  <c r="G9"/>
  <c r="G8"/>
  <c r="G7"/>
  <c r="F171" l="1"/>
  <c r="F156"/>
  <c r="G209"/>
  <c r="G208"/>
  <c r="G202"/>
  <c r="G203"/>
  <c r="G204"/>
  <c r="G205"/>
  <c r="G206"/>
  <c r="G207"/>
  <c r="G201"/>
  <c r="I199"/>
  <c r="I197"/>
  <c r="I178"/>
  <c r="I163"/>
  <c r="H156"/>
  <c r="I156" s="1"/>
  <c r="J210"/>
  <c r="G236"/>
  <c r="F230"/>
  <c r="H235"/>
  <c r="H234"/>
  <c r="H232"/>
  <c r="H231"/>
  <c r="H230"/>
  <c r="H228"/>
  <c r="H227"/>
  <c r="H226"/>
  <c r="F7"/>
  <c r="H7" s="1"/>
  <c r="F235"/>
  <c r="F234"/>
  <c r="F232"/>
  <c r="F231"/>
  <c r="F229"/>
  <c r="H229" s="1"/>
  <c r="F228"/>
  <c r="F227"/>
  <c r="F226"/>
  <c r="E236" l="1"/>
  <c r="L62" i="1" l="1"/>
  <c r="L56"/>
  <c r="L55"/>
  <c r="L73" l="1"/>
  <c r="I72"/>
  <c r="I73"/>
  <c r="I74"/>
  <c r="I75"/>
  <c r="I76"/>
  <c r="I77"/>
  <c r="I78"/>
  <c r="I79"/>
  <c r="I80"/>
  <c r="I81"/>
  <c r="I71"/>
  <c r="E82"/>
  <c r="E50"/>
  <c r="E34"/>
  <c r="E18"/>
  <c r="E66"/>
  <c r="I56"/>
  <c r="I57"/>
  <c r="I58"/>
  <c r="I59"/>
  <c r="I60"/>
  <c r="I61"/>
  <c r="I62"/>
  <c r="I63"/>
  <c r="I64"/>
  <c r="I65"/>
  <c r="I55"/>
  <c r="I40"/>
  <c r="I41"/>
  <c r="I42"/>
  <c r="I43"/>
  <c r="I44"/>
  <c r="I45"/>
  <c r="I46"/>
  <c r="I47"/>
  <c r="I48"/>
  <c r="I49"/>
  <c r="I39"/>
  <c r="I24"/>
  <c r="I25"/>
  <c r="I26"/>
  <c r="I27"/>
  <c r="I28"/>
  <c r="I29"/>
  <c r="I30"/>
  <c r="I31"/>
  <c r="I32"/>
  <c r="I33"/>
  <c r="I23"/>
  <c r="I8"/>
  <c r="I9"/>
  <c r="I10"/>
  <c r="I11"/>
  <c r="I12"/>
  <c r="I13"/>
  <c r="I14"/>
  <c r="I15"/>
  <c r="I16"/>
  <c r="I17"/>
  <c r="I7"/>
  <c r="C43" l="1"/>
  <c r="C27"/>
  <c r="C11"/>
  <c r="D89"/>
  <c r="C49"/>
  <c r="C33"/>
  <c r="C17"/>
  <c r="D93"/>
  <c r="C42"/>
  <c r="C26"/>
  <c r="C10"/>
  <c r="D88"/>
  <c r="D91"/>
  <c r="C46"/>
  <c r="C30"/>
  <c r="C14"/>
  <c r="C45"/>
  <c r="C29"/>
  <c r="C13"/>
  <c r="D90"/>
  <c r="D92"/>
  <c r="C48"/>
  <c r="C32"/>
  <c r="C16"/>
  <c r="C41"/>
  <c r="C25"/>
  <c r="D87"/>
  <c r="C9"/>
  <c r="C57"/>
  <c r="C40"/>
  <c r="C24"/>
  <c r="C56"/>
  <c r="D86"/>
  <c r="C39"/>
  <c r="C23"/>
  <c r="C85"/>
  <c r="C7"/>
  <c r="D85"/>
  <c r="C8"/>
  <c r="F193" i="4" l="1"/>
  <c r="I193" s="1"/>
  <c r="J193" s="1"/>
  <c r="L193" s="1"/>
  <c r="K252"/>
  <c r="N252" s="1"/>
  <c r="J94" i="5"/>
  <c r="G95"/>
  <c r="G94"/>
  <c r="G93"/>
  <c r="H199"/>
  <c r="F198"/>
  <c r="F196"/>
  <c r="F195"/>
  <c r="F194"/>
  <c r="F193"/>
  <c r="H193" s="1"/>
  <c r="I193" s="1"/>
  <c r="F192"/>
  <c r="F191"/>
  <c r="F190"/>
  <c r="H180"/>
  <c r="I180" s="1"/>
  <c r="F180"/>
  <c r="F179"/>
  <c r="F177"/>
  <c r="F176"/>
  <c r="F175"/>
  <c r="H175" s="1"/>
  <c r="I175" s="1"/>
  <c r="F174"/>
  <c r="F173"/>
  <c r="F172"/>
  <c r="H174" l="1"/>
  <c r="I174" s="1"/>
  <c r="H177"/>
  <c r="I177" s="1"/>
  <c r="H176"/>
  <c r="I176" s="1"/>
  <c r="H172"/>
  <c r="I172" s="1"/>
  <c r="H179"/>
  <c r="I179" s="1"/>
  <c r="H198"/>
  <c r="I198" s="1"/>
  <c r="H196"/>
  <c r="I196" s="1"/>
  <c r="H195"/>
  <c r="I195" s="1"/>
  <c r="H194"/>
  <c r="I194" s="1"/>
  <c r="H192"/>
  <c r="I192" s="1"/>
  <c r="H173"/>
  <c r="I173" s="1"/>
  <c r="H191"/>
  <c r="I191" s="1"/>
  <c r="H190"/>
  <c r="I190" s="1"/>
  <c r="I201" s="1"/>
  <c r="H171"/>
  <c r="I171" s="1"/>
  <c r="K201" l="1"/>
  <c r="G55" i="1"/>
  <c r="H55" s="1"/>
  <c r="J55" l="1"/>
  <c r="L88"/>
  <c r="O88" s="1"/>
  <c r="L80" l="1"/>
  <c r="N81"/>
  <c r="G81"/>
  <c r="H81" s="1"/>
  <c r="G80"/>
  <c r="H80" s="1"/>
  <c r="J81" l="1"/>
  <c r="G77" i="5" l="1"/>
  <c r="G76"/>
  <c r="G75"/>
  <c r="J76"/>
  <c r="G107"/>
  <c r="G106"/>
  <c r="G105"/>
  <c r="J106"/>
  <c r="G99"/>
  <c r="G98"/>
  <c r="G97"/>
  <c r="J98"/>
  <c r="L141"/>
  <c r="F232" i="4"/>
  <c r="I232" s="1"/>
  <c r="F231"/>
  <c r="I231" s="1"/>
  <c r="J231" s="1"/>
  <c r="L231" s="1"/>
  <c r="F149"/>
  <c r="F148"/>
  <c r="I148" s="1"/>
  <c r="J148" s="1"/>
  <c r="L148" s="1"/>
  <c r="F65"/>
  <c r="I65" s="1"/>
  <c r="F64"/>
  <c r="I64" s="1"/>
  <c r="J64" s="1"/>
  <c r="F201"/>
  <c r="I201" s="1"/>
  <c r="F200"/>
  <c r="I200" s="1"/>
  <c r="J200" s="1"/>
  <c r="L200" s="1"/>
  <c r="F118"/>
  <c r="F117"/>
  <c r="I117" s="1"/>
  <c r="J117" s="1"/>
  <c r="L117" s="1"/>
  <c r="F33"/>
  <c r="I33" s="1"/>
  <c r="J33" s="1"/>
  <c r="F34"/>
  <c r="F35"/>
  <c r="F32"/>
  <c r="M33"/>
  <c r="F220"/>
  <c r="I220" s="1"/>
  <c r="F219"/>
  <c r="I219" s="1"/>
  <c r="J219" s="1"/>
  <c r="L219" s="1"/>
  <c r="F222"/>
  <c r="I222" s="1"/>
  <c r="F223"/>
  <c r="I223" s="1"/>
  <c r="F137"/>
  <c r="F136"/>
  <c r="I136" s="1"/>
  <c r="J136" s="1"/>
  <c r="L136" s="1"/>
  <c r="F53"/>
  <c r="M52"/>
  <c r="F52"/>
  <c r="I52" s="1"/>
  <c r="J52" s="1"/>
  <c r="F166"/>
  <c r="F165"/>
  <c r="I165" s="1"/>
  <c r="J165" s="1"/>
  <c r="L165" s="1"/>
  <c r="F82"/>
  <c r="M81"/>
  <c r="F81"/>
  <c r="I81" s="1"/>
  <c r="J81" s="1"/>
  <c r="F209"/>
  <c r="I209" s="1"/>
  <c r="M41"/>
  <c r="F208"/>
  <c r="I208" s="1"/>
  <c r="J208" s="1"/>
  <c r="L208" s="1"/>
  <c r="F126"/>
  <c r="F125"/>
  <c r="I125" s="1"/>
  <c r="J125" s="1"/>
  <c r="L125" s="1"/>
  <c r="J41"/>
  <c r="F240"/>
  <c r="I240" s="1"/>
  <c r="J240" s="1"/>
  <c r="L240" s="1"/>
  <c r="F158"/>
  <c r="F157"/>
  <c r="I157" s="1"/>
  <c r="J157" s="1"/>
  <c r="L157" s="1"/>
  <c r="F74"/>
  <c r="M73"/>
  <c r="F73"/>
  <c r="I73" s="1"/>
  <c r="J73" s="1"/>
  <c r="F186"/>
  <c r="I186" s="1"/>
  <c r="J186" s="1"/>
  <c r="L186" s="1"/>
  <c r="F102"/>
  <c r="F101"/>
  <c r="I101" s="1"/>
  <c r="J101" s="1"/>
  <c r="L101" s="1"/>
  <c r="M17"/>
  <c r="F18"/>
  <c r="I18" s="1"/>
  <c r="F17"/>
  <c r="I17" s="1"/>
  <c r="J17" s="1"/>
  <c r="L17" s="1"/>
  <c r="F110"/>
  <c r="F109"/>
  <c r="I109" s="1"/>
  <c r="J109" s="1"/>
  <c r="L109" s="1"/>
  <c r="M25"/>
  <c r="F26"/>
  <c r="F25"/>
  <c r="I25" s="1"/>
  <c r="J25" s="1"/>
  <c r="F178"/>
  <c r="F177"/>
  <c r="I177" s="1"/>
  <c r="J177" s="1"/>
  <c r="L177" s="1"/>
  <c r="F94"/>
  <c r="F93"/>
  <c r="I93" s="1"/>
  <c r="J93" s="1"/>
  <c r="L93" s="1"/>
  <c r="F10"/>
  <c r="F9"/>
  <c r="I9" s="1"/>
  <c r="J9" s="1"/>
  <c r="F11"/>
  <c r="I149" l="1"/>
  <c r="L64"/>
  <c r="M64"/>
  <c r="I118"/>
  <c r="I34"/>
  <c r="L33"/>
  <c r="L9"/>
  <c r="I137"/>
  <c r="I53"/>
  <c r="L52"/>
  <c r="I166"/>
  <c r="I82"/>
  <c r="L81"/>
  <c r="I126"/>
  <c r="I42"/>
  <c r="L41"/>
  <c r="I158"/>
  <c r="I74"/>
  <c r="L73"/>
  <c r="I10"/>
  <c r="I102"/>
  <c r="I110"/>
  <c r="I26"/>
  <c r="L25"/>
  <c r="I178"/>
  <c r="I94"/>
  <c r="K254"/>
  <c r="N254" s="1"/>
  <c r="K256"/>
  <c r="N256" s="1"/>
  <c r="K259"/>
  <c r="N259" s="1"/>
  <c r="K260"/>
  <c r="N260" s="1"/>
  <c r="K253"/>
  <c r="N253" s="1"/>
  <c r="N62" i="1"/>
  <c r="N61"/>
  <c r="E85"/>
  <c r="L85" l="1"/>
  <c r="O85" s="1"/>
  <c r="J137" i="5"/>
  <c r="J140"/>
  <c r="J134" l="1"/>
  <c r="J136"/>
  <c r="J138"/>
  <c r="J135"/>
  <c r="J139"/>
  <c r="F56" l="1"/>
  <c r="H56" s="1"/>
  <c r="I56" s="1"/>
  <c r="F55"/>
  <c r="H55" s="1"/>
  <c r="I55" s="1"/>
  <c r="F54"/>
  <c r="H54" s="1"/>
  <c r="I54" l="1"/>
  <c r="H57"/>
  <c r="I57" s="1"/>
  <c r="J133"/>
  <c r="F8"/>
  <c r="H8" s="1"/>
  <c r="I8" s="1"/>
  <c r="J132"/>
  <c r="K257" i="4" l="1"/>
  <c r="N257" s="1"/>
  <c r="K255"/>
  <c r="N255" s="1"/>
  <c r="K258" l="1"/>
  <c r="N258" s="1"/>
  <c r="C93" i="1" l="1"/>
  <c r="E93" s="1"/>
  <c r="C92"/>
  <c r="E92" s="1"/>
  <c r="C86"/>
  <c r="E86" s="1"/>
  <c r="C88"/>
  <c r="E88" s="1"/>
  <c r="L93"/>
  <c r="O93" s="1"/>
  <c r="L92"/>
  <c r="O92" s="1"/>
  <c r="L91"/>
  <c r="O91" s="1"/>
  <c r="L90"/>
  <c r="O90" s="1"/>
  <c r="L89"/>
  <c r="O89" s="1"/>
  <c r="L86"/>
  <c r="O86" s="1"/>
  <c r="L87"/>
  <c r="O87" s="1"/>
  <c r="G65"/>
  <c r="H65" s="1"/>
  <c r="G64"/>
  <c r="H64" s="1"/>
  <c r="J65" l="1"/>
  <c r="K65" s="1"/>
  <c r="M65" s="1"/>
  <c r="J64"/>
  <c r="K64" s="1"/>
  <c r="M64" s="1"/>
  <c r="N64"/>
  <c r="N65"/>
  <c r="F157" i="5" l="1"/>
  <c r="H157" s="1"/>
  <c r="I157" s="1"/>
  <c r="I202" s="1"/>
  <c r="K202" s="1"/>
  <c r="F158"/>
  <c r="H158" s="1"/>
  <c r="I158" s="1"/>
  <c r="I203" s="1"/>
  <c r="F161"/>
  <c r="H161" s="1"/>
  <c r="I161" s="1"/>
  <c r="I206" s="1"/>
  <c r="K206" s="1"/>
  <c r="F159"/>
  <c r="H159" s="1"/>
  <c r="I159" s="1"/>
  <c r="I204" s="1"/>
  <c r="K204" s="1"/>
  <c r="F160"/>
  <c r="H160" s="1"/>
  <c r="I160" s="1"/>
  <c r="I205" s="1"/>
  <c r="K205" s="1"/>
  <c r="F162"/>
  <c r="H162" s="1"/>
  <c r="I162" s="1"/>
  <c r="I207" s="1"/>
  <c r="K207" s="1"/>
  <c r="F164"/>
  <c r="H164" s="1"/>
  <c r="I164" s="1"/>
  <c r="I208" s="1"/>
  <c r="K208" s="1"/>
  <c r="F165"/>
  <c r="H165" s="1"/>
  <c r="I165" s="1"/>
  <c r="I209" s="1"/>
  <c r="K209" s="1"/>
  <c r="J141"/>
  <c r="H129"/>
  <c r="H128"/>
  <c r="H127"/>
  <c r="F125"/>
  <c r="H125" s="1"/>
  <c r="I125" s="1"/>
  <c r="F124"/>
  <c r="H124" s="1"/>
  <c r="I124" s="1"/>
  <c r="F123"/>
  <c r="H123" s="1"/>
  <c r="F120"/>
  <c r="H120" s="1"/>
  <c r="I120" s="1"/>
  <c r="F119"/>
  <c r="H119" s="1"/>
  <c r="I119" s="1"/>
  <c r="F118"/>
  <c r="H118" s="1"/>
  <c r="F115"/>
  <c r="H115" s="1"/>
  <c r="I115" s="1"/>
  <c r="F114"/>
  <c r="H114" s="1"/>
  <c r="I114" s="1"/>
  <c r="F113"/>
  <c r="H113" s="1"/>
  <c r="F111"/>
  <c r="H111" s="1"/>
  <c r="I111" s="1"/>
  <c r="F110"/>
  <c r="H110" s="1"/>
  <c r="I110" s="1"/>
  <c r="F109"/>
  <c r="H109" s="1"/>
  <c r="F107"/>
  <c r="H107" s="1"/>
  <c r="I107" s="1"/>
  <c r="F106"/>
  <c r="H106" s="1"/>
  <c r="I106" s="1"/>
  <c r="F105"/>
  <c r="H105" s="1"/>
  <c r="F103"/>
  <c r="H103" s="1"/>
  <c r="I103" s="1"/>
  <c r="F102"/>
  <c r="H102" s="1"/>
  <c r="I102" s="1"/>
  <c r="F101"/>
  <c r="H101" s="1"/>
  <c r="F99"/>
  <c r="H99" s="1"/>
  <c r="I99" s="1"/>
  <c r="F98"/>
  <c r="H98" s="1"/>
  <c r="I98" s="1"/>
  <c r="F97"/>
  <c r="H97" s="1"/>
  <c r="F95"/>
  <c r="H95" s="1"/>
  <c r="I95" s="1"/>
  <c r="F94"/>
  <c r="H94" s="1"/>
  <c r="I94" s="1"/>
  <c r="F93"/>
  <c r="H93" s="1"/>
  <c r="I93" s="1"/>
  <c r="F86"/>
  <c r="H86" s="1"/>
  <c r="I86" s="1"/>
  <c r="F85"/>
  <c r="H85" s="1"/>
  <c r="I85" s="1"/>
  <c r="F84"/>
  <c r="H84" s="1"/>
  <c r="F82"/>
  <c r="H82" s="1"/>
  <c r="I82" s="1"/>
  <c r="F81"/>
  <c r="H81" s="1"/>
  <c r="I81" s="1"/>
  <c r="F80"/>
  <c r="H80" s="1"/>
  <c r="F77"/>
  <c r="H77" s="1"/>
  <c r="I77" s="1"/>
  <c r="F76"/>
  <c r="H76" s="1"/>
  <c r="I76" s="1"/>
  <c r="F75"/>
  <c r="H75" s="1"/>
  <c r="F72"/>
  <c r="H72" s="1"/>
  <c r="I72" s="1"/>
  <c r="F71"/>
  <c r="H71" s="1"/>
  <c r="I71" s="1"/>
  <c r="F70"/>
  <c r="H70" s="1"/>
  <c r="F68"/>
  <c r="H68" s="1"/>
  <c r="I68" s="1"/>
  <c r="F67"/>
  <c r="H67" s="1"/>
  <c r="I67" s="1"/>
  <c r="F66"/>
  <c r="H66" s="1"/>
  <c r="F64"/>
  <c r="H64" s="1"/>
  <c r="I64" s="1"/>
  <c r="F63"/>
  <c r="H63" s="1"/>
  <c r="I63" s="1"/>
  <c r="F62"/>
  <c r="H62" s="1"/>
  <c r="F60"/>
  <c r="H60" s="1"/>
  <c r="I60" s="1"/>
  <c r="F59"/>
  <c r="H59" s="1"/>
  <c r="I59" s="1"/>
  <c r="F58"/>
  <c r="H58" s="1"/>
  <c r="F52"/>
  <c r="H52" s="1"/>
  <c r="I52" s="1"/>
  <c r="F51"/>
  <c r="H51" s="1"/>
  <c r="I51" s="1"/>
  <c r="F50"/>
  <c r="H50" s="1"/>
  <c r="I50" s="1"/>
  <c r="F43"/>
  <c r="H43" s="1"/>
  <c r="I43" s="1"/>
  <c r="F42"/>
  <c r="H42" s="1"/>
  <c r="I42" s="1"/>
  <c r="F41"/>
  <c r="H41" s="1"/>
  <c r="F39"/>
  <c r="H39" s="1"/>
  <c r="I39" s="1"/>
  <c r="F38"/>
  <c r="H38" s="1"/>
  <c r="I38" s="1"/>
  <c r="F37"/>
  <c r="H37" s="1"/>
  <c r="F34"/>
  <c r="F33"/>
  <c r="H33" s="1"/>
  <c r="I33" s="1"/>
  <c r="F32"/>
  <c r="H32" s="1"/>
  <c r="F29"/>
  <c r="H29" s="1"/>
  <c r="I29" s="1"/>
  <c r="F28"/>
  <c r="H28" s="1"/>
  <c r="I28" s="1"/>
  <c r="F27"/>
  <c r="H27" s="1"/>
  <c r="F25"/>
  <c r="H25" s="1"/>
  <c r="I25" s="1"/>
  <c r="F24"/>
  <c r="H24" s="1"/>
  <c r="I24" s="1"/>
  <c r="F23"/>
  <c r="H23" s="1"/>
  <c r="F21"/>
  <c r="H21" s="1"/>
  <c r="I21" s="1"/>
  <c r="F20"/>
  <c r="H20" s="1"/>
  <c r="I20" s="1"/>
  <c r="F19"/>
  <c r="H19" s="1"/>
  <c r="F17"/>
  <c r="F16"/>
  <c r="H16" s="1"/>
  <c r="I16" s="1"/>
  <c r="F15"/>
  <c r="H15" s="1"/>
  <c r="F13"/>
  <c r="F12"/>
  <c r="H12" s="1"/>
  <c r="I12" s="1"/>
  <c r="F11"/>
  <c r="K203" l="1"/>
  <c r="I210"/>
  <c r="I123"/>
  <c r="H126"/>
  <c r="I126" s="1"/>
  <c r="I113"/>
  <c r="H116"/>
  <c r="I116" s="1"/>
  <c r="H121"/>
  <c r="I121" s="1"/>
  <c r="I118"/>
  <c r="I75"/>
  <c r="H78"/>
  <c r="I78" s="1"/>
  <c r="I105"/>
  <c r="H108"/>
  <c r="I108" s="1"/>
  <c r="I62"/>
  <c r="H65"/>
  <c r="I65" s="1"/>
  <c r="H73"/>
  <c r="I73" s="1"/>
  <c r="I70"/>
  <c r="H87"/>
  <c r="I87" s="1"/>
  <c r="I84"/>
  <c r="I109"/>
  <c r="H112"/>
  <c r="I112" s="1"/>
  <c r="I66"/>
  <c r="H69"/>
  <c r="I69" s="1"/>
  <c r="I80"/>
  <c r="H83"/>
  <c r="I83" s="1"/>
  <c r="I101"/>
  <c r="H104"/>
  <c r="I104" s="1"/>
  <c r="I97"/>
  <c r="H100"/>
  <c r="I100" s="1"/>
  <c r="I58"/>
  <c r="H61"/>
  <c r="I61" s="1"/>
  <c r="H96"/>
  <c r="I96" s="1"/>
  <c r="H130"/>
  <c r="H53"/>
  <c r="I53" s="1"/>
  <c r="H34"/>
  <c r="I34" s="1"/>
  <c r="H17"/>
  <c r="I17" s="1"/>
  <c r="H40"/>
  <c r="I40" s="1"/>
  <c r="I37"/>
  <c r="H44"/>
  <c r="I44" s="1"/>
  <c r="I41"/>
  <c r="I32"/>
  <c r="H30"/>
  <c r="I30" s="1"/>
  <c r="I27"/>
  <c r="I23"/>
  <c r="H26"/>
  <c r="I26" s="1"/>
  <c r="H22"/>
  <c r="I22" s="1"/>
  <c r="I19"/>
  <c r="I15"/>
  <c r="H13"/>
  <c r="I13" s="1"/>
  <c r="H11"/>
  <c r="I11" s="1"/>
  <c r="H35" l="1"/>
  <c r="I35" s="1"/>
  <c r="I138" s="1"/>
  <c r="K138" s="1"/>
  <c r="H18"/>
  <c r="I18" s="1"/>
  <c r="I134" s="1"/>
  <c r="I140"/>
  <c r="K140" s="1"/>
  <c r="I136"/>
  <c r="K136" s="1"/>
  <c r="I135"/>
  <c r="K135" s="1"/>
  <c r="I139"/>
  <c r="K139" s="1"/>
  <c r="I137"/>
  <c r="K137" s="1"/>
  <c r="H14"/>
  <c r="I14" s="1"/>
  <c r="K134" l="1"/>
  <c r="I133"/>
  <c r="K133" s="1"/>
  <c r="H184" i="4"/>
  <c r="F180"/>
  <c r="I180" s="1"/>
  <c r="F248"/>
  <c r="I248" s="1"/>
  <c r="F247"/>
  <c r="I247" s="1"/>
  <c r="F246"/>
  <c r="I246" s="1"/>
  <c r="F245"/>
  <c r="I245" s="1"/>
  <c r="F244"/>
  <c r="I244" s="1"/>
  <c r="I249" s="1"/>
  <c r="F242"/>
  <c r="I242" s="1"/>
  <c r="F241"/>
  <c r="I241" s="1"/>
  <c r="F239"/>
  <c r="I239" s="1"/>
  <c r="F238"/>
  <c r="I238" s="1"/>
  <c r="F237"/>
  <c r="I237" s="1"/>
  <c r="F234"/>
  <c r="I234" s="1"/>
  <c r="F233"/>
  <c r="I233" s="1"/>
  <c r="F230"/>
  <c r="I230" s="1"/>
  <c r="F229"/>
  <c r="I229" s="1"/>
  <c r="F228"/>
  <c r="I228" s="1"/>
  <c r="F218"/>
  <c r="I218" s="1"/>
  <c r="F217"/>
  <c r="I217" s="1"/>
  <c r="F216"/>
  <c r="I216" s="1"/>
  <c r="F212"/>
  <c r="I212" s="1"/>
  <c r="F207"/>
  <c r="I207" s="1"/>
  <c r="F206"/>
  <c r="I206" s="1"/>
  <c r="F205"/>
  <c r="I205" s="1"/>
  <c r="I213" s="1"/>
  <c r="I214" s="1"/>
  <c r="J214" s="1"/>
  <c r="F203"/>
  <c r="I203" s="1"/>
  <c r="F202"/>
  <c r="I202" s="1"/>
  <c r="F199"/>
  <c r="I199" s="1"/>
  <c r="F198"/>
  <c r="I198" s="1"/>
  <c r="F197"/>
  <c r="I197" s="1"/>
  <c r="F195"/>
  <c r="I195" s="1"/>
  <c r="F194"/>
  <c r="I194" s="1"/>
  <c r="F192"/>
  <c r="I192" s="1"/>
  <c r="F191"/>
  <c r="F190"/>
  <c r="I190" s="1"/>
  <c r="F188"/>
  <c r="I188" s="1"/>
  <c r="F187"/>
  <c r="I187" s="1"/>
  <c r="F185"/>
  <c r="I185" s="1"/>
  <c r="F184"/>
  <c r="F183"/>
  <c r="I183" s="1"/>
  <c r="F181"/>
  <c r="I181" s="1"/>
  <c r="F179"/>
  <c r="I179" s="1"/>
  <c r="F176"/>
  <c r="I176" s="1"/>
  <c r="F175"/>
  <c r="I175" s="1"/>
  <c r="F174"/>
  <c r="I174" s="1"/>
  <c r="F168"/>
  <c r="I168" s="1"/>
  <c r="F167"/>
  <c r="I167" s="1"/>
  <c r="F164"/>
  <c r="I164" s="1"/>
  <c r="F163"/>
  <c r="I163" s="1"/>
  <c r="F162"/>
  <c r="I162" s="1"/>
  <c r="F160"/>
  <c r="I160" s="1"/>
  <c r="F159"/>
  <c r="I159" s="1"/>
  <c r="F156"/>
  <c r="I156" s="1"/>
  <c r="F155"/>
  <c r="I155" s="1"/>
  <c r="F154"/>
  <c r="I154" s="1"/>
  <c r="F151"/>
  <c r="I151" s="1"/>
  <c r="F150"/>
  <c r="I150" s="1"/>
  <c r="F147"/>
  <c r="I147" s="1"/>
  <c r="F146"/>
  <c r="I146" s="1"/>
  <c r="F145"/>
  <c r="I145" s="1"/>
  <c r="F140"/>
  <c r="I140" s="1"/>
  <c r="F139"/>
  <c r="I139" s="1"/>
  <c r="F135"/>
  <c r="I135" s="1"/>
  <c r="F134"/>
  <c r="I134" s="1"/>
  <c r="F133"/>
  <c r="I133" s="1"/>
  <c r="F129"/>
  <c r="I129" s="1"/>
  <c r="F128"/>
  <c r="I128" s="1"/>
  <c r="F124"/>
  <c r="I124" s="1"/>
  <c r="F123"/>
  <c r="I123" s="1"/>
  <c r="F122"/>
  <c r="I122" s="1"/>
  <c r="F120"/>
  <c r="I120" s="1"/>
  <c r="F119"/>
  <c r="I119" s="1"/>
  <c r="F116"/>
  <c r="I116" s="1"/>
  <c r="F115"/>
  <c r="I115" s="1"/>
  <c r="F114"/>
  <c r="I114" s="1"/>
  <c r="F112"/>
  <c r="I112" s="1"/>
  <c r="F111"/>
  <c r="I111" s="1"/>
  <c r="F108"/>
  <c r="I108" s="1"/>
  <c r="F107"/>
  <c r="I107" s="1"/>
  <c r="F106"/>
  <c r="I106" s="1"/>
  <c r="F104"/>
  <c r="I104" s="1"/>
  <c r="F103"/>
  <c r="I103" s="1"/>
  <c r="F100"/>
  <c r="I100" s="1"/>
  <c r="F99"/>
  <c r="I99" s="1"/>
  <c r="F98"/>
  <c r="I98" s="1"/>
  <c r="F96"/>
  <c r="I96" s="1"/>
  <c r="F95"/>
  <c r="I95" s="1"/>
  <c r="F92"/>
  <c r="I92" s="1"/>
  <c r="F91"/>
  <c r="I91" s="1"/>
  <c r="F90"/>
  <c r="I90" s="1"/>
  <c r="I191" l="1"/>
  <c r="I196" s="1"/>
  <c r="J196" s="1"/>
  <c r="I184"/>
  <c r="I182"/>
  <c r="J182" s="1"/>
  <c r="L182" s="1"/>
  <c r="I224"/>
  <c r="I235"/>
  <c r="J235" s="1"/>
  <c r="L235" s="1"/>
  <c r="I204"/>
  <c r="J204" s="1"/>
  <c r="L204" s="1"/>
  <c r="I243"/>
  <c r="J243" s="1"/>
  <c r="L243" s="1"/>
  <c r="I169"/>
  <c r="J169" s="1"/>
  <c r="L169" s="1"/>
  <c r="I161"/>
  <c r="J161" s="1"/>
  <c r="L161" s="1"/>
  <c r="I152"/>
  <c r="J152" s="1"/>
  <c r="L152" s="1"/>
  <c r="I141"/>
  <c r="J141" s="1"/>
  <c r="L141" s="1"/>
  <c r="I105"/>
  <c r="J105" s="1"/>
  <c r="L105" s="1"/>
  <c r="I97"/>
  <c r="J97" s="1"/>
  <c r="L97" s="1"/>
  <c r="I189"/>
  <c r="J189" s="1"/>
  <c r="L189" s="1"/>
  <c r="J213"/>
  <c r="L249"/>
  <c r="I113"/>
  <c r="J113" s="1"/>
  <c r="L113" s="1"/>
  <c r="I121"/>
  <c r="J121" s="1"/>
  <c r="L121" s="1"/>
  <c r="I130"/>
  <c r="J130" s="1"/>
  <c r="L130" s="1"/>
  <c r="F84"/>
  <c r="I84" s="1"/>
  <c r="F83"/>
  <c r="I83" s="1"/>
  <c r="F80"/>
  <c r="I80" s="1"/>
  <c r="F79"/>
  <c r="I79" s="1"/>
  <c r="F78"/>
  <c r="I78" s="1"/>
  <c r="F76"/>
  <c r="F75"/>
  <c r="I75" s="1"/>
  <c r="F72"/>
  <c r="I72" s="1"/>
  <c r="F71"/>
  <c r="I71" s="1"/>
  <c r="F70"/>
  <c r="I70" s="1"/>
  <c r="F67"/>
  <c r="I67" s="1"/>
  <c r="F66"/>
  <c r="I66" s="1"/>
  <c r="F63"/>
  <c r="I63" s="1"/>
  <c r="F62"/>
  <c r="I62" s="1"/>
  <c r="F61"/>
  <c r="I61" s="1"/>
  <c r="F50"/>
  <c r="I50" s="1"/>
  <c r="F51"/>
  <c r="I51" s="1"/>
  <c r="F55"/>
  <c r="I55" s="1"/>
  <c r="F56"/>
  <c r="F49"/>
  <c r="I49" s="1"/>
  <c r="F45"/>
  <c r="F44"/>
  <c r="I44" s="1"/>
  <c r="F39"/>
  <c r="I39" s="1"/>
  <c r="F38"/>
  <c r="I38" s="1"/>
  <c r="F36"/>
  <c r="I35"/>
  <c r="I32"/>
  <c r="F31"/>
  <c r="I31" s="1"/>
  <c r="F30"/>
  <c r="I30" s="1"/>
  <c r="F28"/>
  <c r="I28" s="1"/>
  <c r="F27"/>
  <c r="I27" s="1"/>
  <c r="F24"/>
  <c r="I24" s="1"/>
  <c r="F23"/>
  <c r="I23" s="1"/>
  <c r="F22"/>
  <c r="I22" s="1"/>
  <c r="F20"/>
  <c r="F19"/>
  <c r="I19" s="1"/>
  <c r="F16"/>
  <c r="I16" s="1"/>
  <c r="F15"/>
  <c r="I15" s="1"/>
  <c r="F14"/>
  <c r="I14" s="1"/>
  <c r="I11"/>
  <c r="G26" i="1"/>
  <c r="H26" s="1"/>
  <c r="G29"/>
  <c r="H29" s="1"/>
  <c r="G24"/>
  <c r="H24" s="1"/>
  <c r="C89"/>
  <c r="E89" s="1"/>
  <c r="G56"/>
  <c r="H56" s="1"/>
  <c r="D71"/>
  <c r="G78"/>
  <c r="H78" s="1"/>
  <c r="G75"/>
  <c r="H75" s="1"/>
  <c r="G74"/>
  <c r="H74" s="1"/>
  <c r="G77"/>
  <c r="H77" s="1"/>
  <c r="G73"/>
  <c r="H73" s="1"/>
  <c r="G72"/>
  <c r="H72" s="1"/>
  <c r="G71"/>
  <c r="H71" s="1"/>
  <c r="G58"/>
  <c r="H58" s="1"/>
  <c r="G49"/>
  <c r="H49" s="1"/>
  <c r="G48"/>
  <c r="H48" s="1"/>
  <c r="G46"/>
  <c r="H46" s="1"/>
  <c r="G43"/>
  <c r="H43" s="1"/>
  <c r="G42"/>
  <c r="H42" s="1"/>
  <c r="G45"/>
  <c r="H45" s="1"/>
  <c r="G41"/>
  <c r="H41" s="1"/>
  <c r="N40"/>
  <c r="G39"/>
  <c r="H39" s="1"/>
  <c r="G33"/>
  <c r="H33" s="1"/>
  <c r="G32"/>
  <c r="H32" s="1"/>
  <c r="G30"/>
  <c r="H30" s="1"/>
  <c r="G27"/>
  <c r="H27" s="1"/>
  <c r="N25"/>
  <c r="J224" i="4" l="1"/>
  <c r="L224" s="1"/>
  <c r="I225"/>
  <c r="J225" s="1"/>
  <c r="I142"/>
  <c r="J142" s="1"/>
  <c r="I131"/>
  <c r="J131" s="1"/>
  <c r="G61" i="1"/>
  <c r="H61" s="1"/>
  <c r="C90"/>
  <c r="E90" s="1"/>
  <c r="G62"/>
  <c r="H62" s="1"/>
  <c r="C91"/>
  <c r="E91" s="1"/>
  <c r="G57"/>
  <c r="H57" s="1"/>
  <c r="C87"/>
  <c r="E87" s="1"/>
  <c r="K55"/>
  <c r="M55" s="1"/>
  <c r="J58"/>
  <c r="K58" s="1"/>
  <c r="M58" s="1"/>
  <c r="G59"/>
  <c r="H59" s="1"/>
  <c r="N23"/>
  <c r="D72"/>
  <c r="L213" i="4"/>
  <c r="L196"/>
  <c r="I68"/>
  <c r="J68" s="1"/>
  <c r="L68" s="1"/>
  <c r="I20"/>
  <c r="I21" s="1"/>
  <c r="J21" s="1"/>
  <c r="J253" s="1"/>
  <c r="I76"/>
  <c r="I77" s="1"/>
  <c r="J77" s="1"/>
  <c r="L77" s="1"/>
  <c r="I36"/>
  <c r="I37" s="1"/>
  <c r="I85"/>
  <c r="J85" s="1"/>
  <c r="J260" s="1"/>
  <c r="I56"/>
  <c r="I57" s="1"/>
  <c r="I45"/>
  <c r="I46" s="1"/>
  <c r="I47" s="1"/>
  <c r="J47" s="1"/>
  <c r="I29"/>
  <c r="J29" s="1"/>
  <c r="J75" i="1"/>
  <c r="K75" s="1"/>
  <c r="J29"/>
  <c r="G23"/>
  <c r="H23" s="1"/>
  <c r="J23" s="1"/>
  <c r="G25"/>
  <c r="H25" s="1"/>
  <c r="J25" s="1"/>
  <c r="N30"/>
  <c r="N43"/>
  <c r="N72"/>
  <c r="N26"/>
  <c r="N33"/>
  <c r="G40"/>
  <c r="H40" s="1"/>
  <c r="J40" s="1"/>
  <c r="K40" s="1"/>
  <c r="N45"/>
  <c r="N48"/>
  <c r="N56"/>
  <c r="N59"/>
  <c r="N77"/>
  <c r="N75"/>
  <c r="N80"/>
  <c r="J74"/>
  <c r="K74" s="1"/>
  <c r="M74" s="1"/>
  <c r="J73"/>
  <c r="K73" s="1"/>
  <c r="M73" s="1"/>
  <c r="J71"/>
  <c r="K71" s="1"/>
  <c r="M71" s="1"/>
  <c r="J77"/>
  <c r="K77" s="1"/>
  <c r="M77" s="1"/>
  <c r="J80"/>
  <c r="K80" s="1"/>
  <c r="M80" s="1"/>
  <c r="J78"/>
  <c r="K78" s="1"/>
  <c r="M78" s="1"/>
  <c r="K81"/>
  <c r="M81" s="1"/>
  <c r="N71"/>
  <c r="N73"/>
  <c r="N74"/>
  <c r="N78"/>
  <c r="N55"/>
  <c r="N57"/>
  <c r="N58"/>
  <c r="J41"/>
  <c r="K41" s="1"/>
  <c r="J39"/>
  <c r="K39" s="1"/>
  <c r="J49"/>
  <c r="J46"/>
  <c r="K46" s="1"/>
  <c r="J32"/>
  <c r="J42"/>
  <c r="J24"/>
  <c r="J27"/>
  <c r="J48"/>
  <c r="J45"/>
  <c r="K45" s="1"/>
  <c r="J26"/>
  <c r="M49"/>
  <c r="J43"/>
  <c r="K43" s="1"/>
  <c r="N39"/>
  <c r="N41"/>
  <c r="N42"/>
  <c r="N46"/>
  <c r="N49"/>
  <c r="J30"/>
  <c r="J33"/>
  <c r="N24"/>
  <c r="N29"/>
  <c r="N27"/>
  <c r="N32"/>
  <c r="J57" i="4" l="1"/>
  <c r="J257" s="1"/>
  <c r="L257" s="1"/>
  <c r="I58"/>
  <c r="J58" s="1"/>
  <c r="M27" i="1"/>
  <c r="K27"/>
  <c r="K33"/>
  <c r="M33" s="1"/>
  <c r="K42"/>
  <c r="M42" s="1"/>
  <c r="M26"/>
  <c r="K26"/>
  <c r="M30"/>
  <c r="K30"/>
  <c r="K29"/>
  <c r="M29" s="1"/>
  <c r="K48"/>
  <c r="M48" s="1"/>
  <c r="K32"/>
  <c r="M32" s="1"/>
  <c r="M25"/>
  <c r="K25"/>
  <c r="M24"/>
  <c r="K24"/>
  <c r="K23"/>
  <c r="M23" s="1"/>
  <c r="J56"/>
  <c r="K56" s="1"/>
  <c r="M56" s="1"/>
  <c r="J37" i="4"/>
  <c r="L37" s="1"/>
  <c r="J258"/>
  <c r="J259"/>
  <c r="L29"/>
  <c r="J254"/>
  <c r="J72" i="1"/>
  <c r="K72" s="1"/>
  <c r="M72" s="1"/>
  <c r="L85" i="4"/>
  <c r="L260"/>
  <c r="M43" i="1"/>
  <c r="M45"/>
  <c r="M46"/>
  <c r="M39"/>
  <c r="M41"/>
  <c r="M40"/>
  <c r="M75"/>
  <c r="J59"/>
  <c r="K59" s="1"/>
  <c r="M59" s="1"/>
  <c r="J46" i="4"/>
  <c r="L253"/>
  <c r="L21"/>
  <c r="L57" l="1"/>
  <c r="J62" i="1"/>
  <c r="K62" s="1"/>
  <c r="M62" s="1"/>
  <c r="L258" i="4"/>
  <c r="L259"/>
  <c r="L254"/>
  <c r="J255"/>
  <c r="J256"/>
  <c r="J61" i="1"/>
  <c r="K61" s="1"/>
  <c r="M61" s="1"/>
  <c r="J57"/>
  <c r="K57" s="1"/>
  <c r="M57" s="1"/>
  <c r="L46" i="4"/>
  <c r="L255" l="1"/>
  <c r="L256"/>
  <c r="F7"/>
  <c r="F8"/>
  <c r="F12"/>
  <c r="I8" l="1"/>
  <c r="I12" l="1"/>
  <c r="I7"/>
  <c r="N9" i="1"/>
  <c r="N10"/>
  <c r="N11"/>
  <c r="N14"/>
  <c r="G10"/>
  <c r="H10" s="1"/>
  <c r="G11"/>
  <c r="H11" s="1"/>
  <c r="G14"/>
  <c r="H14" s="1"/>
  <c r="G16"/>
  <c r="H16" s="1"/>
  <c r="G17"/>
  <c r="H17" s="1"/>
  <c r="N8"/>
  <c r="G7"/>
  <c r="N16" l="1"/>
  <c r="N13"/>
  <c r="N17"/>
  <c r="J17"/>
  <c r="K17" s="1"/>
  <c r="K93" s="1"/>
  <c r="J16"/>
  <c r="K16" s="1"/>
  <c r="K92" s="1"/>
  <c r="J14"/>
  <c r="K14" s="1"/>
  <c r="K91" s="1"/>
  <c r="J11"/>
  <c r="K11" s="1"/>
  <c r="J10"/>
  <c r="K10" s="1"/>
  <c r="K88" s="1"/>
  <c r="K89" l="1"/>
  <c r="M89" s="1"/>
  <c r="M16"/>
  <c r="M92"/>
  <c r="M17"/>
  <c r="M93"/>
  <c r="M14"/>
  <c r="M11"/>
  <c r="M10"/>
  <c r="M88"/>
  <c r="G13"/>
  <c r="H13" s="1"/>
  <c r="G9"/>
  <c r="H9" s="1"/>
  <c r="G8"/>
  <c r="H8" s="1"/>
  <c r="J13" l="1"/>
  <c r="K13" s="1"/>
  <c r="J8"/>
  <c r="J9"/>
  <c r="K9" s="1"/>
  <c r="K87" s="1"/>
  <c r="M91" l="1"/>
  <c r="K90"/>
  <c r="M90" s="1"/>
  <c r="K8"/>
  <c r="K86" s="1"/>
  <c r="M9"/>
  <c r="M87"/>
  <c r="M13"/>
  <c r="F9" i="5"/>
  <c r="H9" s="1"/>
  <c r="I9" s="1"/>
  <c r="M86" i="1" l="1"/>
  <c r="M8"/>
  <c r="F6" i="4"/>
  <c r="I6" l="1"/>
  <c r="I13" s="1"/>
  <c r="J13" s="1"/>
  <c r="L13" s="1"/>
  <c r="I7" i="5"/>
  <c r="H10" l="1"/>
  <c r="I10" s="1"/>
  <c r="I132" s="1"/>
  <c r="J252" i="4"/>
  <c r="H7" i="1"/>
  <c r="L252" i="4" l="1"/>
  <c r="I141" i="5"/>
  <c r="K132"/>
  <c r="K141" s="1"/>
  <c r="J7" i="1"/>
  <c r="K7" s="1"/>
  <c r="K85" s="1"/>
  <c r="M85" l="1"/>
  <c r="M7"/>
</calcChain>
</file>

<file path=xl/sharedStrings.xml><?xml version="1.0" encoding="utf-8"?>
<sst xmlns="http://schemas.openxmlformats.org/spreadsheetml/2006/main" count="1012" uniqueCount="76">
  <si>
    <t>Затраты на оплату труда (с начислениями) работников непосредственно связанных с оказанием услуги</t>
  </si>
  <si>
    <t>кол-во ставок по штатному расписанию</t>
  </si>
  <si>
    <t>количество рабочих часов в год (произв.календ.)</t>
  </si>
  <si>
    <t>Наименование учреждения</t>
  </si>
  <si>
    <t xml:space="preserve">Количество затраченных человеко-часов </t>
  </si>
  <si>
    <t>7=3*6</t>
  </si>
  <si>
    <t>Норма трудозатрат на оказание 1 ед. услуги (человеко-часов)</t>
  </si>
  <si>
    <t>8=7/5</t>
  </si>
  <si>
    <t>Стоимость 1 человека-часа</t>
  </si>
  <si>
    <t>9=4/6</t>
  </si>
  <si>
    <t>Нормативные затраты</t>
  </si>
  <si>
    <t>10=8*9</t>
  </si>
  <si>
    <t>Заработная плата на 1 ставку</t>
  </si>
  <si>
    <t>Наименование запасов и особо ценного движимого имущества по группам</t>
  </si>
  <si>
    <t>Нормативное количество материальных запасов, ОЦДИ</t>
  </si>
  <si>
    <t>Срок полезного использования, лет</t>
  </si>
  <si>
    <t>Цена 1 ед., ресурса, рублей</t>
  </si>
  <si>
    <t>6=4/5</t>
  </si>
  <si>
    <t>Единица измерения нормы</t>
  </si>
  <si>
    <t>9=6*8</t>
  </si>
  <si>
    <t>Писчая бумага</t>
  </si>
  <si>
    <t>пач.</t>
  </si>
  <si>
    <t>Наименование затрат</t>
  </si>
  <si>
    <t>Нормативный объем</t>
  </si>
  <si>
    <t>медицинский осмотр</t>
  </si>
  <si>
    <t>договор</t>
  </si>
  <si>
    <t>Цена , рублей</t>
  </si>
  <si>
    <t xml:space="preserve">командировочные </t>
  </si>
  <si>
    <t>Категория работников по штатному расписанию</t>
  </si>
  <si>
    <t>Канцелярия</t>
  </si>
  <si>
    <t>Продукты питания</t>
  </si>
  <si>
    <t>краевой бюджет</t>
  </si>
  <si>
    <t xml:space="preserve">Иные затраты, непосредственно связанные с оказанием услуги </t>
  </si>
  <si>
    <t>УСЛУГА "Присмотр и уход"</t>
  </si>
  <si>
    <t>УСЛУГА "Реализация основных общеобразовательных программ начального общего образования"</t>
  </si>
  <si>
    <t>Школа № 1</t>
  </si>
  <si>
    <t>Школа № 2</t>
  </si>
  <si>
    <t>Школа № 3</t>
  </si>
  <si>
    <t>Школа № 4</t>
  </si>
  <si>
    <t>Школа № 7</t>
  </si>
  <si>
    <t>Школа № 9</t>
  </si>
  <si>
    <t>Школа № 14</t>
  </si>
  <si>
    <t>Школа № 11</t>
  </si>
  <si>
    <t>УСЛУГА "Реализация основных общеобразовательных программ основного общего образования"</t>
  </si>
  <si>
    <t>УСЛУГА "Реализация основных общеобразовательных программ среднего общего образования"</t>
  </si>
  <si>
    <t>по норме</t>
  </si>
  <si>
    <t>в бюджете</t>
  </si>
  <si>
    <t>педаг. + админ.+ уч.вспом. персонал</t>
  </si>
  <si>
    <t>УСЛУГА "Предоставление питания"</t>
  </si>
  <si>
    <t>Воспитатель групп продленного дня</t>
  </si>
  <si>
    <t>Материалы и предметы инвентаря для учебных и лабораторных целей</t>
  </si>
  <si>
    <t>Медикаменты</t>
  </si>
  <si>
    <t>Спец.одежда</t>
  </si>
  <si>
    <t>Показатель объема, учащ.</t>
  </si>
  <si>
    <t>Норма на 1 учащегося, шт.</t>
  </si>
  <si>
    <t>Свидетельства, медали, подарки</t>
  </si>
  <si>
    <t>в бюдж.</t>
  </si>
  <si>
    <t>обеспечение питанием</t>
  </si>
  <si>
    <t>Лицей № 8</t>
  </si>
  <si>
    <t>Услуги связи</t>
  </si>
  <si>
    <t>роспись</t>
  </si>
  <si>
    <t>Показатель объема, человеко-часы.</t>
  </si>
  <si>
    <t>УСЛУГА "Реализация дополнительных общеразвивающих программ"</t>
  </si>
  <si>
    <t>бюджет</t>
  </si>
  <si>
    <t>норма</t>
  </si>
  <si>
    <t>Учебники</t>
  </si>
  <si>
    <t>штук</t>
  </si>
  <si>
    <t>Оборудование</t>
  </si>
  <si>
    <t>пед. доп.образования</t>
  </si>
  <si>
    <t>начальная ступень</t>
  </si>
  <si>
    <t>основная ступень</t>
  </si>
  <si>
    <t>старшая ступень</t>
  </si>
  <si>
    <t>8=6*7</t>
  </si>
  <si>
    <t>УСЛУГА "Организация отдыха детей и молодежи" (пришкольный лгерь)</t>
  </si>
  <si>
    <t>муниципальный бюджет</t>
  </si>
  <si>
    <r>
      <t>Затраты на приобретение материальных запасов и особо ценного движимого имущества, потребляемых в процессе оказания услуги  (</t>
    </r>
    <r>
      <rPr>
        <b/>
        <i/>
        <u/>
        <sz val="12"/>
        <color theme="1"/>
        <rFont val="Times New Roman"/>
        <family val="1"/>
        <charset val="204"/>
      </rPr>
      <t>краевой / муниципальный бюджет)</t>
    </r>
  </si>
</sst>
</file>

<file path=xl/styles.xml><?xml version="1.0" encoding="utf-8"?>
<styleSheet xmlns="http://schemas.openxmlformats.org/spreadsheetml/2006/main">
  <numFmts count="4">
    <numFmt numFmtId="164" formatCode="0.00000"/>
    <numFmt numFmtId="165" formatCode="0.000"/>
    <numFmt numFmtId="166" formatCode="0.0000"/>
    <numFmt numFmtId="167" formatCode="#,##0.00_р_.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u/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0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2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2" fontId="0" fillId="0" borderId="1" xfId="0" applyNumberFormat="1" applyBorder="1"/>
    <xf numFmtId="2" fontId="1" fillId="0" borderId="1" xfId="0" applyNumberFormat="1" applyFont="1" applyBorder="1"/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" fillId="0" borderId="3" xfId="0" applyFont="1" applyBorder="1"/>
    <xf numFmtId="0" fontId="0" fillId="0" borderId="4" xfId="0" applyBorder="1"/>
    <xf numFmtId="0" fontId="1" fillId="0" borderId="5" xfId="0" applyFont="1" applyBorder="1"/>
    <xf numFmtId="2" fontId="0" fillId="0" borderId="5" xfId="0" applyNumberFormat="1" applyBorder="1"/>
    <xf numFmtId="0" fontId="0" fillId="0" borderId="7" xfId="0" applyBorder="1"/>
    <xf numFmtId="0" fontId="0" fillId="0" borderId="9" xfId="0" applyBorder="1"/>
    <xf numFmtId="0" fontId="1" fillId="0" borderId="10" xfId="0" applyFont="1" applyBorder="1"/>
    <xf numFmtId="2" fontId="0" fillId="0" borderId="10" xfId="0" applyNumberFormat="1" applyBorder="1"/>
    <xf numFmtId="1" fontId="0" fillId="0" borderId="1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2" fontId="3" fillId="0" borderId="10" xfId="0" applyNumberFormat="1" applyFont="1" applyBorder="1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164" fontId="1" fillId="0" borderId="5" xfId="0" applyNumberFormat="1" applyFont="1" applyBorder="1"/>
    <xf numFmtId="164" fontId="1" fillId="0" borderId="1" xfId="0" applyNumberFormat="1" applyFont="1" applyBorder="1"/>
    <xf numFmtId="164" fontId="1" fillId="0" borderId="12" xfId="0" applyNumberFormat="1" applyFont="1" applyBorder="1"/>
    <xf numFmtId="0" fontId="7" fillId="0" borderId="0" xfId="0" applyFont="1"/>
    <xf numFmtId="0" fontId="1" fillId="0" borderId="14" xfId="0" applyFont="1" applyBorder="1"/>
    <xf numFmtId="2" fontId="0" fillId="0" borderId="14" xfId="0" applyNumberFormat="1" applyBorder="1"/>
    <xf numFmtId="2" fontId="1" fillId="0" borderId="14" xfId="0" applyNumberFormat="1" applyFont="1" applyBorder="1"/>
    <xf numFmtId="164" fontId="1" fillId="0" borderId="0" xfId="0" applyNumberFormat="1" applyFont="1"/>
    <xf numFmtId="0" fontId="4" fillId="0" borderId="13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164" fontId="1" fillId="0" borderId="10" xfId="0" applyNumberFormat="1" applyFont="1" applyBorder="1"/>
    <xf numFmtId="1" fontId="0" fillId="0" borderId="10" xfId="0" applyNumberFormat="1" applyBorder="1" applyAlignment="1">
      <alignment horizontal="center"/>
    </xf>
    <xf numFmtId="0" fontId="0" fillId="0" borderId="0" xfId="0" applyBorder="1"/>
    <xf numFmtId="0" fontId="1" fillId="0" borderId="0" xfId="0" applyFont="1" applyBorder="1"/>
    <xf numFmtId="164" fontId="1" fillId="0" borderId="0" xfId="0" applyNumberFormat="1" applyFont="1" applyBorder="1"/>
    <xf numFmtId="1" fontId="0" fillId="0" borderId="0" xfId="0" applyNumberFormat="1" applyBorder="1" applyAlignment="1">
      <alignment horizontal="center"/>
    </xf>
    <xf numFmtId="2" fontId="0" fillId="0" borderId="0" xfId="0" applyNumberFormat="1" applyBorder="1"/>
    <xf numFmtId="2" fontId="2" fillId="0" borderId="0" xfId="0" applyNumberFormat="1" applyFont="1" applyBorder="1"/>
    <xf numFmtId="2" fontId="1" fillId="0" borderId="5" xfId="0" applyNumberFormat="1" applyFont="1" applyBorder="1"/>
    <xf numFmtId="2" fontId="1" fillId="0" borderId="10" xfId="0" applyNumberFormat="1" applyFont="1" applyBorder="1"/>
    <xf numFmtId="0" fontId="0" fillId="0" borderId="17" xfId="0" applyBorder="1"/>
    <xf numFmtId="164" fontId="1" fillId="0" borderId="14" xfId="0" applyNumberFormat="1" applyFont="1" applyBorder="1"/>
    <xf numFmtId="0" fontId="8" fillId="0" borderId="0" xfId="0" applyFont="1"/>
    <xf numFmtId="0" fontId="1" fillId="0" borderId="12" xfId="0" applyFont="1" applyBorder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6" fillId="0" borderId="0" xfId="0" applyFont="1" applyAlignment="1"/>
    <xf numFmtId="0" fontId="9" fillId="0" borderId="0" xfId="0" applyFont="1" applyAlignment="1"/>
    <xf numFmtId="2" fontId="1" fillId="0" borderId="0" xfId="0" applyNumberFormat="1" applyFont="1" applyBorder="1"/>
    <xf numFmtId="0" fontId="10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wrapText="1"/>
    </xf>
    <xf numFmtId="165" fontId="1" fillId="0" borderId="0" xfId="0" applyNumberFormat="1" applyFont="1"/>
    <xf numFmtId="165" fontId="1" fillId="0" borderId="0" xfId="0" applyNumberFormat="1" applyFont="1" applyAlignment="1">
      <alignment wrapText="1"/>
    </xf>
    <xf numFmtId="0" fontId="0" fillId="0" borderId="14" xfId="0" applyBorder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0" borderId="0" xfId="0" applyFont="1"/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0" xfId="0" applyFont="1" applyAlignment="1">
      <alignment wrapText="1"/>
    </xf>
    <xf numFmtId="0" fontId="15" fillId="0" borderId="9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3" fillId="0" borderId="4" xfId="0" applyFont="1" applyBorder="1"/>
    <xf numFmtId="0" fontId="12" fillId="0" borderId="5" xfId="0" applyFont="1" applyBorder="1"/>
    <xf numFmtId="164" fontId="12" fillId="0" borderId="5" xfId="0" applyNumberFormat="1" applyFont="1" applyBorder="1"/>
    <xf numFmtId="0" fontId="13" fillId="0" borderId="7" xfId="0" applyFont="1" applyBorder="1"/>
    <xf numFmtId="0" fontId="12" fillId="0" borderId="1" xfId="0" applyFont="1" applyBorder="1"/>
    <xf numFmtId="0" fontId="12" fillId="0" borderId="2" xfId="0" applyFont="1" applyBorder="1"/>
    <xf numFmtId="164" fontId="12" fillId="0" borderId="1" xfId="0" applyNumberFormat="1" applyFont="1" applyBorder="1"/>
    <xf numFmtId="0" fontId="13" fillId="0" borderId="9" xfId="0" applyFont="1" applyBorder="1"/>
    <xf numFmtId="0" fontId="12" fillId="0" borderId="10" xfId="0" applyFont="1" applyBorder="1"/>
    <xf numFmtId="164" fontId="12" fillId="0" borderId="10" xfId="0" applyNumberFormat="1" applyFont="1" applyBorder="1"/>
    <xf numFmtId="0" fontId="13" fillId="0" borderId="17" xfId="0" applyFont="1" applyBorder="1"/>
    <xf numFmtId="0" fontId="0" fillId="0" borderId="13" xfId="0" applyBorder="1"/>
    <xf numFmtId="0" fontId="1" fillId="0" borderId="2" xfId="0" applyFont="1" applyBorder="1"/>
    <xf numFmtId="164" fontId="1" fillId="0" borderId="2" xfId="0" applyNumberFormat="1" applyFont="1" applyBorder="1"/>
    <xf numFmtId="0" fontId="0" fillId="0" borderId="18" xfId="0" applyBorder="1"/>
    <xf numFmtId="0" fontId="1" fillId="0" borderId="19" xfId="0" applyFont="1" applyBorder="1"/>
    <xf numFmtId="164" fontId="1" fillId="0" borderId="19" xfId="0" applyNumberFormat="1" applyFont="1" applyBorder="1"/>
    <xf numFmtId="0" fontId="0" fillId="0" borderId="1" xfId="0" applyBorder="1"/>
    <xf numFmtId="0" fontId="13" fillId="0" borderId="13" xfId="0" applyFont="1" applyBorder="1"/>
    <xf numFmtId="164" fontId="12" fillId="0" borderId="2" xfId="0" applyNumberFormat="1" applyFont="1" applyBorder="1"/>
    <xf numFmtId="0" fontId="13" fillId="0" borderId="18" xfId="0" applyFont="1" applyBorder="1"/>
    <xf numFmtId="0" fontId="12" fillId="0" borderId="19" xfId="0" applyFont="1" applyBorder="1"/>
    <xf numFmtId="164" fontId="12" fillId="0" borderId="19" xfId="0" applyNumberFormat="1" applyFont="1" applyBorder="1"/>
    <xf numFmtId="2" fontId="1" fillId="5" borderId="14" xfId="0" applyNumberFormat="1" applyFont="1" applyFill="1" applyBorder="1"/>
    <xf numFmtId="164" fontId="2" fillId="0" borderId="6" xfId="0" applyNumberFormat="1" applyFont="1" applyBorder="1"/>
    <xf numFmtId="164" fontId="2" fillId="0" borderId="8" xfId="0" applyNumberFormat="1" applyFont="1" applyBorder="1"/>
    <xf numFmtId="164" fontId="2" fillId="0" borderId="11" xfId="0" applyNumberFormat="1" applyFont="1" applyBorder="1"/>
    <xf numFmtId="0" fontId="1" fillId="5" borderId="10" xfId="0" applyFont="1" applyFill="1" applyBorder="1"/>
    <xf numFmtId="0" fontId="12" fillId="0" borderId="0" xfId="0" applyFont="1" applyBorder="1"/>
    <xf numFmtId="164" fontId="2" fillId="0" borderId="15" xfId="0" applyNumberFormat="1" applyFont="1" applyBorder="1"/>
    <xf numFmtId="2" fontId="0" fillId="5" borderId="14" xfId="0" applyNumberFormat="1" applyFill="1" applyBorder="1"/>
    <xf numFmtId="2" fontId="0" fillId="5" borderId="10" xfId="0" applyNumberFormat="1" applyFill="1" applyBorder="1"/>
    <xf numFmtId="2" fontId="1" fillId="5" borderId="0" xfId="0" applyNumberFormat="1" applyFont="1" applyFill="1"/>
    <xf numFmtId="166" fontId="1" fillId="0" borderId="0" xfId="0" applyNumberFormat="1" applyFont="1"/>
    <xf numFmtId="166" fontId="2" fillId="0" borderId="0" xfId="0" applyNumberFormat="1" applyFont="1" applyBorder="1"/>
    <xf numFmtId="166" fontId="1" fillId="0" borderId="6" xfId="0" applyNumberFormat="1" applyFont="1" applyBorder="1" applyAlignment="1">
      <alignment horizontal="center" vertical="center" wrapText="1"/>
    </xf>
    <xf numFmtId="166" fontId="5" fillId="0" borderId="16" xfId="0" applyNumberFormat="1" applyFont="1" applyBorder="1" applyAlignment="1">
      <alignment horizontal="center"/>
    </xf>
    <xf numFmtId="166" fontId="0" fillId="0" borderId="0" xfId="0" applyNumberFormat="1"/>
    <xf numFmtId="2" fontId="1" fillId="2" borderId="5" xfId="0" applyNumberFormat="1" applyFont="1" applyFill="1" applyBorder="1"/>
    <xf numFmtId="2" fontId="1" fillId="2" borderId="1" xfId="0" applyNumberFormat="1" applyFont="1" applyFill="1" applyBorder="1"/>
    <xf numFmtId="2" fontId="1" fillId="2" borderId="0" xfId="0" applyNumberFormat="1" applyFont="1" applyFill="1"/>
    <xf numFmtId="2" fontId="1" fillId="2" borderId="10" xfId="0" applyNumberFormat="1" applyFont="1" applyFill="1" applyBorder="1"/>
    <xf numFmtId="167" fontId="13" fillId="0" borderId="0" xfId="0" applyNumberFormat="1" applyFont="1"/>
    <xf numFmtId="0" fontId="1" fillId="2" borderId="0" xfId="0" applyFont="1" applyFill="1"/>
    <xf numFmtId="1" fontId="1" fillId="0" borderId="1" xfId="0" applyNumberFormat="1" applyFont="1" applyBorder="1"/>
    <xf numFmtId="164" fontId="1" fillId="0" borderId="6" xfId="0" applyNumberFormat="1" applyFont="1" applyBorder="1"/>
    <xf numFmtId="164" fontId="1" fillId="0" borderId="8" xfId="0" applyNumberFormat="1" applyFont="1" applyBorder="1"/>
    <xf numFmtId="164" fontId="2" fillId="4" borderId="11" xfId="0" applyNumberFormat="1" applyFont="1" applyFill="1" applyBorder="1"/>
    <xf numFmtId="164" fontId="1" fillId="4" borderId="0" xfId="0" applyNumberFormat="1" applyFont="1" applyFill="1"/>
    <xf numFmtId="164" fontId="2" fillId="2" borderId="11" xfId="0" applyNumberFormat="1" applyFont="1" applyFill="1" applyBorder="1"/>
    <xf numFmtId="164" fontId="2" fillId="3" borderId="11" xfId="0" applyNumberFormat="1" applyFont="1" applyFill="1" applyBorder="1"/>
    <xf numFmtId="164" fontId="2" fillId="0" borderId="16" xfId="0" applyNumberFormat="1" applyFont="1" applyBorder="1"/>
    <xf numFmtId="164" fontId="2" fillId="0" borderId="1" xfId="0" applyNumberFormat="1" applyFont="1" applyBorder="1"/>
    <xf numFmtId="164" fontId="2" fillId="0" borderId="20" xfId="0" applyNumberFormat="1" applyFont="1" applyBorder="1"/>
    <xf numFmtId="164" fontId="2" fillId="0" borderId="14" xfId="0" applyNumberFormat="1" applyFont="1" applyBorder="1"/>
    <xf numFmtId="1" fontId="0" fillId="0" borderId="2" xfId="0" applyNumberFormat="1" applyBorder="1" applyAlignment="1">
      <alignment horizontal="center"/>
    </xf>
    <xf numFmtId="2" fontId="0" fillId="0" borderId="2" xfId="0" applyNumberFormat="1" applyBorder="1"/>
    <xf numFmtId="164" fontId="2" fillId="4" borderId="16" xfId="0" applyNumberFormat="1" applyFont="1" applyFill="1" applyBorder="1"/>
    <xf numFmtId="0" fontId="0" fillId="0" borderId="21" xfId="0" applyBorder="1"/>
    <xf numFmtId="0" fontId="1" fillId="0" borderId="3" xfId="0" applyFont="1" applyBorder="1" applyAlignment="1">
      <alignment wrapText="1"/>
    </xf>
    <xf numFmtId="164" fontId="1" fillId="0" borderId="3" xfId="0" applyNumberFormat="1" applyFont="1" applyBorder="1"/>
    <xf numFmtId="1" fontId="0" fillId="0" borderId="3" xfId="0" applyNumberFormat="1" applyBorder="1" applyAlignment="1">
      <alignment horizontal="center"/>
    </xf>
    <xf numFmtId="2" fontId="0" fillId="0" borderId="3" xfId="0" applyNumberFormat="1" applyBorder="1"/>
    <xf numFmtId="164" fontId="1" fillId="0" borderId="22" xfId="0" applyNumberFormat="1" applyFont="1" applyBorder="1"/>
    <xf numFmtId="164" fontId="2" fillId="4" borderId="6" xfId="0" applyNumberFormat="1" applyFont="1" applyFill="1" applyBorder="1"/>
    <xf numFmtId="0" fontId="1" fillId="6" borderId="5" xfId="0" applyFont="1" applyFill="1" applyBorder="1"/>
    <xf numFmtId="0" fontId="1" fillId="6" borderId="1" xfId="0" applyFont="1" applyFill="1" applyBorder="1"/>
    <xf numFmtId="0" fontId="1" fillId="6" borderId="10" xfId="0" applyFont="1" applyFill="1" applyBorder="1"/>
    <xf numFmtId="0" fontId="1" fillId="6" borderId="14" xfId="0" applyFont="1" applyFill="1" applyBorder="1"/>
    <xf numFmtId="2" fontId="1" fillId="6" borderId="0" xfId="0" applyNumberFormat="1" applyFont="1" applyFill="1"/>
    <xf numFmtId="0" fontId="12" fillId="6" borderId="5" xfId="0" applyFont="1" applyFill="1" applyBorder="1"/>
    <xf numFmtId="0" fontId="12" fillId="6" borderId="2" xfId="0" applyFont="1" applyFill="1" applyBorder="1"/>
    <xf numFmtId="0" fontId="12" fillId="6" borderId="1" xfId="0" applyFont="1" applyFill="1" applyBorder="1"/>
    <xf numFmtId="0" fontId="12" fillId="6" borderId="19" xfId="0" applyFont="1" applyFill="1" applyBorder="1"/>
    <xf numFmtId="0" fontId="12" fillId="6" borderId="0" xfId="0" applyFont="1" applyFill="1" applyBorder="1"/>
    <xf numFmtId="0" fontId="12" fillId="6" borderId="12" xfId="0" applyFont="1" applyFill="1" applyBorder="1"/>
    <xf numFmtId="0" fontId="12" fillId="6" borderId="10" xfId="0" applyFont="1" applyFill="1" applyBorder="1"/>
    <xf numFmtId="167" fontId="13" fillId="6" borderId="5" xfId="0" applyNumberFormat="1" applyFont="1" applyFill="1" applyBorder="1" applyAlignment="1">
      <alignment horizontal="center"/>
    </xf>
    <xf numFmtId="167" fontId="13" fillId="6" borderId="1" xfId="0" applyNumberFormat="1" applyFont="1" applyFill="1" applyBorder="1" applyAlignment="1">
      <alignment horizontal="center"/>
    </xf>
    <xf numFmtId="167" fontId="13" fillId="6" borderId="2" xfId="0" applyNumberFormat="1" applyFont="1" applyFill="1" applyBorder="1" applyAlignment="1">
      <alignment horizontal="center"/>
    </xf>
    <xf numFmtId="167" fontId="13" fillId="6" borderId="19" xfId="0" applyNumberFormat="1" applyFont="1" applyFill="1" applyBorder="1" applyAlignment="1">
      <alignment horizontal="center"/>
    </xf>
    <xf numFmtId="167" fontId="13" fillId="6" borderId="0" xfId="0" applyNumberFormat="1" applyFont="1" applyFill="1" applyBorder="1"/>
    <xf numFmtId="167" fontId="13" fillId="6" borderId="10" xfId="0" applyNumberFormat="1" applyFont="1" applyFill="1" applyBorder="1" applyAlignment="1">
      <alignment horizontal="center"/>
    </xf>
    <xf numFmtId="2" fontId="0" fillId="6" borderId="5" xfId="0" applyNumberFormat="1" applyFill="1" applyBorder="1"/>
    <xf numFmtId="0" fontId="1" fillId="6" borderId="2" xfId="0" applyFont="1" applyFill="1" applyBorder="1"/>
    <xf numFmtId="0" fontId="1" fillId="6" borderId="19" xfId="0" applyFont="1" applyFill="1" applyBorder="1"/>
    <xf numFmtId="1" fontId="1" fillId="0" borderId="0" xfId="0" applyNumberFormat="1" applyFont="1"/>
    <xf numFmtId="2" fontId="0" fillId="6" borderId="1" xfId="0" applyNumberFormat="1" applyFill="1" applyBorder="1"/>
    <xf numFmtId="2" fontId="0" fillId="6" borderId="2" xfId="0" applyNumberFormat="1" applyFill="1" applyBorder="1"/>
    <xf numFmtId="2" fontId="0" fillId="6" borderId="19" xfId="0" applyNumberFormat="1" applyFill="1" applyBorder="1"/>
    <xf numFmtId="2" fontId="0" fillId="6" borderId="10" xfId="0" applyNumberFormat="1" applyFill="1" applyBorder="1"/>
    <xf numFmtId="0" fontId="6" fillId="6" borderId="0" xfId="0" applyFont="1" applyFill="1" applyAlignment="1">
      <alignment horizontal="left" wrapText="1"/>
    </xf>
    <xf numFmtId="0" fontId="1" fillId="6" borderId="0" xfId="0" applyFont="1" applyFill="1"/>
    <xf numFmtId="0" fontId="1" fillId="6" borderId="5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/>
    </xf>
    <xf numFmtId="0" fontId="1" fillId="6" borderId="3" xfId="0" applyFont="1" applyFill="1" applyBorder="1"/>
    <xf numFmtId="0" fontId="1" fillId="6" borderId="0" xfId="0" applyFont="1" applyFill="1" applyBorder="1"/>
    <xf numFmtId="0" fontId="1" fillId="6" borderId="0" xfId="0" applyFont="1" applyFill="1" applyAlignment="1">
      <alignment wrapText="1"/>
    </xf>
    <xf numFmtId="165" fontId="1" fillId="6" borderId="0" xfId="0" applyNumberFormat="1" applyFont="1" applyFill="1"/>
    <xf numFmtId="2" fontId="0" fillId="6" borderId="0" xfId="0" applyNumberFormat="1" applyFill="1" applyBorder="1"/>
    <xf numFmtId="0" fontId="12" fillId="6" borderId="0" xfId="0" applyFont="1" applyFill="1"/>
    <xf numFmtId="0" fontId="12" fillId="6" borderId="0" xfId="0" applyFont="1" applyFill="1" applyBorder="1" applyAlignment="1">
      <alignment horizontal="center" vertical="center" wrapText="1"/>
    </xf>
    <xf numFmtId="0" fontId="12" fillId="6" borderId="0" xfId="0" applyFont="1" applyFill="1" applyAlignment="1">
      <alignment wrapText="1"/>
    </xf>
    <xf numFmtId="0" fontId="16" fillId="6" borderId="0" xfId="0" applyFont="1" applyFill="1" applyBorder="1" applyAlignment="1">
      <alignment horizontal="center"/>
    </xf>
    <xf numFmtId="166" fontId="17" fillId="6" borderId="0" xfId="0" applyNumberFormat="1" applyFont="1" applyFill="1" applyBorder="1"/>
    <xf numFmtId="166" fontId="12" fillId="6" borderId="0" xfId="0" applyNumberFormat="1" applyFont="1" applyFill="1" applyBorder="1"/>
    <xf numFmtId="166" fontId="1" fillId="6" borderId="0" xfId="0" applyNumberFormat="1" applyFont="1" applyFill="1"/>
    <xf numFmtId="0" fontId="18" fillId="0" borderId="0" xfId="0" applyFont="1" applyAlignment="1">
      <alignment horizontal="left" wrapText="1"/>
    </xf>
    <xf numFmtId="0" fontId="6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79998168889431442"/>
  </sheetPr>
  <dimension ref="A1:T98"/>
  <sheetViews>
    <sheetView topLeftCell="A64" zoomScale="110" zoomScaleNormal="110" workbookViewId="0">
      <selection activeCell="N89" sqref="N89"/>
    </sheetView>
  </sheetViews>
  <sheetFormatPr defaultRowHeight="15" outlineLevelRow="1"/>
  <cols>
    <col min="1" max="1" width="13" customWidth="1"/>
    <col min="2" max="2" width="35.5703125" style="1" customWidth="1"/>
    <col min="3" max="3" width="7.85546875" style="1" customWidth="1"/>
    <col min="4" max="4" width="10.28515625" style="1" customWidth="1"/>
    <col min="5" max="5" width="7.28515625" style="1" customWidth="1"/>
    <col min="6" max="6" width="8.85546875" style="1" customWidth="1"/>
    <col min="7" max="7" width="12.5703125" customWidth="1"/>
    <col min="8" max="8" width="10.42578125" customWidth="1"/>
    <col min="9" max="9" width="7.85546875" style="1" customWidth="1"/>
    <col min="10" max="10" width="12.5703125" style="1" customWidth="1"/>
    <col min="11" max="11" width="13.85546875" style="1" customWidth="1"/>
    <col min="12" max="12" width="14" style="1" customWidth="1"/>
    <col min="13" max="13" width="5.140625" style="1" customWidth="1"/>
    <col min="14" max="14" width="14.140625" style="1" customWidth="1"/>
    <col min="15" max="15" width="11.7109375" style="1" customWidth="1"/>
    <col min="16" max="20" width="9.140625" style="1"/>
  </cols>
  <sheetData>
    <row r="1" spans="1:14" ht="19.5">
      <c r="A1" s="55" t="s">
        <v>0</v>
      </c>
      <c r="B1" s="54"/>
      <c r="C1" s="54"/>
      <c r="D1" s="54"/>
      <c r="E1" s="54"/>
      <c r="F1" s="54"/>
      <c r="G1" s="54"/>
      <c r="H1" s="54"/>
      <c r="I1" s="54"/>
      <c r="J1" s="54"/>
    </row>
    <row r="2" spans="1:14" ht="9" customHeight="1">
      <c r="A2" s="54"/>
      <c r="B2" s="54"/>
      <c r="C2" s="54"/>
      <c r="D2" s="54"/>
      <c r="E2" s="54"/>
      <c r="F2" s="54"/>
      <c r="G2" s="54"/>
      <c r="H2" s="54"/>
      <c r="I2" s="54"/>
      <c r="J2" s="54"/>
    </row>
    <row r="3" spans="1:14" ht="18.75">
      <c r="A3" s="31" t="s">
        <v>34</v>
      </c>
    </row>
    <row r="4" spans="1:14">
      <c r="I4" s="50" t="s">
        <v>31</v>
      </c>
    </row>
    <row r="5" spans="1:14" ht="127.5" customHeight="1">
      <c r="A5" s="4" t="s">
        <v>3</v>
      </c>
      <c r="B5" s="4" t="s">
        <v>28</v>
      </c>
      <c r="C5" s="4" t="s">
        <v>1</v>
      </c>
      <c r="D5" s="4" t="s">
        <v>12</v>
      </c>
      <c r="E5" s="4" t="s">
        <v>53</v>
      </c>
      <c r="F5" s="4" t="s">
        <v>2</v>
      </c>
      <c r="G5" s="4" t="s">
        <v>4</v>
      </c>
      <c r="H5" s="4" t="s">
        <v>6</v>
      </c>
      <c r="I5" s="4" t="s">
        <v>8</v>
      </c>
      <c r="J5" s="4" t="s">
        <v>10</v>
      </c>
      <c r="K5" s="2" t="s">
        <v>45</v>
      </c>
      <c r="L5" s="2" t="s">
        <v>46</v>
      </c>
      <c r="M5" s="2"/>
    </row>
    <row r="6" spans="1:14" ht="15.75" thickBot="1">
      <c r="A6" s="8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 t="s">
        <v>5</v>
      </c>
      <c r="H6" s="8" t="s">
        <v>7</v>
      </c>
      <c r="I6" s="9" t="s">
        <v>9</v>
      </c>
      <c r="J6" s="9" t="s">
        <v>11</v>
      </c>
    </row>
    <row r="7" spans="1:14" ht="17.25" customHeight="1">
      <c r="A7" s="11" t="s">
        <v>35</v>
      </c>
      <c r="B7" s="51" t="s">
        <v>47</v>
      </c>
      <c r="C7" s="109">
        <f>4+51.29+20.73+3-5-1</f>
        <v>73.02</v>
      </c>
      <c r="D7" s="46">
        <v>8566.44031</v>
      </c>
      <c r="E7" s="136">
        <v>182</v>
      </c>
      <c r="F7" s="5">
        <v>1979</v>
      </c>
      <c r="G7" s="13">
        <f>C7*F7</f>
        <v>144506.57999999999</v>
      </c>
      <c r="H7" s="13">
        <f>G7/E7</f>
        <v>793.99219780219778</v>
      </c>
      <c r="I7" s="7">
        <f>D7*12*1.302/1979</f>
        <v>67.631158869853465</v>
      </c>
      <c r="J7" s="95">
        <f>I7*H7</f>
        <v>53698.612470984554</v>
      </c>
      <c r="K7" s="140">
        <f>J7*E7</f>
        <v>9773147.4697191883</v>
      </c>
      <c r="L7" s="140">
        <f>(21311400+3437700-316231.32)*40%</f>
        <v>9773147.472000001</v>
      </c>
      <c r="M7" s="3">
        <f>L7-K7</f>
        <v>2.2808127105236053E-3</v>
      </c>
      <c r="N7" s="35">
        <f>L7/12/1.302/C7</f>
        <v>8566.4403119991966</v>
      </c>
    </row>
    <row r="8" spans="1:14">
      <c r="A8" s="14" t="s">
        <v>36</v>
      </c>
      <c r="B8" s="5" t="s">
        <v>47</v>
      </c>
      <c r="C8" s="110">
        <f>4.5+67.15+3.5-4.5</f>
        <v>70.650000000000006</v>
      </c>
      <c r="D8" s="7">
        <v>10580.883519999999</v>
      </c>
      <c r="E8" s="137">
        <v>306</v>
      </c>
      <c r="F8" s="5">
        <v>1979</v>
      </c>
      <c r="G8" s="6">
        <f>C8*F8</f>
        <v>139816.35</v>
      </c>
      <c r="H8" s="6">
        <f>G8/E8</f>
        <v>456.91617647058825</v>
      </c>
      <c r="I8" s="7">
        <f t="shared" ref="I8:I17" si="0">D8*12*1.302/1979</f>
        <v>83.534979341323904</v>
      </c>
      <c r="J8" s="96">
        <f>I8*H8</f>
        <v>38168.483362187297</v>
      </c>
      <c r="K8" s="140">
        <f>J8*E8</f>
        <v>11679555.908829313</v>
      </c>
      <c r="L8" s="140">
        <f>(4707600+16561598+5001602-316231.32)*0.45</f>
        <v>11679555.905999999</v>
      </c>
      <c r="M8" s="3">
        <f t="shared" ref="M8:M17" si="1">L8-K8</f>
        <v>-2.8293132781982422E-3</v>
      </c>
      <c r="N8" s="35">
        <f t="shared" ref="N8:N17" si="2">L8/12/1.302/C8</f>
        <v>10580.883517436834</v>
      </c>
    </row>
    <row r="9" spans="1:14">
      <c r="A9" s="14" t="s">
        <v>37</v>
      </c>
      <c r="B9" s="5" t="s">
        <v>47</v>
      </c>
      <c r="C9" s="110">
        <f>4+58.67+2.75+3+37.77-4+6-2.5-10.35</f>
        <v>95.34</v>
      </c>
      <c r="D9" s="7">
        <v>9172.4169899999997</v>
      </c>
      <c r="E9" s="137">
        <v>252</v>
      </c>
      <c r="F9" s="5">
        <v>1979</v>
      </c>
      <c r="G9" s="6">
        <f t="shared" ref="G9" si="3">C9*F9</f>
        <v>188677.86000000002</v>
      </c>
      <c r="H9" s="6">
        <f t="shared" ref="H9" si="4">G9/E9</f>
        <v>748.72166666666669</v>
      </c>
      <c r="I9" s="7">
        <f t="shared" si="0"/>
        <v>72.415281986740794</v>
      </c>
      <c r="J9" s="96">
        <f t="shared" ref="J9" si="5">I9*H9</f>
        <v>54218.890621249215</v>
      </c>
      <c r="K9" s="140">
        <f t="shared" ref="K9:K17" si="6">J9*E9</f>
        <v>13663160.436554803</v>
      </c>
      <c r="L9" s="140">
        <f>(5312100+20255760+6117240-632462.64)*0.44</f>
        <v>13663160.4384</v>
      </c>
      <c r="M9" s="3">
        <f t="shared" si="1"/>
        <v>1.8451977521181107E-3</v>
      </c>
      <c r="N9" s="35">
        <f t="shared" si="2"/>
        <v>9172.4169912387297</v>
      </c>
    </row>
    <row r="10" spans="1:14">
      <c r="A10" s="14" t="s">
        <v>40</v>
      </c>
      <c r="B10" s="5" t="s">
        <v>47</v>
      </c>
      <c r="C10" s="110">
        <f>7+96.1-7+6</f>
        <v>102.1</v>
      </c>
      <c r="D10" s="7">
        <v>9168.5160500000002</v>
      </c>
      <c r="E10" s="137">
        <v>403</v>
      </c>
      <c r="F10" s="5">
        <v>1979</v>
      </c>
      <c r="G10" s="6">
        <f t="shared" ref="G10:G17" si="7">C10*F10</f>
        <v>202055.9</v>
      </c>
      <c r="H10" s="6">
        <f t="shared" ref="H10:H17" si="8">G10/E10</f>
        <v>501.37940446650123</v>
      </c>
      <c r="I10" s="7">
        <f t="shared" si="0"/>
        <v>72.384484469530065</v>
      </c>
      <c r="J10" s="96">
        <f t="shared" ref="J10:J17" si="9">I10*H10</f>
        <v>36292.089715947688</v>
      </c>
      <c r="K10" s="140">
        <f t="shared" si="6"/>
        <v>14625712.155526917</v>
      </c>
      <c r="L10" s="140">
        <f>(7202100+22109524+6677076-316231.32)*0.41</f>
        <v>14625712.158799998</v>
      </c>
      <c r="M10" s="3">
        <f t="shared" si="1"/>
        <v>3.2730810344219208E-3</v>
      </c>
      <c r="N10" s="35">
        <f t="shared" si="2"/>
        <v>9168.5160520518166</v>
      </c>
    </row>
    <row r="11" spans="1:14" ht="15.75" thickBot="1">
      <c r="A11" s="15" t="s">
        <v>41</v>
      </c>
      <c r="B11" s="16" t="s">
        <v>47</v>
      </c>
      <c r="C11" s="112">
        <f>4+55.6-8+5</f>
        <v>56.6</v>
      </c>
      <c r="D11" s="47">
        <v>11239.56092</v>
      </c>
      <c r="E11" s="138">
        <v>267</v>
      </c>
      <c r="F11" s="5">
        <v>1979</v>
      </c>
      <c r="G11" s="17">
        <f t="shared" si="7"/>
        <v>112011.40000000001</v>
      </c>
      <c r="H11" s="17">
        <f t="shared" si="8"/>
        <v>419.51835205992512</v>
      </c>
      <c r="I11" s="7">
        <f t="shared" si="0"/>
        <v>88.735169183466382</v>
      </c>
      <c r="J11" s="97">
        <f t="shared" si="9"/>
        <v>37226.031945606468</v>
      </c>
      <c r="K11" s="140">
        <f t="shared" si="6"/>
        <v>9939350.5294769276</v>
      </c>
      <c r="L11" s="140">
        <f>(4585800+14474040+4371160-316231.32)*0.43</f>
        <v>9939350.532399999</v>
      </c>
      <c r="M11" s="3">
        <f t="shared" si="1"/>
        <v>2.9230713844299316E-3</v>
      </c>
      <c r="N11" s="35">
        <f t="shared" si="2"/>
        <v>11239.560923305451</v>
      </c>
    </row>
    <row r="12" spans="1:14" ht="8.25" customHeight="1" thickBot="1">
      <c r="A12" s="48"/>
      <c r="B12" s="32"/>
      <c r="C12" s="34"/>
      <c r="D12" s="34"/>
      <c r="E12" s="139"/>
      <c r="F12" s="5">
        <v>1979</v>
      </c>
      <c r="G12" s="33"/>
      <c r="H12" s="33"/>
      <c r="I12" s="7">
        <f t="shared" si="0"/>
        <v>0</v>
      </c>
      <c r="J12" s="100"/>
      <c r="K12" s="3"/>
      <c r="L12" s="3"/>
      <c r="M12" s="3"/>
      <c r="N12" s="35"/>
    </row>
    <row r="13" spans="1:14">
      <c r="A13" s="11" t="s">
        <v>39</v>
      </c>
      <c r="B13" s="12" t="s">
        <v>47</v>
      </c>
      <c r="C13" s="109">
        <f>6+103.35+6.5-6-1</f>
        <v>108.85</v>
      </c>
      <c r="D13" s="46">
        <v>10158.291639999999</v>
      </c>
      <c r="E13" s="136">
        <v>407</v>
      </c>
      <c r="F13" s="5">
        <v>1979</v>
      </c>
      <c r="G13" s="13">
        <f>C13*F13</f>
        <v>215414.15</v>
      </c>
      <c r="H13" s="13">
        <f>G13/E13</f>
        <v>529.27309582309579</v>
      </c>
      <c r="I13" s="7">
        <f t="shared" si="0"/>
        <v>80.198660224032338</v>
      </c>
      <c r="J13" s="95">
        <f>I13*H13</f>
        <v>42446.993177638171</v>
      </c>
      <c r="K13" s="140">
        <f>J13*E13</f>
        <v>17275926.223298736</v>
      </c>
      <c r="L13" s="140">
        <f>(6752000+25213287+7614413-316231.32)*0.44</f>
        <v>17275926.2192</v>
      </c>
      <c r="M13" s="3">
        <f>L13-K13</f>
        <v>-4.0987357497215271E-3</v>
      </c>
      <c r="N13" s="35">
        <f>L13/12/1.302/C13</f>
        <v>10158.291637589933</v>
      </c>
    </row>
    <row r="14" spans="1:14" ht="15.75" thickBot="1">
      <c r="A14" s="15" t="s">
        <v>58</v>
      </c>
      <c r="B14" s="16" t="s">
        <v>47</v>
      </c>
      <c r="C14" s="112">
        <f>7+99.52-7+7</f>
        <v>106.52</v>
      </c>
      <c r="D14" s="47">
        <v>9052.3123799999994</v>
      </c>
      <c r="E14" s="138">
        <v>412</v>
      </c>
      <c r="F14" s="5">
        <v>1979</v>
      </c>
      <c r="G14" s="17">
        <f t="shared" si="7"/>
        <v>210803.08</v>
      </c>
      <c r="H14" s="17">
        <f t="shared" si="8"/>
        <v>511.6579611650485</v>
      </c>
      <c r="I14" s="7">
        <f t="shared" si="0"/>
        <v>71.46706853214755</v>
      </c>
      <c r="J14" s="97">
        <f t="shared" si="9"/>
        <v>36566.69457560141</v>
      </c>
      <c r="K14" s="140">
        <f t="shared" si="6"/>
        <v>15065478.165147781</v>
      </c>
      <c r="L14" s="140">
        <f>(7813500+22463748+6784052-316231.32)*0.41</f>
        <v>15065478.158799998</v>
      </c>
      <c r="M14" s="3">
        <f t="shared" si="1"/>
        <v>-6.3477829098701477E-3</v>
      </c>
      <c r="N14" s="35">
        <f t="shared" si="2"/>
        <v>9052.3123761858405</v>
      </c>
    </row>
    <row r="15" spans="1:14" ht="9.75" customHeight="1" thickBot="1">
      <c r="A15" s="48"/>
      <c r="B15" s="32"/>
      <c r="C15" s="34"/>
      <c r="D15" s="34"/>
      <c r="E15" s="139"/>
      <c r="F15" s="5">
        <v>1979</v>
      </c>
      <c r="G15" s="33"/>
      <c r="H15" s="33"/>
      <c r="I15" s="7">
        <f t="shared" si="0"/>
        <v>0</v>
      </c>
      <c r="J15" s="100"/>
      <c r="K15" s="3"/>
      <c r="L15" s="3"/>
      <c r="M15" s="3"/>
      <c r="N15" s="35"/>
    </row>
    <row r="16" spans="1:14">
      <c r="A16" s="11" t="s">
        <v>38</v>
      </c>
      <c r="B16" s="12" t="s">
        <v>47</v>
      </c>
      <c r="C16" s="109">
        <f>2+35.06+1.5-3-0.5</f>
        <v>35.06</v>
      </c>
      <c r="D16" s="46">
        <v>11729.26771</v>
      </c>
      <c r="E16" s="136">
        <v>137</v>
      </c>
      <c r="F16" s="5">
        <v>1979</v>
      </c>
      <c r="G16" s="13">
        <f t="shared" si="7"/>
        <v>69383.740000000005</v>
      </c>
      <c r="H16" s="13">
        <f t="shared" si="8"/>
        <v>506.45065693430661</v>
      </c>
      <c r="I16" s="7">
        <f t="shared" si="0"/>
        <v>92.601353562930782</v>
      </c>
      <c r="J16" s="95">
        <f t="shared" si="9"/>
        <v>46898.016344952288</v>
      </c>
      <c r="K16" s="140">
        <f t="shared" si="6"/>
        <v>6425028.2392584635</v>
      </c>
      <c r="L16" s="140">
        <f>(2124000+8986329+2713871-153927.15)*0.47</f>
        <v>6425028.2394999992</v>
      </c>
      <c r="M16" s="3">
        <f t="shared" si="1"/>
        <v>2.4153571575880051E-4</v>
      </c>
      <c r="N16" s="35">
        <f t="shared" si="2"/>
        <v>11729.267710440938</v>
      </c>
    </row>
    <row r="17" spans="1:14" ht="15.75" thickBot="1">
      <c r="A17" s="15" t="s">
        <v>42</v>
      </c>
      <c r="B17" s="16" t="s">
        <v>47</v>
      </c>
      <c r="C17" s="112">
        <f>2.5+28.03-3.5+2</f>
        <v>29.03</v>
      </c>
      <c r="D17" s="47">
        <v>10355.109619999999</v>
      </c>
      <c r="E17" s="138">
        <v>112</v>
      </c>
      <c r="F17" s="5">
        <v>1979</v>
      </c>
      <c r="G17" s="17">
        <f t="shared" si="7"/>
        <v>57450.37</v>
      </c>
      <c r="H17" s="17">
        <f t="shared" si="8"/>
        <v>512.94973214285721</v>
      </c>
      <c r="I17" s="7">
        <f t="shared" si="0"/>
        <v>81.752517788216267</v>
      </c>
      <c r="J17" s="97">
        <f t="shared" si="9"/>
        <v>41934.932101469705</v>
      </c>
      <c r="K17" s="140">
        <f t="shared" si="6"/>
        <v>4696712.3953646068</v>
      </c>
      <c r="L17" s="140">
        <f>(2120500+6304762+1904038-119055.66)*0.46</f>
        <v>4696712.3964</v>
      </c>
      <c r="M17" s="3">
        <f t="shared" si="1"/>
        <v>1.0353932157158852E-3</v>
      </c>
      <c r="N17" s="35">
        <f t="shared" si="2"/>
        <v>10355.109622282791</v>
      </c>
    </row>
    <row r="18" spans="1:14" ht="12.75" customHeight="1">
      <c r="E18" s="1">
        <f>SUM(E7:E17)</f>
        <v>2478</v>
      </c>
    </row>
    <row r="19" spans="1:14" ht="18.75">
      <c r="A19" s="31" t="s">
        <v>43</v>
      </c>
    </row>
    <row r="20" spans="1:14">
      <c r="I20" s="50" t="s">
        <v>31</v>
      </c>
    </row>
    <row r="21" spans="1:14" ht="127.5" customHeight="1">
      <c r="A21" s="4" t="s">
        <v>3</v>
      </c>
      <c r="B21" s="4" t="s">
        <v>28</v>
      </c>
      <c r="C21" s="4" t="s">
        <v>1</v>
      </c>
      <c r="D21" s="4" t="s">
        <v>12</v>
      </c>
      <c r="E21" s="4" t="s">
        <v>53</v>
      </c>
      <c r="F21" s="4" t="s">
        <v>2</v>
      </c>
      <c r="G21" s="4" t="s">
        <v>4</v>
      </c>
      <c r="H21" s="4" t="s">
        <v>6</v>
      </c>
      <c r="I21" s="4" t="s">
        <v>8</v>
      </c>
      <c r="J21" s="4" t="s">
        <v>10</v>
      </c>
      <c r="K21" s="2"/>
      <c r="L21" s="2"/>
      <c r="M21" s="2"/>
    </row>
    <row r="22" spans="1:14" ht="15.75" thickBot="1">
      <c r="A22" s="8">
        <v>1</v>
      </c>
      <c r="B22" s="9">
        <v>2</v>
      </c>
      <c r="C22" s="9">
        <v>3</v>
      </c>
      <c r="D22" s="9">
        <v>4</v>
      </c>
      <c r="E22" s="9">
        <v>5</v>
      </c>
      <c r="F22" s="9">
        <v>6</v>
      </c>
      <c r="G22" s="9" t="s">
        <v>5</v>
      </c>
      <c r="H22" s="8" t="s">
        <v>7</v>
      </c>
      <c r="I22" s="9" t="s">
        <v>9</v>
      </c>
      <c r="J22" s="9" t="s">
        <v>11</v>
      </c>
    </row>
    <row r="23" spans="1:14" ht="17.25" customHeight="1">
      <c r="A23" s="11" t="s">
        <v>35</v>
      </c>
      <c r="B23" s="51" t="s">
        <v>47</v>
      </c>
      <c r="C23" s="109">
        <f>4+51.29+20.73+3-5-1</f>
        <v>73.02</v>
      </c>
      <c r="D23" s="46">
        <v>10493.889380000001</v>
      </c>
      <c r="E23" s="136">
        <v>221</v>
      </c>
      <c r="F23" s="51">
        <v>1979</v>
      </c>
      <c r="G23" s="13">
        <f>C23*F23</f>
        <v>144506.57999999999</v>
      </c>
      <c r="H23" s="13">
        <f>G23/E23</f>
        <v>653.87592760180985</v>
      </c>
      <c r="I23" s="7">
        <f>D23*12*1.302/1979</f>
        <v>82.848169617544229</v>
      </c>
      <c r="J23" s="95">
        <f>I23*H23</f>
        <v>54172.423758783814</v>
      </c>
      <c r="K23" s="140">
        <f>J23*E23</f>
        <v>11972105.650691222</v>
      </c>
      <c r="L23" s="140">
        <f>(21311400+3437700-316231.32)*49%</f>
        <v>11972105.653200001</v>
      </c>
      <c r="M23" s="3">
        <f>L23-K23</f>
        <v>2.5087781250476837E-3</v>
      </c>
      <c r="N23" s="35">
        <f>L23/12/1.302/C23</f>
        <v>10493.889382199015</v>
      </c>
    </row>
    <row r="24" spans="1:14">
      <c r="A24" s="14" t="s">
        <v>36</v>
      </c>
      <c r="B24" s="5" t="s">
        <v>47</v>
      </c>
      <c r="C24" s="110">
        <f>4.5+67.15+3.5-4.5</f>
        <v>70.650000000000006</v>
      </c>
      <c r="D24" s="7">
        <v>11521.406499999999</v>
      </c>
      <c r="E24" s="137">
        <v>328</v>
      </c>
      <c r="F24" s="5">
        <v>1979</v>
      </c>
      <c r="G24" s="6">
        <f>C24*F24</f>
        <v>139816.35</v>
      </c>
      <c r="H24" s="6">
        <f>G24/E24</f>
        <v>426.26935975609757</v>
      </c>
      <c r="I24" s="7">
        <f t="shared" ref="I24:I33" si="10">D24*12*1.302/1979</f>
        <v>90.960310841839316</v>
      </c>
      <c r="J24" s="96">
        <f>I24*H24</f>
        <v>38773.593465766469</v>
      </c>
      <c r="K24" s="140">
        <f>J24*E24</f>
        <v>12717738.656771403</v>
      </c>
      <c r="L24" s="140">
        <f>(4707600+16561598+5001602-316231.32)*0.49</f>
        <v>12717738.653200001</v>
      </c>
      <c r="M24" s="3">
        <f t="shared" ref="M24:M27" si="11">L24-K24</f>
        <v>-3.5714022815227509E-3</v>
      </c>
      <c r="N24" s="35">
        <f t="shared" ref="N24:N27" si="12">L24/12/1.302/C24</f>
        <v>11521.406496764555</v>
      </c>
    </row>
    <row r="25" spans="1:14">
      <c r="A25" s="14" t="s">
        <v>37</v>
      </c>
      <c r="B25" s="5" t="s">
        <v>47</v>
      </c>
      <c r="C25" s="110">
        <f>4+58.67+2.75+3+37.77-4+6-2.5-10.35</f>
        <v>95.34</v>
      </c>
      <c r="D25" s="7">
        <v>10214.7371</v>
      </c>
      <c r="E25" s="137">
        <v>285</v>
      </c>
      <c r="F25" s="5">
        <v>1979</v>
      </c>
      <c r="G25" s="6">
        <f t="shared" ref="G25:G27" si="13">C25*F25</f>
        <v>188677.86000000002</v>
      </c>
      <c r="H25" s="6">
        <f t="shared" ref="H25:H27" si="14">G25/E25</f>
        <v>662.02757894736851</v>
      </c>
      <c r="I25" s="7">
        <f t="shared" si="10"/>
        <v>80.644291283678641</v>
      </c>
      <c r="J25" s="96">
        <f t="shared" ref="J25:J27" si="15">I25*H25</f>
        <v>53388.744914460141</v>
      </c>
      <c r="K25" s="140">
        <f t="shared" ref="K25:K27" si="16">J25*E25</f>
        <v>15215792.300621141</v>
      </c>
      <c r="L25" s="140">
        <f>(5312100+20255760+6117240-632462.64)*0.49</f>
        <v>15215792.306399999</v>
      </c>
      <c r="M25" s="3">
        <f t="shared" si="11"/>
        <v>5.7788584381341934E-3</v>
      </c>
      <c r="N25" s="35">
        <f t="shared" si="12"/>
        <v>10214.737103879494</v>
      </c>
    </row>
    <row r="26" spans="1:14">
      <c r="A26" s="14" t="s">
        <v>40</v>
      </c>
      <c r="B26" s="5" t="s">
        <v>47</v>
      </c>
      <c r="C26" s="110">
        <f>7+96.1-7+6</f>
        <v>102.1</v>
      </c>
      <c r="D26" s="7">
        <v>10957.494790000001</v>
      </c>
      <c r="E26" s="137">
        <v>481</v>
      </c>
      <c r="F26" s="5">
        <v>1979</v>
      </c>
      <c r="G26" s="6">
        <f t="shared" si="13"/>
        <v>202055.9</v>
      </c>
      <c r="H26" s="6">
        <f t="shared" si="14"/>
        <v>420.07463617463617</v>
      </c>
      <c r="I26" s="7">
        <f t="shared" si="10"/>
        <v>86.508286305689765</v>
      </c>
      <c r="J26" s="96">
        <f t="shared" si="15"/>
        <v>36339.936895953892</v>
      </c>
      <c r="K26" s="140">
        <f t="shared" si="16"/>
        <v>17479509.646953821</v>
      </c>
      <c r="L26" s="140">
        <f>(7202100+22109524+6677076-316231.32)*0.49</f>
        <v>17479509.653200001</v>
      </c>
      <c r="M26" s="3">
        <f t="shared" si="11"/>
        <v>6.2461793422698975E-3</v>
      </c>
      <c r="N26" s="35">
        <f t="shared" si="12"/>
        <v>10957.494793915588</v>
      </c>
    </row>
    <row r="27" spans="1:14" ht="15.75" thickBot="1">
      <c r="A27" s="15" t="s">
        <v>41</v>
      </c>
      <c r="B27" s="16" t="s">
        <v>47</v>
      </c>
      <c r="C27" s="112">
        <f>4+55.6-8+5</f>
        <v>56.6</v>
      </c>
      <c r="D27" s="47">
        <v>12807.87175</v>
      </c>
      <c r="E27" s="138">
        <v>302</v>
      </c>
      <c r="F27" s="5">
        <v>1979</v>
      </c>
      <c r="G27" s="17">
        <f t="shared" si="13"/>
        <v>112011.40000000001</v>
      </c>
      <c r="H27" s="17">
        <f t="shared" si="14"/>
        <v>370.89867549668878</v>
      </c>
      <c r="I27" s="7">
        <f t="shared" si="10"/>
        <v>101.11682072865085</v>
      </c>
      <c r="J27" s="97">
        <f t="shared" si="15"/>
        <v>37504.094878692726</v>
      </c>
      <c r="K27" s="140">
        <f t="shared" si="16"/>
        <v>11326236.653365202</v>
      </c>
      <c r="L27" s="140">
        <f>(4585800+14474040+4371160-316231.32)*0.49</f>
        <v>11326236.653200001</v>
      </c>
      <c r="M27" s="3">
        <f t="shared" si="11"/>
        <v>-1.6520172357559204E-4</v>
      </c>
      <c r="N27" s="35">
        <f t="shared" si="12"/>
        <v>12807.871749813188</v>
      </c>
    </row>
    <row r="28" spans="1:14" ht="12" customHeight="1" thickBot="1">
      <c r="A28" s="48"/>
      <c r="B28" s="32"/>
      <c r="C28" s="34"/>
      <c r="D28" s="34"/>
      <c r="E28" s="139"/>
      <c r="F28" s="5">
        <v>1979</v>
      </c>
      <c r="G28" s="33"/>
      <c r="H28" s="33"/>
      <c r="I28" s="7">
        <f t="shared" si="10"/>
        <v>0</v>
      </c>
      <c r="J28" s="100"/>
      <c r="K28" s="3"/>
      <c r="L28" s="3"/>
      <c r="M28" s="3"/>
      <c r="N28" s="35"/>
    </row>
    <row r="29" spans="1:14">
      <c r="A29" s="11" t="s">
        <v>39</v>
      </c>
      <c r="B29" s="12" t="s">
        <v>47</v>
      </c>
      <c r="C29" s="109">
        <f>6+103.35+6.5-6-1</f>
        <v>108.85</v>
      </c>
      <c r="D29" s="46">
        <v>10389.161899999999</v>
      </c>
      <c r="E29" s="136">
        <v>418</v>
      </c>
      <c r="F29" s="5">
        <v>1979</v>
      </c>
      <c r="G29" s="13">
        <f>C29*F29</f>
        <v>215414.15</v>
      </c>
      <c r="H29" s="13">
        <f>G29/E29</f>
        <v>515.34485645933012</v>
      </c>
      <c r="I29" s="7">
        <f t="shared" si="10"/>
        <v>82.021357011419909</v>
      </c>
      <c r="J29" s="95">
        <f>I29*H29</f>
        <v>42269.284455649664</v>
      </c>
      <c r="K29" s="140">
        <f>J29*E29</f>
        <v>17668560.902461559</v>
      </c>
      <c r="L29" s="140">
        <f>(6752000+25213287+7614413-316231.32)*0.45</f>
        <v>17668560.905999999</v>
      </c>
      <c r="M29" s="3">
        <f>L29-K29</f>
        <v>3.5384409129619598E-3</v>
      </c>
      <c r="N29" s="35">
        <f>L29/12/1.302/C29</f>
        <v>10389.161902080612</v>
      </c>
    </row>
    <row r="30" spans="1:14" ht="15.75" thickBot="1">
      <c r="A30" s="15" t="s">
        <v>58</v>
      </c>
      <c r="B30" s="16" t="s">
        <v>47</v>
      </c>
      <c r="C30" s="112">
        <f>7+99.52-7+7</f>
        <v>106.52</v>
      </c>
      <c r="D30" s="47">
        <v>10377.041020000001</v>
      </c>
      <c r="E30" s="138">
        <v>464</v>
      </c>
      <c r="F30" s="5">
        <v>1979</v>
      </c>
      <c r="G30" s="17">
        <f t="shared" ref="G30" si="17">C30*F30</f>
        <v>210803.08</v>
      </c>
      <c r="H30" s="17">
        <f t="shared" ref="H30" si="18">G30/E30</f>
        <v>454.31698275862067</v>
      </c>
      <c r="I30" s="7">
        <f t="shared" si="10"/>
        <v>81.925663919393642</v>
      </c>
      <c r="J30" s="97">
        <f t="shared" ref="J30" si="19">I30*H30</f>
        <v>37220.220442355712</v>
      </c>
      <c r="K30" s="140">
        <f t="shared" ref="K30" si="20">J30*E30</f>
        <v>17270182.285253052</v>
      </c>
      <c r="L30" s="140">
        <f>(7813500+22463748+6784052-316231.32)*0.47</f>
        <v>17270182.279599998</v>
      </c>
      <c r="M30" s="3">
        <f t="shared" ref="M30" si="21">L30-K30</f>
        <v>-5.6530535221099854E-3</v>
      </c>
      <c r="N30" s="35">
        <f t="shared" ref="N30" si="22">L30/12/1.302/C30</f>
        <v>10377.041016603282</v>
      </c>
    </row>
    <row r="31" spans="1:14" ht="9.75" customHeight="1" thickBot="1">
      <c r="A31" s="48"/>
      <c r="B31" s="32"/>
      <c r="C31" s="34"/>
      <c r="D31" s="34"/>
      <c r="E31" s="139"/>
      <c r="F31" s="5">
        <v>1979</v>
      </c>
      <c r="G31" s="33"/>
      <c r="H31" s="33"/>
      <c r="I31" s="7">
        <f t="shared" si="10"/>
        <v>0</v>
      </c>
      <c r="J31" s="100"/>
      <c r="K31" s="3"/>
      <c r="L31" s="3"/>
      <c r="M31" s="3"/>
      <c r="N31" s="35"/>
    </row>
    <row r="32" spans="1:14">
      <c r="A32" s="11" t="s">
        <v>38</v>
      </c>
      <c r="B32" s="12" t="s">
        <v>47</v>
      </c>
      <c r="C32" s="109">
        <f>2+35.06+1.5-3-0.5</f>
        <v>35.06</v>
      </c>
      <c r="D32" s="46">
        <v>10231.91439</v>
      </c>
      <c r="E32" s="136">
        <v>118</v>
      </c>
      <c r="F32" s="5">
        <v>1979</v>
      </c>
      <c r="G32" s="13">
        <f t="shared" ref="G32:G33" si="23">C32*F32</f>
        <v>69383.740000000005</v>
      </c>
      <c r="H32" s="13">
        <f t="shared" ref="H32:H33" si="24">G32/E32</f>
        <v>587.99779661016953</v>
      </c>
      <c r="I32" s="7">
        <f t="shared" si="10"/>
        <v>80.779904208873177</v>
      </c>
      <c r="J32" s="95">
        <f t="shared" ref="J32:J33" si="25">I32*H32</f>
        <v>47498.405685197991</v>
      </c>
      <c r="K32" s="140">
        <f t="shared" ref="K32:K33" si="26">J32*E32</f>
        <v>5604811.8708533626</v>
      </c>
      <c r="L32" s="140">
        <f>(2124000+8986329+2713871-153927.15)*0.41</f>
        <v>5604811.8684999999</v>
      </c>
      <c r="M32" s="3">
        <f t="shared" ref="M32:M33" si="27">L32-K32</f>
        <v>-2.3533627390861511E-3</v>
      </c>
      <c r="N32" s="35">
        <f t="shared" ref="N32:N33" si="28">L32/12/1.302/C32</f>
        <v>10231.914385703798</v>
      </c>
    </row>
    <row r="33" spans="1:14" ht="15.75" thickBot="1">
      <c r="A33" s="15" t="s">
        <v>42</v>
      </c>
      <c r="B33" s="16" t="s">
        <v>47</v>
      </c>
      <c r="C33" s="112">
        <f>2.5+28.03-3.5+2</f>
        <v>29.03</v>
      </c>
      <c r="D33" s="47">
        <v>12155.998250000001</v>
      </c>
      <c r="E33" s="138">
        <v>134</v>
      </c>
      <c r="F33" s="5">
        <v>1979</v>
      </c>
      <c r="G33" s="17">
        <f t="shared" si="23"/>
        <v>57450.37</v>
      </c>
      <c r="H33" s="17">
        <f t="shared" si="24"/>
        <v>428.73410447761194</v>
      </c>
      <c r="I33" s="7">
        <f t="shared" si="10"/>
        <v>95.970346972208191</v>
      </c>
      <c r="J33" s="97">
        <f t="shared" si="25"/>
        <v>41145.760765535371</v>
      </c>
      <c r="K33" s="140">
        <f t="shared" si="26"/>
        <v>5513531.9425817402</v>
      </c>
      <c r="L33" s="140">
        <f>(2120500+6304762+1904038-119055.66)*0.54</f>
        <v>5513531.9435999999</v>
      </c>
      <c r="M33" s="3">
        <f t="shared" si="27"/>
        <v>1.0182596743106842E-3</v>
      </c>
      <c r="N33" s="35">
        <f t="shared" si="28"/>
        <v>12155.998252245015</v>
      </c>
    </row>
    <row r="34" spans="1:14" ht="17.25" customHeight="1">
      <c r="E34" s="1">
        <f>SUM(E23:E33)</f>
        <v>2751</v>
      </c>
    </row>
    <row r="35" spans="1:14" ht="18.75">
      <c r="A35" s="31" t="s">
        <v>44</v>
      </c>
    </row>
    <row r="36" spans="1:14" ht="16.5" customHeight="1">
      <c r="I36" s="50" t="s">
        <v>31</v>
      </c>
    </row>
    <row r="37" spans="1:14" ht="127.5" customHeight="1">
      <c r="A37" s="4" t="s">
        <v>3</v>
      </c>
      <c r="B37" s="4" t="s">
        <v>28</v>
      </c>
      <c r="C37" s="4" t="s">
        <v>1</v>
      </c>
      <c r="D37" s="4" t="s">
        <v>12</v>
      </c>
      <c r="E37" s="4" t="s">
        <v>53</v>
      </c>
      <c r="F37" s="4" t="s">
        <v>2</v>
      </c>
      <c r="G37" s="4" t="s">
        <v>4</v>
      </c>
      <c r="H37" s="4" t="s">
        <v>6</v>
      </c>
      <c r="I37" s="4" t="s">
        <v>8</v>
      </c>
      <c r="J37" s="4" t="s">
        <v>10</v>
      </c>
      <c r="K37" s="2"/>
      <c r="L37" s="2"/>
      <c r="M37" s="2"/>
    </row>
    <row r="38" spans="1:14" ht="15.75" thickBot="1">
      <c r="A38" s="8">
        <v>1</v>
      </c>
      <c r="B38" s="9">
        <v>2</v>
      </c>
      <c r="C38" s="9">
        <v>3</v>
      </c>
      <c r="D38" s="9">
        <v>4</v>
      </c>
      <c r="E38" s="9">
        <v>5</v>
      </c>
      <c r="F38" s="9">
        <v>6</v>
      </c>
      <c r="G38" s="9" t="s">
        <v>5</v>
      </c>
      <c r="H38" s="8" t="s">
        <v>7</v>
      </c>
      <c r="I38" s="9" t="s">
        <v>9</v>
      </c>
      <c r="J38" s="9" t="s">
        <v>11</v>
      </c>
    </row>
    <row r="39" spans="1:14" ht="17.25" customHeight="1">
      <c r="A39" s="11" t="s">
        <v>35</v>
      </c>
      <c r="B39" s="51" t="s">
        <v>47</v>
      </c>
      <c r="C39" s="109">
        <f>4+51.29+20.73+3-5-1</f>
        <v>73.02</v>
      </c>
      <c r="D39" s="46">
        <v>2355.7710900000002</v>
      </c>
      <c r="E39" s="136">
        <v>50</v>
      </c>
      <c r="F39" s="5">
        <v>1979</v>
      </c>
      <c r="G39" s="13">
        <f>C39*F39</f>
        <v>144506.57999999999</v>
      </c>
      <c r="H39" s="13">
        <f>G39/E39</f>
        <v>2890.1315999999997</v>
      </c>
      <c r="I39" s="7">
        <f>D39*12*1.302/1979</f>
        <v>18.598568726710464</v>
      </c>
      <c r="J39" s="95">
        <f>I39*H39</f>
        <v>53752.311191837674</v>
      </c>
      <c r="K39" s="140">
        <f>J39*E39</f>
        <v>2687615.5595918838</v>
      </c>
      <c r="L39" s="140">
        <f>(21311400+3437700-316231.32)*11%</f>
        <v>2687615.5548</v>
      </c>
      <c r="M39" s="3">
        <f>L39-K39</f>
        <v>-4.7918837517499924E-3</v>
      </c>
      <c r="N39" s="35">
        <f>L39/12/1.302/C39</f>
        <v>2355.771085799779</v>
      </c>
    </row>
    <row r="40" spans="1:14">
      <c r="A40" s="14" t="s">
        <v>36</v>
      </c>
      <c r="B40" s="5" t="s">
        <v>47</v>
      </c>
      <c r="C40" s="110">
        <f>4.5+67.15+3.5-4.5</f>
        <v>70.650000000000006</v>
      </c>
      <c r="D40" s="7">
        <v>1410.7844700000001</v>
      </c>
      <c r="E40" s="137">
        <v>38</v>
      </c>
      <c r="F40" s="5">
        <v>1979</v>
      </c>
      <c r="G40" s="6">
        <f>C40*F40</f>
        <v>139816.35</v>
      </c>
      <c r="H40" s="6">
        <f>G40/E40</f>
        <v>3679.3776315789473</v>
      </c>
      <c r="I40" s="7">
        <f t="shared" ref="I40:I49" si="29">D40*12*1.302/1979</f>
        <v>11.137997250773116</v>
      </c>
      <c r="J40" s="96">
        <f>I40*H40</f>
        <v>40980.897945082419</v>
      </c>
      <c r="K40" s="140">
        <f t="shared" ref="K40:K43" si="30">J40*E40</f>
        <v>1557274.121913132</v>
      </c>
      <c r="L40" s="140">
        <f>(4707600+16561598+5001602-316231.32)*0.06</f>
        <v>1557274.1207999999</v>
      </c>
      <c r="M40" s="3">
        <f t="shared" ref="M40:M43" si="31">L40-K40</f>
        <v>-1.1131321080029011E-3</v>
      </c>
      <c r="N40" s="35">
        <f t="shared" ref="N40:N43" si="32">L40/12/1.302/C40</f>
        <v>1410.7844689915778</v>
      </c>
    </row>
    <row r="41" spans="1:14">
      <c r="A41" s="14" t="s">
        <v>37</v>
      </c>
      <c r="B41" s="5" t="s">
        <v>47</v>
      </c>
      <c r="C41" s="110">
        <f>4+58.67+2.75+3+37.77-4+6-2.5-10.35</f>
        <v>95.34</v>
      </c>
      <c r="D41" s="7">
        <v>1459.2481600000001</v>
      </c>
      <c r="E41" s="137">
        <v>40</v>
      </c>
      <c r="F41" s="5">
        <v>1979</v>
      </c>
      <c r="G41" s="6">
        <f t="shared" ref="G41:G43" si="33">C41*F41</f>
        <v>188677.86000000002</v>
      </c>
      <c r="H41" s="6">
        <f t="shared" ref="H41:H43" si="34">G41/E41</f>
        <v>4716.9465</v>
      </c>
      <c r="I41" s="7">
        <f t="shared" si="29"/>
        <v>11.520613063082365</v>
      </c>
      <c r="J41" s="96">
        <f t="shared" ref="J41:J43" si="35">I41*H41</f>
        <v>54342.115465760638</v>
      </c>
      <c r="K41" s="140">
        <f t="shared" si="30"/>
        <v>2173684.6186304255</v>
      </c>
      <c r="L41" s="140">
        <f>(5312100+20255760+6117240-632462.64)*0.07</f>
        <v>2173684.6152000003</v>
      </c>
      <c r="M41" s="3">
        <f t="shared" si="31"/>
        <v>-3.430425189435482E-3</v>
      </c>
      <c r="N41" s="35">
        <f t="shared" si="32"/>
        <v>1459.2481576970706</v>
      </c>
    </row>
    <row r="42" spans="1:14">
      <c r="A42" s="14" t="s">
        <v>40</v>
      </c>
      <c r="B42" s="5" t="s">
        <v>47</v>
      </c>
      <c r="C42" s="110">
        <f>7+96.1-7+6</f>
        <v>102.1</v>
      </c>
      <c r="D42" s="7">
        <v>2236.22343</v>
      </c>
      <c r="E42" s="137">
        <v>96</v>
      </c>
      <c r="F42" s="5">
        <v>1979</v>
      </c>
      <c r="G42" s="6">
        <f t="shared" si="33"/>
        <v>202055.9</v>
      </c>
      <c r="H42" s="6">
        <f t="shared" si="34"/>
        <v>2104.7489583333331</v>
      </c>
      <c r="I42" s="7">
        <f t="shared" si="29"/>
        <v>17.654752334674079</v>
      </c>
      <c r="J42" s="96">
        <f t="shared" si="35"/>
        <v>37158.821586038248</v>
      </c>
      <c r="K42" s="140">
        <f t="shared" si="30"/>
        <v>3567246.8722596718</v>
      </c>
      <c r="L42" s="140">
        <f>(7202100+22109524+6677076-316231.32)*0.1</f>
        <v>3567246.8680000002</v>
      </c>
      <c r="M42" s="3">
        <f t="shared" si="31"/>
        <v>-4.2596715502440929E-3</v>
      </c>
      <c r="N42" s="35">
        <f t="shared" si="32"/>
        <v>2236.2234273297117</v>
      </c>
    </row>
    <row r="43" spans="1:14" ht="15.75" thickBot="1">
      <c r="A43" s="15" t="s">
        <v>41</v>
      </c>
      <c r="B43" s="16" t="s">
        <v>47</v>
      </c>
      <c r="C43" s="112">
        <f>4+55.6-8+5</f>
        <v>56.6</v>
      </c>
      <c r="D43" s="47">
        <v>2091.0810999999999</v>
      </c>
      <c r="E43" s="138">
        <v>44</v>
      </c>
      <c r="F43" s="5">
        <v>1979</v>
      </c>
      <c r="G43" s="17">
        <f t="shared" si="33"/>
        <v>112011.40000000001</v>
      </c>
      <c r="H43" s="17">
        <f t="shared" si="34"/>
        <v>2545.7136363636364</v>
      </c>
      <c r="I43" s="7">
        <f t="shared" si="29"/>
        <v>16.508868674279942</v>
      </c>
      <c r="J43" s="97">
        <f t="shared" si="35"/>
        <v>42026.852105050915</v>
      </c>
      <c r="K43" s="140">
        <f t="shared" si="30"/>
        <v>1849181.4926222402</v>
      </c>
      <c r="L43" s="140">
        <f>(4585800+14474040+4371160-316231.32)*0.08</f>
        <v>1849181.4944</v>
      </c>
      <c r="M43" s="3">
        <f t="shared" si="31"/>
        <v>1.7777597531676292E-3</v>
      </c>
      <c r="N43" s="35">
        <f t="shared" si="32"/>
        <v>2091.0811020103165</v>
      </c>
    </row>
    <row r="44" spans="1:14" ht="15.75" thickBot="1">
      <c r="A44" s="48"/>
      <c r="B44" s="32"/>
      <c r="C44" s="34"/>
      <c r="D44" s="34"/>
      <c r="E44" s="139"/>
      <c r="F44" s="5">
        <v>1979</v>
      </c>
      <c r="G44" s="33"/>
      <c r="H44" s="33"/>
      <c r="I44" s="7">
        <f t="shared" si="29"/>
        <v>0</v>
      </c>
      <c r="J44" s="100"/>
      <c r="K44" s="3"/>
      <c r="L44" s="3"/>
      <c r="M44" s="3"/>
      <c r="N44" s="35"/>
    </row>
    <row r="45" spans="1:14">
      <c r="A45" s="11" t="s">
        <v>39</v>
      </c>
      <c r="B45" s="12" t="s">
        <v>47</v>
      </c>
      <c r="C45" s="109">
        <f>6+103.35+6.5-6-1</f>
        <v>108.85</v>
      </c>
      <c r="D45" s="46">
        <v>2539.5729099999999</v>
      </c>
      <c r="E45" s="136">
        <v>94</v>
      </c>
      <c r="F45" s="5">
        <v>1979</v>
      </c>
      <c r="G45" s="13">
        <f>C45*F45</f>
        <v>215414.15</v>
      </c>
      <c r="H45" s="13">
        <f>G45/E45</f>
        <v>2291.6398936170212</v>
      </c>
      <c r="I45" s="7">
        <f t="shared" si="29"/>
        <v>20.049665056008084</v>
      </c>
      <c r="J45" s="95">
        <f>I45*H45</f>
        <v>45946.612296007275</v>
      </c>
      <c r="K45" s="140">
        <f>J45*E45</f>
        <v>4318981.555824684</v>
      </c>
      <c r="L45" s="140">
        <f>(6752000+25213287+7614413-316231.32)*0.11</f>
        <v>4318981.5548</v>
      </c>
      <c r="M45" s="3">
        <f>L45-K45</f>
        <v>-1.0246839374303818E-3</v>
      </c>
      <c r="N45" s="35">
        <f>L45/12/1.302/C45</f>
        <v>2539.5729093974833</v>
      </c>
    </row>
    <row r="46" spans="1:14" ht="15.75" thickBot="1">
      <c r="A46" s="15" t="s">
        <v>58</v>
      </c>
      <c r="B46" s="16" t="s">
        <v>47</v>
      </c>
      <c r="C46" s="112">
        <f>7+99.52-7+7</f>
        <v>106.52</v>
      </c>
      <c r="D46" s="47">
        <v>2649.4572800000001</v>
      </c>
      <c r="E46" s="138">
        <v>116</v>
      </c>
      <c r="F46" s="5">
        <v>1979</v>
      </c>
      <c r="G46" s="17">
        <f t="shared" ref="G46" si="36">C46*F46</f>
        <v>210803.08</v>
      </c>
      <c r="H46" s="17">
        <f t="shared" ref="H46" si="37">G46/E46</f>
        <v>1817.2679310344827</v>
      </c>
      <c r="I46" s="7">
        <f t="shared" si="29"/>
        <v>20.91719077449217</v>
      </c>
      <c r="J46" s="97">
        <f t="shared" ref="J46" si="38">I46*H46</f>
        <v>38012.140001814951</v>
      </c>
      <c r="K46" s="140">
        <f t="shared" ref="K46" si="39">J46*E46</f>
        <v>4409408.2402105341</v>
      </c>
      <c r="L46" s="140">
        <f>(7813500+22463748+6784052-316231.32)*0.12</f>
        <v>4409408.2415999994</v>
      </c>
      <c r="M46" s="3">
        <f t="shared" ref="M46" si="40">L46-K46</f>
        <v>1.389465294778347E-3</v>
      </c>
      <c r="N46" s="35">
        <f t="shared" ref="N46" si="41">L46/12/1.302/C46</f>
        <v>2649.4572808348807</v>
      </c>
    </row>
    <row r="47" spans="1:14" ht="15.75" thickBot="1">
      <c r="A47" s="48"/>
      <c r="B47" s="32"/>
      <c r="C47" s="34"/>
      <c r="D47" s="34"/>
      <c r="E47" s="139"/>
      <c r="F47" s="5">
        <v>1979</v>
      </c>
      <c r="G47" s="33"/>
      <c r="H47" s="33"/>
      <c r="I47" s="7">
        <f t="shared" si="29"/>
        <v>0</v>
      </c>
      <c r="J47" s="100"/>
      <c r="K47" s="3"/>
      <c r="L47" s="3"/>
      <c r="M47" s="3"/>
      <c r="N47" s="35"/>
    </row>
    <row r="48" spans="1:14">
      <c r="A48" s="11" t="s">
        <v>38</v>
      </c>
      <c r="B48" s="12" t="s">
        <v>47</v>
      </c>
      <c r="C48" s="109">
        <f>2+35.06+1.5-3-0.5</f>
        <v>35.06</v>
      </c>
      <c r="D48" s="46">
        <v>2994.7066500000001</v>
      </c>
      <c r="E48" s="136">
        <v>34</v>
      </c>
      <c r="F48" s="5">
        <v>1979</v>
      </c>
      <c r="G48" s="13">
        <f t="shared" ref="G48:G49" si="42">C48*F48</f>
        <v>69383.740000000005</v>
      </c>
      <c r="H48" s="13">
        <f t="shared" ref="H48:H49" si="43">G48/E48</f>
        <v>2040.6982352941177</v>
      </c>
      <c r="I48" s="7">
        <f t="shared" si="29"/>
        <v>23.642898787064176</v>
      </c>
      <c r="J48" s="95">
        <f t="shared" ref="J48:J49" si="44">I48*H48</f>
        <v>48248.0218319993</v>
      </c>
      <c r="K48" s="140">
        <f t="shared" ref="K48" si="45">J48*E48</f>
        <v>1640432.7422879762</v>
      </c>
      <c r="L48" s="140">
        <f>(2124000+8986329+2713871-153927.15)*0.12</f>
        <v>1640432.7419999999</v>
      </c>
      <c r="M48" s="3">
        <f t="shared" ref="M48:M49" si="46">L48-K48</f>
        <v>-2.87976348772645E-4</v>
      </c>
      <c r="N48" s="35">
        <f t="shared" ref="N48:N49" si="47">L48/12/1.302/C48</f>
        <v>2994.7066494742826</v>
      </c>
    </row>
    <row r="49" spans="1:14" ht="15.75" thickBot="1">
      <c r="A49" s="15" t="s">
        <v>42</v>
      </c>
      <c r="B49" s="16" t="s">
        <v>47</v>
      </c>
      <c r="C49" s="112">
        <f>2.5+28.03-3.5+2</f>
        <v>29.03</v>
      </c>
      <c r="D49" s="47"/>
      <c r="E49" s="138">
        <v>0</v>
      </c>
      <c r="F49" s="5">
        <v>1979</v>
      </c>
      <c r="G49" s="17">
        <f t="shared" si="42"/>
        <v>57450.37</v>
      </c>
      <c r="H49" s="17" t="e">
        <f t="shared" si="43"/>
        <v>#DIV/0!</v>
      </c>
      <c r="I49" s="7">
        <f t="shared" si="29"/>
        <v>0</v>
      </c>
      <c r="J49" s="97" t="e">
        <f t="shared" si="44"/>
        <v>#DIV/0!</v>
      </c>
      <c r="K49" s="3"/>
      <c r="L49" s="3"/>
      <c r="M49" s="3">
        <f t="shared" si="46"/>
        <v>0</v>
      </c>
      <c r="N49" s="35">
        <f t="shared" si="47"/>
        <v>0</v>
      </c>
    </row>
    <row r="50" spans="1:14" ht="12" customHeight="1">
      <c r="A50" s="40"/>
      <c r="B50" s="41"/>
      <c r="C50" s="56"/>
      <c r="D50" s="56"/>
      <c r="E50" s="41">
        <f>SUM(E39:E49)</f>
        <v>512</v>
      </c>
      <c r="F50" s="41"/>
      <c r="G50" s="44"/>
      <c r="H50" s="44"/>
      <c r="I50" s="56"/>
      <c r="J50" s="45"/>
      <c r="K50" s="3"/>
      <c r="L50" s="3"/>
      <c r="M50" s="3"/>
      <c r="N50" s="35"/>
    </row>
    <row r="51" spans="1:14" ht="18.75">
      <c r="A51" s="31" t="s">
        <v>62</v>
      </c>
    </row>
    <row r="52" spans="1:14">
      <c r="I52" s="50" t="s">
        <v>31</v>
      </c>
    </row>
    <row r="53" spans="1:14" ht="113.25" customHeight="1">
      <c r="A53" s="4" t="s">
        <v>3</v>
      </c>
      <c r="B53" s="4" t="s">
        <v>28</v>
      </c>
      <c r="C53" s="4" t="s">
        <v>1</v>
      </c>
      <c r="D53" s="4" t="s">
        <v>12</v>
      </c>
      <c r="E53" s="4" t="s">
        <v>61</v>
      </c>
      <c r="F53" s="4" t="s">
        <v>2</v>
      </c>
      <c r="G53" s="4" t="s">
        <v>4</v>
      </c>
      <c r="H53" s="4" t="s">
        <v>6</v>
      </c>
      <c r="I53" s="4" t="s">
        <v>8</v>
      </c>
      <c r="J53" s="4" t="s">
        <v>10</v>
      </c>
      <c r="K53" s="2" t="s">
        <v>45</v>
      </c>
      <c r="L53" s="2" t="s">
        <v>46</v>
      </c>
      <c r="M53" s="2"/>
    </row>
    <row r="54" spans="1:14" ht="15.75" thickBot="1">
      <c r="A54" s="8">
        <v>1</v>
      </c>
      <c r="B54" s="9">
        <v>2</v>
      </c>
      <c r="C54" s="9">
        <v>3</v>
      </c>
      <c r="D54" s="9">
        <v>4</v>
      </c>
      <c r="E54" s="9">
        <v>5</v>
      </c>
      <c r="F54" s="9">
        <v>6</v>
      </c>
      <c r="G54" s="9" t="s">
        <v>5</v>
      </c>
      <c r="H54" s="8" t="s">
        <v>7</v>
      </c>
      <c r="I54" s="9" t="s">
        <v>9</v>
      </c>
      <c r="J54" s="9" t="s">
        <v>11</v>
      </c>
    </row>
    <row r="55" spans="1:14" ht="17.25" customHeight="1">
      <c r="A55" s="11" t="s">
        <v>35</v>
      </c>
      <c r="B55" s="12" t="s">
        <v>68</v>
      </c>
      <c r="C55" s="109">
        <v>5</v>
      </c>
      <c r="D55" s="46">
        <v>21136.712749999999</v>
      </c>
      <c r="E55" s="136">
        <v>53315</v>
      </c>
      <c r="F55" s="5">
        <v>1979</v>
      </c>
      <c r="G55" s="6">
        <f>C55*F55</f>
        <v>9895</v>
      </c>
      <c r="H55" s="6">
        <f>G55/E55</f>
        <v>0.18559504829785239</v>
      </c>
      <c r="I55" s="7">
        <f>D55*12*1.302/1979</f>
        <v>166.87215765841333</v>
      </c>
      <c r="J55" s="96">
        <f>I55*H55</f>
        <v>30.97064616018006</v>
      </c>
      <c r="K55" s="111">
        <f>J55*E55</f>
        <v>1651200.00003</v>
      </c>
      <c r="L55" s="140">
        <f>1268202+382998</f>
        <v>1651200</v>
      </c>
      <c r="M55" s="3">
        <f>L55-K55</f>
        <v>-2.9999995604157448E-5</v>
      </c>
      <c r="N55" s="35">
        <f>L55/12/1.302/C55</f>
        <v>21136.712749615974</v>
      </c>
    </row>
    <row r="56" spans="1:14">
      <c r="A56" s="14" t="s">
        <v>36</v>
      </c>
      <c r="B56" s="5" t="s">
        <v>68</v>
      </c>
      <c r="C56" s="110">
        <f>2.33+1.17</f>
        <v>3.5</v>
      </c>
      <c r="D56" s="7">
        <v>32376.929270000001</v>
      </c>
      <c r="E56" s="137">
        <v>58690</v>
      </c>
      <c r="F56" s="5">
        <v>1979</v>
      </c>
      <c r="G56" s="6">
        <f>C56*F56</f>
        <v>6926.5</v>
      </c>
      <c r="H56" s="6">
        <f>G56/E56</f>
        <v>0.1180184017720225</v>
      </c>
      <c r="I56" s="7">
        <f t="shared" ref="I56:I65" si="48">D56*12*1.302/1979</f>
        <v>255.61250273596769</v>
      </c>
      <c r="J56" s="96">
        <f>I56*H56</f>
        <v>30.166979045845636</v>
      </c>
      <c r="K56" s="111">
        <f t="shared" ref="K56:K59" si="49">J56*E56</f>
        <v>1770500.0002006805</v>
      </c>
      <c r="L56" s="140">
        <f>1359831+410669</f>
        <v>1770500</v>
      </c>
      <c r="M56" s="3">
        <f t="shared" ref="M56:M59" si="50">L56-K56</f>
        <v>-2.006804570555687E-4</v>
      </c>
      <c r="N56" s="35">
        <f t="shared" ref="N56:N61" si="51">L56/12/1.302/C56</f>
        <v>32376.929266330182</v>
      </c>
    </row>
    <row r="57" spans="1:14">
      <c r="A57" s="14" t="s">
        <v>37</v>
      </c>
      <c r="B57" s="5" t="s">
        <v>68</v>
      </c>
      <c r="C57" s="110">
        <f>1.75+1.1+5.5</f>
        <v>8.35</v>
      </c>
      <c r="D57" s="7">
        <v>17932.644700000001</v>
      </c>
      <c r="E57" s="137">
        <v>64973</v>
      </c>
      <c r="F57" s="5">
        <v>1979</v>
      </c>
      <c r="G57" s="6">
        <f t="shared" ref="G57:G59" si="52">C57*F57</f>
        <v>16524.649999999998</v>
      </c>
      <c r="H57" s="6">
        <f t="shared" ref="H57:H59" si="53">G57/E57</f>
        <v>0.25433102981238359</v>
      </c>
      <c r="I57" s="7">
        <f t="shared" si="48"/>
        <v>141.57637230560888</v>
      </c>
      <c r="J57" s="96">
        <f t="shared" ref="J57:J59" si="54">I57*H57</f>
        <v>36.007264565586929</v>
      </c>
      <c r="K57" s="111">
        <f t="shared" si="49"/>
        <v>2339500.0006198795</v>
      </c>
      <c r="L57" s="140">
        <v>2339500</v>
      </c>
      <c r="M57" s="3">
        <f t="shared" si="50"/>
        <v>-6.1987945809960365E-4</v>
      </c>
      <c r="N57" s="35">
        <f t="shared" si="51"/>
        <v>17932.64469524852</v>
      </c>
    </row>
    <row r="58" spans="1:14">
      <c r="A58" s="14" t="s">
        <v>40</v>
      </c>
      <c r="B58" s="5" t="s">
        <v>68</v>
      </c>
      <c r="C58" s="110">
        <v>6</v>
      </c>
      <c r="D58" s="7">
        <v>31916.709340000001</v>
      </c>
      <c r="E58" s="137">
        <v>52462</v>
      </c>
      <c r="F58" s="5">
        <v>1979</v>
      </c>
      <c r="G58" s="6">
        <f t="shared" si="52"/>
        <v>11874</v>
      </c>
      <c r="H58" s="6">
        <f t="shared" si="53"/>
        <v>0.22633525218253212</v>
      </c>
      <c r="I58" s="7">
        <f t="shared" si="48"/>
        <v>251.97911406172818</v>
      </c>
      <c r="J58" s="96">
        <f t="shared" si="54"/>
        <v>57.031756325892275</v>
      </c>
      <c r="K58" s="111">
        <f t="shared" si="49"/>
        <v>2992000.0003689607</v>
      </c>
      <c r="L58" s="140">
        <v>2992000</v>
      </c>
      <c r="M58" s="3">
        <f t="shared" si="50"/>
        <v>-3.689606674015522E-4</v>
      </c>
      <c r="N58" s="35">
        <f t="shared" si="51"/>
        <v>31916.709336064174</v>
      </c>
    </row>
    <row r="59" spans="1:14" ht="15.75" thickBot="1">
      <c r="A59" s="15" t="s">
        <v>41</v>
      </c>
      <c r="B59" s="5" t="s">
        <v>68</v>
      </c>
      <c r="C59" s="112">
        <v>7</v>
      </c>
      <c r="D59" s="47">
        <v>20081.74237</v>
      </c>
      <c r="E59" s="138">
        <v>58718</v>
      </c>
      <c r="F59" s="5">
        <v>1979</v>
      </c>
      <c r="G59" s="17">
        <f t="shared" si="52"/>
        <v>13853</v>
      </c>
      <c r="H59" s="17">
        <f t="shared" si="53"/>
        <v>0.23592424810109336</v>
      </c>
      <c r="I59" s="7">
        <f t="shared" si="48"/>
        <v>158.54327579023752</v>
      </c>
      <c r="J59" s="97">
        <f t="shared" si="54"/>
        <v>37.404203132296061</v>
      </c>
      <c r="K59" s="111">
        <f t="shared" si="49"/>
        <v>2196299.9995221603</v>
      </c>
      <c r="L59" s="140">
        <v>2196300</v>
      </c>
      <c r="M59" s="3">
        <f t="shared" si="50"/>
        <v>4.7783972695469856E-4</v>
      </c>
      <c r="N59" s="35">
        <f t="shared" si="51"/>
        <v>20081.7423743691</v>
      </c>
    </row>
    <row r="60" spans="1:14" ht="15.75" thickBot="1">
      <c r="A60" s="48"/>
      <c r="B60" s="32"/>
      <c r="C60" s="34"/>
      <c r="D60" s="34"/>
      <c r="E60" s="139"/>
      <c r="F60" s="5">
        <v>1979</v>
      </c>
      <c r="G60" s="33"/>
      <c r="H60" s="33"/>
      <c r="I60" s="7">
        <f t="shared" si="48"/>
        <v>0</v>
      </c>
      <c r="J60" s="100"/>
      <c r="K60" s="111"/>
      <c r="L60" s="103"/>
      <c r="M60" s="3"/>
      <c r="N60" s="35"/>
    </row>
    <row r="61" spans="1:14">
      <c r="A61" s="11" t="s">
        <v>39</v>
      </c>
      <c r="B61" s="5" t="s">
        <v>68</v>
      </c>
      <c r="C61" s="109">
        <v>6</v>
      </c>
      <c r="D61" s="46">
        <v>22749.189279999999</v>
      </c>
      <c r="E61" s="136">
        <v>63322</v>
      </c>
      <c r="F61" s="5">
        <v>1979</v>
      </c>
      <c r="G61" s="13">
        <f>C61*F61</f>
        <v>11874</v>
      </c>
      <c r="H61" s="13">
        <f>G61/E61</f>
        <v>0.18751776633713402</v>
      </c>
      <c r="I61" s="7">
        <f t="shared" si="48"/>
        <v>179.60249283007582</v>
      </c>
      <c r="J61" s="95">
        <f>I61*H61</f>
        <v>33.678658284076946</v>
      </c>
      <c r="K61" s="111">
        <f>J61*E61</f>
        <v>2132599.9998643203</v>
      </c>
      <c r="L61" s="140">
        <v>2132600</v>
      </c>
      <c r="M61" s="3">
        <f>L61-K61</f>
        <v>1.3567972928285599E-4</v>
      </c>
      <c r="N61" s="35">
        <f t="shared" si="51"/>
        <v>22749.189281447343</v>
      </c>
    </row>
    <row r="62" spans="1:14" ht="15.75" thickBot="1">
      <c r="A62" s="15" t="s">
        <v>58</v>
      </c>
      <c r="B62" s="5" t="s">
        <v>68</v>
      </c>
      <c r="C62" s="112">
        <v>6</v>
      </c>
      <c r="D62" s="47">
        <v>19523.382829999999</v>
      </c>
      <c r="E62" s="138">
        <v>49572</v>
      </c>
      <c r="F62" s="5">
        <v>1979</v>
      </c>
      <c r="G62" s="17">
        <f t="shared" ref="G62" si="55">C62*F62</f>
        <v>11874</v>
      </c>
      <c r="H62" s="17">
        <f t="shared" ref="H62" si="56">G62/E62</f>
        <v>0.23953038005325586</v>
      </c>
      <c r="I62" s="7">
        <f t="shared" si="48"/>
        <v>154.13508506110153</v>
      </c>
      <c r="J62" s="97">
        <f>I62*H62</f>
        <v>36.920035504226568</v>
      </c>
      <c r="K62" s="111">
        <f t="shared" ref="K62" si="57">J62*E62</f>
        <v>1830200.0000155196</v>
      </c>
      <c r="L62" s="140">
        <f>1405684+424516</f>
        <v>1830200</v>
      </c>
      <c r="M62" s="3">
        <f t="shared" ref="M62" si="58">L62-K62</f>
        <v>-1.5519559383392334E-5</v>
      </c>
      <c r="N62" s="35">
        <f>L62/12/1.302/C62</f>
        <v>19523.382829834442</v>
      </c>
    </row>
    <row r="63" spans="1:14" ht="15.75" thickBot="1">
      <c r="A63" s="48"/>
      <c r="B63" s="32"/>
      <c r="C63" s="34"/>
      <c r="D63" s="34"/>
      <c r="E63" s="139"/>
      <c r="F63" s="5">
        <v>1979</v>
      </c>
      <c r="G63" s="33"/>
      <c r="H63" s="33"/>
      <c r="I63" s="7">
        <f t="shared" si="48"/>
        <v>0</v>
      </c>
      <c r="J63" s="100"/>
      <c r="K63" s="111"/>
      <c r="L63" s="103"/>
      <c r="M63" s="3"/>
      <c r="N63" s="35"/>
    </row>
    <row r="64" spans="1:14" ht="15.75" thickBot="1">
      <c r="A64" s="11" t="s">
        <v>38</v>
      </c>
      <c r="B64" s="5" t="s">
        <v>68</v>
      </c>
      <c r="C64" s="109">
        <v>3</v>
      </c>
      <c r="D64" s="46">
        <v>18335.040110000002</v>
      </c>
      <c r="E64" s="136">
        <v>24701</v>
      </c>
      <c r="F64" s="5">
        <v>1979</v>
      </c>
      <c r="G64" s="13">
        <f t="shared" ref="G64:G65" si="59">C64*F64</f>
        <v>5937</v>
      </c>
      <c r="H64" s="13">
        <f t="shared" ref="H64:H65" si="60">G64/E64</f>
        <v>0.24035464151248936</v>
      </c>
      <c r="I64" s="7">
        <f t="shared" si="48"/>
        <v>144.75324238435576</v>
      </c>
      <c r="J64" s="95">
        <f t="shared" ref="J64:J65" si="61">I64*H64</f>
        <v>34.792113681062311</v>
      </c>
      <c r="K64" s="111">
        <f t="shared" ref="K64:K65" si="62">J64*E64</f>
        <v>859400.00003592018</v>
      </c>
      <c r="L64" s="140">
        <v>859400</v>
      </c>
      <c r="M64" s="3">
        <f t="shared" ref="M64:M65" si="63">L64-K64</f>
        <v>-3.5920180380344391E-5</v>
      </c>
      <c r="N64" s="35">
        <f t="shared" ref="N64:N65" si="64">L64/12/1.302/C64</f>
        <v>18335.040109233658</v>
      </c>
    </row>
    <row r="65" spans="1:14" ht="15.75" thickBot="1">
      <c r="A65" s="15" t="s">
        <v>42</v>
      </c>
      <c r="B65" s="5" t="s">
        <v>68</v>
      </c>
      <c r="C65" s="112">
        <v>3</v>
      </c>
      <c r="D65" s="46">
        <v>21050.947260000001</v>
      </c>
      <c r="E65" s="138">
        <v>14280</v>
      </c>
      <c r="F65" s="5">
        <v>1979</v>
      </c>
      <c r="G65" s="17">
        <f t="shared" si="59"/>
        <v>5937</v>
      </c>
      <c r="H65" s="17">
        <f t="shared" si="60"/>
        <v>0.41575630252100843</v>
      </c>
      <c r="I65" s="7">
        <f t="shared" si="48"/>
        <v>166.19504799911067</v>
      </c>
      <c r="J65" s="97">
        <f t="shared" si="61"/>
        <v>69.096638653411773</v>
      </c>
      <c r="K65" s="111">
        <f t="shared" si="62"/>
        <v>986699.99997072015</v>
      </c>
      <c r="L65" s="140">
        <v>986700</v>
      </c>
      <c r="M65" s="3">
        <f t="shared" si="63"/>
        <v>2.9279850423336029E-5</v>
      </c>
      <c r="N65" s="35">
        <f t="shared" si="64"/>
        <v>21050.947260624678</v>
      </c>
    </row>
    <row r="66" spans="1:14">
      <c r="A66" s="40"/>
      <c r="B66" s="41"/>
      <c r="C66" s="56"/>
      <c r="D66" s="56"/>
      <c r="E66" s="41">
        <f>SUM(E55:E65)</f>
        <v>440033</v>
      </c>
      <c r="F66" s="41"/>
      <c r="G66" s="44"/>
      <c r="H66" s="44"/>
      <c r="I66" s="56"/>
      <c r="J66" s="45"/>
      <c r="K66" s="3"/>
      <c r="L66" s="3"/>
      <c r="M66" s="3"/>
      <c r="N66" s="35"/>
    </row>
    <row r="67" spans="1:14" ht="18.75">
      <c r="A67" s="31" t="s">
        <v>33</v>
      </c>
    </row>
    <row r="68" spans="1:14">
      <c r="I68" s="50" t="s">
        <v>31</v>
      </c>
    </row>
    <row r="69" spans="1:14" ht="115.9" customHeight="1">
      <c r="A69" s="4" t="s">
        <v>3</v>
      </c>
      <c r="B69" s="4" t="s">
        <v>28</v>
      </c>
      <c r="C69" s="4" t="s">
        <v>1</v>
      </c>
      <c r="D69" s="4" t="s">
        <v>12</v>
      </c>
      <c r="E69" s="4" t="s">
        <v>53</v>
      </c>
      <c r="F69" s="4" t="s">
        <v>2</v>
      </c>
      <c r="G69" s="4" t="s">
        <v>4</v>
      </c>
      <c r="H69" s="4" t="s">
        <v>6</v>
      </c>
      <c r="I69" s="4" t="s">
        <v>8</v>
      </c>
      <c r="J69" s="4" t="s">
        <v>10</v>
      </c>
      <c r="K69" s="2" t="s">
        <v>45</v>
      </c>
      <c r="L69" s="2" t="s">
        <v>46</v>
      </c>
      <c r="M69" s="2"/>
    </row>
    <row r="70" spans="1:14" ht="15.75" thickBot="1">
      <c r="A70" s="8">
        <v>1</v>
      </c>
      <c r="B70" s="9">
        <v>2</v>
      </c>
      <c r="C70" s="9">
        <v>3</v>
      </c>
      <c r="D70" s="9">
        <v>4</v>
      </c>
      <c r="E70" s="9">
        <v>5</v>
      </c>
      <c r="F70" s="9">
        <v>6</v>
      </c>
      <c r="G70" s="9" t="s">
        <v>5</v>
      </c>
      <c r="H70" s="8" t="s">
        <v>7</v>
      </c>
      <c r="I70" s="9" t="s">
        <v>9</v>
      </c>
      <c r="J70" s="9" t="s">
        <v>11</v>
      </c>
    </row>
    <row r="71" spans="1:14" ht="17.25" customHeight="1">
      <c r="A71" s="11" t="s">
        <v>35</v>
      </c>
      <c r="B71" s="12" t="s">
        <v>49</v>
      </c>
      <c r="C71" s="109">
        <v>1</v>
      </c>
      <c r="D71" s="46">
        <f>((4707+(4707*1.25*1.15)+ 4707*25%))*1.6</f>
        <v>20240.100000000002</v>
      </c>
      <c r="E71" s="136">
        <v>25</v>
      </c>
      <c r="F71" s="5">
        <v>1979</v>
      </c>
      <c r="G71" s="13">
        <f>C71*F71</f>
        <v>1979</v>
      </c>
      <c r="H71" s="13">
        <f>G71/E71</f>
        <v>79.16</v>
      </c>
      <c r="I71" s="7">
        <f>D71*12*1.302/1979</f>
        <v>159.79349287518949</v>
      </c>
      <c r="J71" s="95">
        <f>I71*H71</f>
        <v>12649.252896</v>
      </c>
      <c r="K71" s="140">
        <f>J71*E71</f>
        <v>316231.3224</v>
      </c>
      <c r="L71" s="140">
        <v>316231.32</v>
      </c>
      <c r="M71" s="3">
        <f>L71-K71</f>
        <v>-2.3999999975785613E-3</v>
      </c>
      <c r="N71" s="35">
        <f>L71/12/1.302/C71</f>
        <v>20240.099846390167</v>
      </c>
    </row>
    <row r="72" spans="1:14">
      <c r="A72" s="14" t="s">
        <v>36</v>
      </c>
      <c r="B72" s="5" t="s">
        <v>49</v>
      </c>
      <c r="C72" s="110">
        <v>1</v>
      </c>
      <c r="D72" s="7">
        <f>D71</f>
        <v>20240.100000000002</v>
      </c>
      <c r="E72" s="137">
        <v>25</v>
      </c>
      <c r="F72" s="5">
        <v>1979</v>
      </c>
      <c r="G72" s="6">
        <f>C72*F72</f>
        <v>1979</v>
      </c>
      <c r="H72" s="6">
        <f>G72/E72</f>
        <v>79.16</v>
      </c>
      <c r="I72" s="7">
        <f t="shared" ref="I72:I81" si="65">D72*12*1.302/1979</f>
        <v>159.79349287518949</v>
      </c>
      <c r="J72" s="96">
        <f>I72*H72</f>
        <v>12649.252896</v>
      </c>
      <c r="K72" s="140">
        <f t="shared" ref="K72:K75" si="66">J72*E72</f>
        <v>316231.3224</v>
      </c>
      <c r="L72" s="140">
        <v>316231.32</v>
      </c>
      <c r="M72" s="3">
        <f t="shared" ref="M72:M75" si="67">L72-K72</f>
        <v>-2.3999999975785613E-3</v>
      </c>
      <c r="N72" s="35">
        <f t="shared" ref="N72:N75" si="68">L72/12/1.302/C72</f>
        <v>20240.099846390167</v>
      </c>
    </row>
    <row r="73" spans="1:14">
      <c r="A73" s="14" t="s">
        <v>37</v>
      </c>
      <c r="B73" s="5" t="s">
        <v>49</v>
      </c>
      <c r="C73" s="110">
        <v>2</v>
      </c>
      <c r="D73" s="7">
        <v>20240.099999999999</v>
      </c>
      <c r="E73" s="137">
        <v>55</v>
      </c>
      <c r="F73" s="5">
        <v>1979</v>
      </c>
      <c r="G73" s="6">
        <f t="shared" ref="G73:G75" si="69">C73*F73</f>
        <v>3958</v>
      </c>
      <c r="H73" s="6">
        <f t="shared" ref="H73:H75" si="70">G73/E73</f>
        <v>71.963636363636368</v>
      </c>
      <c r="I73" s="7">
        <f t="shared" si="65"/>
        <v>159.79349287518949</v>
      </c>
      <c r="J73" s="96">
        <f t="shared" ref="J73:J75" si="71">I73*H73</f>
        <v>11499.320814545456</v>
      </c>
      <c r="K73" s="140">
        <f t="shared" si="66"/>
        <v>632462.64480000001</v>
      </c>
      <c r="L73" s="140">
        <f>316231.32*2</f>
        <v>632462.64</v>
      </c>
      <c r="M73" s="3">
        <f t="shared" si="67"/>
        <v>-4.7999999951571226E-3</v>
      </c>
      <c r="N73" s="35">
        <f t="shared" si="68"/>
        <v>20240.099846390167</v>
      </c>
    </row>
    <row r="74" spans="1:14">
      <c r="A74" s="14" t="s">
        <v>40</v>
      </c>
      <c r="B74" s="5" t="s">
        <v>49</v>
      </c>
      <c r="C74" s="110">
        <v>1</v>
      </c>
      <c r="D74" s="7">
        <v>20240.099999999999</v>
      </c>
      <c r="E74" s="137">
        <v>25</v>
      </c>
      <c r="F74" s="5">
        <v>1979</v>
      </c>
      <c r="G74" s="6">
        <f t="shared" si="69"/>
        <v>1979</v>
      </c>
      <c r="H74" s="6">
        <f t="shared" si="70"/>
        <v>79.16</v>
      </c>
      <c r="I74" s="7">
        <f t="shared" si="65"/>
        <v>159.79349287518949</v>
      </c>
      <c r="J74" s="96">
        <f t="shared" si="71"/>
        <v>12649.252896</v>
      </c>
      <c r="K74" s="140">
        <f t="shared" si="66"/>
        <v>316231.3224</v>
      </c>
      <c r="L74" s="140">
        <v>316231.32</v>
      </c>
      <c r="M74" s="3">
        <f t="shared" si="67"/>
        <v>-2.3999999975785613E-3</v>
      </c>
      <c r="N74" s="35">
        <f t="shared" si="68"/>
        <v>20240.099846390167</v>
      </c>
    </row>
    <row r="75" spans="1:14" ht="15.75" thickBot="1">
      <c r="A75" s="15" t="s">
        <v>41</v>
      </c>
      <c r="B75" s="16" t="s">
        <v>49</v>
      </c>
      <c r="C75" s="112">
        <v>1</v>
      </c>
      <c r="D75" s="47">
        <v>20240.099999999999</v>
      </c>
      <c r="E75" s="138">
        <v>25</v>
      </c>
      <c r="F75" s="5">
        <v>1979</v>
      </c>
      <c r="G75" s="17">
        <f t="shared" si="69"/>
        <v>1979</v>
      </c>
      <c r="H75" s="17">
        <f t="shared" si="70"/>
        <v>79.16</v>
      </c>
      <c r="I75" s="7">
        <f t="shared" si="65"/>
        <v>159.79349287518949</v>
      </c>
      <c r="J75" s="97">
        <f t="shared" si="71"/>
        <v>12649.252896</v>
      </c>
      <c r="K75" s="140">
        <f t="shared" si="66"/>
        <v>316231.3224</v>
      </c>
      <c r="L75" s="140">
        <v>316231.32</v>
      </c>
      <c r="M75" s="3">
        <f t="shared" si="67"/>
        <v>-2.3999999975785613E-3</v>
      </c>
      <c r="N75" s="35">
        <f t="shared" si="68"/>
        <v>20240.099846390167</v>
      </c>
    </row>
    <row r="76" spans="1:14" ht="15.75" thickBot="1">
      <c r="A76" s="48"/>
      <c r="B76" s="32"/>
      <c r="C76" s="94"/>
      <c r="D76" s="34"/>
      <c r="E76" s="139"/>
      <c r="F76" s="5">
        <v>1979</v>
      </c>
      <c r="G76" s="33"/>
      <c r="H76" s="33"/>
      <c r="I76" s="7">
        <f t="shared" si="65"/>
        <v>0</v>
      </c>
      <c r="J76" s="100"/>
      <c r="K76" s="140"/>
      <c r="L76" s="140"/>
      <c r="M76" s="3"/>
      <c r="N76" s="35"/>
    </row>
    <row r="77" spans="1:14">
      <c r="A77" s="11" t="s">
        <v>39</v>
      </c>
      <c r="B77" s="12" t="s">
        <v>49</v>
      </c>
      <c r="C77" s="109">
        <v>1</v>
      </c>
      <c r="D77" s="46">
        <v>20240.099999999999</v>
      </c>
      <c r="E77" s="136">
        <v>25</v>
      </c>
      <c r="F77" s="5">
        <v>1979</v>
      </c>
      <c r="G77" s="13">
        <f>C77*F77</f>
        <v>1979</v>
      </c>
      <c r="H77" s="13">
        <f>G77/E77</f>
        <v>79.16</v>
      </c>
      <c r="I77" s="7">
        <f t="shared" si="65"/>
        <v>159.79349287518949</v>
      </c>
      <c r="J77" s="95">
        <f>I77*H77</f>
        <v>12649.252896</v>
      </c>
      <c r="K77" s="140">
        <f>J77*E77</f>
        <v>316231.3224</v>
      </c>
      <c r="L77" s="140">
        <v>316231.32</v>
      </c>
      <c r="M77" s="3">
        <f>L77-K77</f>
        <v>-2.3999999975785613E-3</v>
      </c>
      <c r="N77" s="35">
        <f>L77/12/1.302/C77</f>
        <v>20240.099846390167</v>
      </c>
    </row>
    <row r="78" spans="1:14" ht="15.75" thickBot="1">
      <c r="A78" s="15" t="s">
        <v>58</v>
      </c>
      <c r="B78" s="16" t="s">
        <v>49</v>
      </c>
      <c r="C78" s="112">
        <v>1</v>
      </c>
      <c r="D78" s="47">
        <v>20240.099999999999</v>
      </c>
      <c r="E78" s="138">
        <v>25</v>
      </c>
      <c r="F78" s="5">
        <v>1979</v>
      </c>
      <c r="G78" s="17">
        <f t="shared" ref="G78" si="72">C78*F78</f>
        <v>1979</v>
      </c>
      <c r="H78" s="17">
        <f t="shared" ref="H78" si="73">G78/E78</f>
        <v>79.16</v>
      </c>
      <c r="I78" s="7">
        <f t="shared" si="65"/>
        <v>159.79349287518949</v>
      </c>
      <c r="J78" s="97">
        <f t="shared" ref="J78" si="74">I78*H78</f>
        <v>12649.252896</v>
      </c>
      <c r="K78" s="140">
        <f t="shared" ref="K78" si="75">J78*E78</f>
        <v>316231.3224</v>
      </c>
      <c r="L78" s="140">
        <v>316231.32</v>
      </c>
      <c r="M78" s="3">
        <f t="shared" ref="M78" si="76">L78-K78</f>
        <v>-2.3999999975785613E-3</v>
      </c>
      <c r="N78" s="35">
        <f t="shared" ref="N78" si="77">L78/12/1.302/C78</f>
        <v>20240.099846390167</v>
      </c>
    </row>
    <row r="79" spans="1:14" ht="15.75" thickBot="1">
      <c r="A79" s="48"/>
      <c r="B79" s="32"/>
      <c r="C79" s="94"/>
      <c r="D79" s="34"/>
      <c r="E79" s="139"/>
      <c r="F79" s="5">
        <v>1979</v>
      </c>
      <c r="G79" s="33"/>
      <c r="H79" s="33"/>
      <c r="I79" s="7">
        <f t="shared" si="65"/>
        <v>0</v>
      </c>
      <c r="J79" s="100"/>
      <c r="K79" s="140"/>
      <c r="L79" s="140"/>
      <c r="M79" s="3"/>
      <c r="N79" s="35"/>
    </row>
    <row r="80" spans="1:14">
      <c r="A80" s="11" t="s">
        <v>38</v>
      </c>
      <c r="B80" s="12" t="s">
        <v>49</v>
      </c>
      <c r="C80" s="109">
        <v>0.5</v>
      </c>
      <c r="D80" s="46">
        <v>19703.936249999999</v>
      </c>
      <c r="E80" s="136">
        <v>25</v>
      </c>
      <c r="F80" s="5">
        <v>1979</v>
      </c>
      <c r="G80" s="13">
        <f>C80*F80</f>
        <v>989.5</v>
      </c>
      <c r="H80" s="13">
        <f>G80/E80</f>
        <v>39.58</v>
      </c>
      <c r="I80" s="7">
        <f t="shared" si="65"/>
        <v>155.56053560889339</v>
      </c>
      <c r="J80" s="95">
        <f t="shared" ref="J80" si="78">I80*H80</f>
        <v>6157.0859994000002</v>
      </c>
      <c r="K80" s="140">
        <f t="shared" ref="K80:K81" si="79">J80*E80</f>
        <v>153927.149985</v>
      </c>
      <c r="L80" s="140">
        <f>158115.66-4188.51</f>
        <v>153927.15</v>
      </c>
      <c r="M80" s="3">
        <f t="shared" ref="M80:M81" si="80">L80-K80</f>
        <v>1.4999997802078724E-5</v>
      </c>
      <c r="N80" s="35">
        <f t="shared" ref="N80" si="81">L80/12/1.302/C80</f>
        <v>19703.93625192012</v>
      </c>
    </row>
    <row r="81" spans="1:15" ht="15.75" thickBot="1">
      <c r="A81" s="15" t="s">
        <v>42</v>
      </c>
      <c r="B81" s="16" t="s">
        <v>49</v>
      </c>
      <c r="C81" s="112">
        <v>0.5</v>
      </c>
      <c r="D81" s="47">
        <v>15240.1</v>
      </c>
      <c r="E81" s="138">
        <v>20</v>
      </c>
      <c r="F81" s="5">
        <v>1979</v>
      </c>
      <c r="G81" s="17">
        <f>C81*F81</f>
        <v>989.5</v>
      </c>
      <c r="H81" s="17">
        <f>G81/E81</f>
        <v>49.475000000000001</v>
      </c>
      <c r="I81" s="7">
        <f t="shared" si="65"/>
        <v>120.31901081354221</v>
      </c>
      <c r="J81" s="97">
        <f>I81*H81</f>
        <v>5952.7830600000007</v>
      </c>
      <c r="K81" s="140">
        <f t="shared" si="79"/>
        <v>119055.66120000002</v>
      </c>
      <c r="L81" s="140">
        <v>119055.66</v>
      </c>
      <c r="M81" s="3">
        <f t="shared" si="80"/>
        <v>-1.2000000133411959E-3</v>
      </c>
      <c r="N81" s="35">
        <f>L81/12/1.302/C81</f>
        <v>15240.099846390169</v>
      </c>
    </row>
    <row r="82" spans="1:15">
      <c r="A82" s="40"/>
      <c r="B82" s="41"/>
      <c r="C82" s="56"/>
      <c r="D82" s="56"/>
      <c r="E82" s="41">
        <f>SUM(E71:E81)</f>
        <v>250</v>
      </c>
      <c r="F82" s="41"/>
      <c r="G82" s="44"/>
      <c r="H82" s="44"/>
      <c r="I82" s="56"/>
      <c r="J82" s="45"/>
      <c r="K82" s="3"/>
      <c r="L82" s="3"/>
      <c r="M82" s="3"/>
      <c r="N82" s="35"/>
    </row>
    <row r="83" spans="1:15">
      <c r="A83" s="40"/>
      <c r="B83" s="41"/>
      <c r="C83" s="56"/>
      <c r="D83" s="56"/>
      <c r="E83" s="41"/>
      <c r="F83" s="41"/>
      <c r="G83" s="44"/>
      <c r="H83" s="44"/>
      <c r="I83" s="56"/>
      <c r="J83" s="45"/>
      <c r="K83" s="2" t="s">
        <v>45</v>
      </c>
      <c r="L83" s="2" t="s">
        <v>46</v>
      </c>
      <c r="M83" s="3"/>
      <c r="N83" s="35"/>
    </row>
    <row r="84" spans="1:15" outlineLevel="1">
      <c r="N84" s="1" t="s">
        <v>60</v>
      </c>
    </row>
    <row r="85" spans="1:15" outlineLevel="1">
      <c r="C85" s="111">
        <f>C71+C55+C39</f>
        <v>79.02</v>
      </c>
      <c r="D85" s="111">
        <f>88.645-9.625</f>
        <v>79.02</v>
      </c>
      <c r="E85" s="3">
        <f>D85-C85</f>
        <v>0</v>
      </c>
      <c r="J85" s="1">
        <v>1</v>
      </c>
      <c r="K85" s="140">
        <f t="shared" ref="K85:L89" si="82">K39+K23+K7+K71+K55</f>
        <v>26400300.002432294</v>
      </c>
      <c r="L85" s="140">
        <f>L39+L23+L7+L71+L55</f>
        <v>26400300</v>
      </c>
      <c r="M85" s="140">
        <f t="shared" ref="M85:M93" si="83">L85-K85</f>
        <v>-2.4322941899299622E-3</v>
      </c>
      <c r="N85" s="140">
        <f>16368203+4943197+1268203+382997+2640323+797377</f>
        <v>26400300</v>
      </c>
      <c r="O85" s="3">
        <f>N85-L85</f>
        <v>0</v>
      </c>
    </row>
    <row r="86" spans="1:15" outlineLevel="1">
      <c r="C86" s="111">
        <f>C72+C56+C40</f>
        <v>75.150000000000006</v>
      </c>
      <c r="D86" s="111">
        <f>91.65-16.5</f>
        <v>75.150000000000006</v>
      </c>
      <c r="E86" s="3">
        <f t="shared" ref="E86:E93" si="84">D86-C86</f>
        <v>0</v>
      </c>
      <c r="J86" s="1">
        <v>2</v>
      </c>
      <c r="K86" s="140">
        <f t="shared" si="82"/>
        <v>28041300.010114528</v>
      </c>
      <c r="L86" s="140">
        <f t="shared" si="82"/>
        <v>28041300</v>
      </c>
      <c r="M86" s="140">
        <f t="shared" si="83"/>
        <v>-1.0114528238773346E-2</v>
      </c>
      <c r="N86" s="140">
        <f>16561598+5001602+1359831+410669+3615668+1091932</f>
        <v>28041300</v>
      </c>
      <c r="O86" s="3">
        <f t="shared" ref="O86:O89" si="85">N86-L86</f>
        <v>0</v>
      </c>
    </row>
    <row r="87" spans="1:15" outlineLevel="1">
      <c r="C87" s="111">
        <f>C73+C57+C41</f>
        <v>105.69</v>
      </c>
      <c r="D87" s="111">
        <f>138.14-15.95-2.5-4-10</f>
        <v>105.68999999999998</v>
      </c>
      <c r="E87" s="3">
        <f t="shared" si="84"/>
        <v>0</v>
      </c>
      <c r="J87" s="1">
        <v>3</v>
      </c>
      <c r="K87" s="140">
        <f t="shared" si="82"/>
        <v>34024600.001226246</v>
      </c>
      <c r="L87" s="140">
        <f t="shared" si="82"/>
        <v>34024600</v>
      </c>
      <c r="M87" s="140">
        <f t="shared" si="83"/>
        <v>-1.2262463569641113E-3</v>
      </c>
      <c r="N87" s="140">
        <f>2339500+20255760+6117240+4079954+1232146</f>
        <v>34024600</v>
      </c>
      <c r="O87" s="3">
        <f t="shared" si="85"/>
        <v>0</v>
      </c>
    </row>
    <row r="88" spans="1:15" outlineLevel="1">
      <c r="C88" s="111">
        <f>C74+C58+C42</f>
        <v>109.1</v>
      </c>
      <c r="D88" s="111">
        <f>125.1-16</f>
        <v>109.1</v>
      </c>
      <c r="E88" s="3">
        <f t="shared" si="84"/>
        <v>0</v>
      </c>
      <c r="J88" s="1">
        <v>9</v>
      </c>
      <c r="K88" s="140">
        <f t="shared" si="82"/>
        <v>38980699.997509375</v>
      </c>
      <c r="L88" s="140">
        <f>L42+L26+L10+L74+L58</f>
        <v>38980700</v>
      </c>
      <c r="M88" s="140">
        <f t="shared" si="83"/>
        <v>2.4906247854232788E-3</v>
      </c>
      <c r="N88" s="140">
        <f>2992000+22109524+6677076+5531567+1670533</f>
        <v>38980700</v>
      </c>
      <c r="O88" s="3">
        <f t="shared" si="85"/>
        <v>0</v>
      </c>
    </row>
    <row r="89" spans="1:15" outlineLevel="1">
      <c r="C89" s="111">
        <f>C75+C59+C43</f>
        <v>64.599999999999994</v>
      </c>
      <c r="D89" s="111">
        <f>78.6-14</f>
        <v>64.599999999999994</v>
      </c>
      <c r="E89" s="3">
        <f t="shared" si="84"/>
        <v>0</v>
      </c>
      <c r="J89" s="1">
        <v>14</v>
      </c>
      <c r="K89" s="140">
        <f>K43+K27+K11+K75+K59</f>
        <v>25627299.99738653</v>
      </c>
      <c r="L89" s="140">
        <f t="shared" si="82"/>
        <v>25627300</v>
      </c>
      <c r="M89" s="140">
        <f t="shared" si="83"/>
        <v>2.6134699583053589E-3</v>
      </c>
      <c r="N89" s="140">
        <f>2196300+14474040+4371160+3522120+1063680</f>
        <v>25627300</v>
      </c>
      <c r="O89" s="3">
        <f t="shared" si="85"/>
        <v>0</v>
      </c>
    </row>
    <row r="90" spans="1:15" outlineLevel="1">
      <c r="C90" s="111">
        <f>C45+C61+C77</f>
        <v>115.85</v>
      </c>
      <c r="D90" s="111">
        <f>131.475-15.625</f>
        <v>115.85</v>
      </c>
      <c r="E90" s="3">
        <f t="shared" si="84"/>
        <v>0</v>
      </c>
      <c r="J90" s="1">
        <v>7</v>
      </c>
      <c r="K90" s="140">
        <f>K13+K29+K45+K61+K77</f>
        <v>41712300.003849298</v>
      </c>
      <c r="L90" s="140">
        <f>L13+L29+L45+L61+L77</f>
        <v>41712300.000000007</v>
      </c>
      <c r="M90" s="140">
        <f>L90-K90</f>
        <v>-3.8492903113365173E-3</v>
      </c>
      <c r="N90" s="140">
        <f>2132600+25213287+7614413+5185868+1566132</f>
        <v>41712300</v>
      </c>
      <c r="O90" s="3">
        <f>N90-L90</f>
        <v>0</v>
      </c>
    </row>
    <row r="91" spans="1:15" outlineLevel="1">
      <c r="C91" s="111">
        <f>C46+C62+C78</f>
        <v>113.52</v>
      </c>
      <c r="D91" s="111">
        <f>136.27-22.75</f>
        <v>113.52000000000001</v>
      </c>
      <c r="E91" s="3">
        <f t="shared" si="84"/>
        <v>0</v>
      </c>
      <c r="J91" s="1">
        <v>8</v>
      </c>
      <c r="K91" s="140">
        <f>K14+K30+K46+K62+K78</f>
        <v>38891500.013026893</v>
      </c>
      <c r="L91" s="140">
        <f>L14+L30+L46+L62+L78</f>
        <v>38891499.999999993</v>
      </c>
      <c r="M91" s="140">
        <f t="shared" si="83"/>
        <v>-1.3026900589466095E-2</v>
      </c>
      <c r="N91" s="140">
        <f>1830200+22463748+6784052+6001152+1812348</f>
        <v>38891500</v>
      </c>
      <c r="O91" s="3">
        <f t="shared" ref="O91:O93" si="86">N91-L91</f>
        <v>0</v>
      </c>
    </row>
    <row r="92" spans="1:15" outlineLevel="1">
      <c r="C92" s="111">
        <f>C80+C64+C48</f>
        <v>38.56</v>
      </c>
      <c r="D92" s="111">
        <f>2+35.06+1.5</f>
        <v>38.56</v>
      </c>
      <c r="E92" s="3">
        <f t="shared" si="84"/>
        <v>0</v>
      </c>
      <c r="J92" s="1">
        <v>4</v>
      </c>
      <c r="K92" s="140">
        <f>K80+K64+K48+K32+K16</f>
        <v>14683600.002420723</v>
      </c>
      <c r="L92" s="140">
        <f>L80+L64+L48+L32+L16</f>
        <v>14683600</v>
      </c>
      <c r="M92" s="140">
        <f t="shared" si="83"/>
        <v>-2.4207234382629395E-3</v>
      </c>
      <c r="N92" s="140">
        <f>859400+8986329+2713871+1631336+492664</f>
        <v>14683600</v>
      </c>
      <c r="O92" s="3">
        <f t="shared" si="86"/>
        <v>0</v>
      </c>
    </row>
    <row r="93" spans="1:15" outlineLevel="1">
      <c r="C93" s="111">
        <f>C81+C65+C49</f>
        <v>32.53</v>
      </c>
      <c r="D93" s="111">
        <f>41.03-8.5</f>
        <v>32.53</v>
      </c>
      <c r="E93" s="3">
        <f t="shared" si="84"/>
        <v>0</v>
      </c>
      <c r="J93" s="1">
        <v>11</v>
      </c>
      <c r="K93" s="140">
        <f>K81+K65+K49+K33+K17</f>
        <v>11315999.999117067</v>
      </c>
      <c r="L93" s="140">
        <f>L81+L65+L49+L33+L17</f>
        <v>11316000</v>
      </c>
      <c r="M93" s="140">
        <f t="shared" si="83"/>
        <v>8.8293291628360748E-4</v>
      </c>
      <c r="N93" s="140">
        <f>986700+6304762+1904038+1628648+491852</f>
        <v>11316000</v>
      </c>
      <c r="O93" s="3">
        <f t="shared" si="86"/>
        <v>0</v>
      </c>
    </row>
    <row r="98" spans="11:11">
      <c r="K98" s="3"/>
    </row>
  </sheetData>
  <pageMargins left="0.31496062992125984" right="0" top="0.35433070866141736" bottom="0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79998168889431442"/>
  </sheetPr>
  <dimension ref="A1:Q261"/>
  <sheetViews>
    <sheetView workbookViewId="0">
      <pane xSplit="1" ySplit="5" topLeftCell="B204" activePane="bottomRight" state="frozen"/>
      <selection pane="topRight" activeCell="B1" sqref="B1"/>
      <selection pane="bottomLeft" activeCell="A6" sqref="A6"/>
      <selection pane="bottomRight" activeCell="H267" sqref="H267"/>
    </sheetView>
  </sheetViews>
  <sheetFormatPr defaultRowHeight="15"/>
  <cols>
    <col min="1" max="1" width="12.7109375" customWidth="1"/>
    <col min="2" max="2" width="33" style="1" customWidth="1"/>
    <col min="3" max="3" width="11" style="1" customWidth="1"/>
    <col min="4" max="4" width="15.5703125" style="1" customWidth="1"/>
    <col min="5" max="5" width="11.42578125" style="163" customWidth="1"/>
    <col min="6" max="6" width="10.85546875" style="1" customWidth="1"/>
    <col min="7" max="7" width="9.85546875" customWidth="1"/>
    <col min="8" max="8" width="12.7109375" customWidth="1"/>
    <col min="9" max="9" width="14.140625" style="1" customWidth="1"/>
    <col min="10" max="10" width="11.5703125" style="1" customWidth="1"/>
    <col min="11" max="11" width="11.7109375" style="1" customWidth="1"/>
    <col min="12" max="12" width="7" style="1" customWidth="1"/>
    <col min="13" max="13" width="9.42578125" style="1" bestFit="1" customWidth="1"/>
    <col min="14" max="14" width="6.5703125" style="1" customWidth="1"/>
    <col min="15" max="16" width="9.140625" style="1"/>
  </cols>
  <sheetData>
    <row r="1" spans="1:17" ht="30.2" customHeight="1">
      <c r="A1" s="178" t="s">
        <v>75</v>
      </c>
      <c r="B1" s="178"/>
      <c r="C1" s="178"/>
      <c r="D1" s="178"/>
      <c r="E1" s="178"/>
      <c r="F1" s="178"/>
      <c r="G1" s="178"/>
      <c r="H1" s="178"/>
      <c r="I1" s="178"/>
    </row>
    <row r="2" spans="1:17" ht="3.95" customHeight="1">
      <c r="A2" s="53"/>
      <c r="B2" s="53"/>
      <c r="C2" s="53"/>
      <c r="D2" s="53"/>
      <c r="E2" s="162"/>
      <c r="F2" s="53"/>
      <c r="G2" s="53"/>
      <c r="H2" s="53"/>
      <c r="I2" s="53"/>
    </row>
    <row r="3" spans="1:17" ht="19.5" thickBot="1">
      <c r="A3" s="31" t="s">
        <v>34</v>
      </c>
      <c r="Q3" s="1"/>
    </row>
    <row r="4" spans="1:17" ht="58.35" customHeight="1">
      <c r="A4" s="57" t="s">
        <v>3</v>
      </c>
      <c r="B4" s="22" t="s">
        <v>13</v>
      </c>
      <c r="C4" s="22" t="s">
        <v>18</v>
      </c>
      <c r="D4" s="22" t="s">
        <v>14</v>
      </c>
      <c r="E4" s="164" t="s">
        <v>53</v>
      </c>
      <c r="F4" s="22" t="s">
        <v>54</v>
      </c>
      <c r="G4" s="22" t="s">
        <v>15</v>
      </c>
      <c r="H4" s="22" t="s">
        <v>16</v>
      </c>
      <c r="I4" s="23" t="s">
        <v>10</v>
      </c>
      <c r="J4" s="2"/>
      <c r="K4" s="2"/>
      <c r="L4" s="2"/>
    </row>
    <row r="5" spans="1:17" ht="15.75" thickBot="1">
      <c r="A5" s="36">
        <v>1</v>
      </c>
      <c r="B5" s="9">
        <v>2</v>
      </c>
      <c r="C5" s="9">
        <v>3</v>
      </c>
      <c r="D5" s="9">
        <v>4</v>
      </c>
      <c r="E5" s="165">
        <v>5</v>
      </c>
      <c r="F5" s="9" t="s">
        <v>17</v>
      </c>
      <c r="G5" s="9">
        <v>7</v>
      </c>
      <c r="H5" s="8">
        <v>8</v>
      </c>
      <c r="I5" s="37" t="s">
        <v>19</v>
      </c>
      <c r="J5" s="1" t="s">
        <v>45</v>
      </c>
      <c r="K5" s="1" t="s">
        <v>63</v>
      </c>
    </row>
    <row r="6" spans="1:17" ht="45">
      <c r="A6" s="11" t="s">
        <v>35</v>
      </c>
      <c r="B6" s="58" t="s">
        <v>50</v>
      </c>
      <c r="C6" s="12" t="s">
        <v>25</v>
      </c>
      <c r="D6" s="12">
        <v>1</v>
      </c>
      <c r="E6" s="137">
        <v>182</v>
      </c>
      <c r="F6" s="28">
        <f>D6/E6</f>
        <v>5.4945054945054949E-3</v>
      </c>
      <c r="G6" s="19">
        <v>1</v>
      </c>
      <c r="H6" s="13">
        <v>38072.31</v>
      </c>
      <c r="I6" s="116">
        <f>F6*H6</f>
        <v>209.18851648351648</v>
      </c>
      <c r="J6" s="163"/>
      <c r="K6" s="163"/>
      <c r="L6" s="163"/>
      <c r="M6" s="163"/>
    </row>
    <row r="7" spans="1:17">
      <c r="A7" s="14"/>
      <c r="B7" s="5" t="s">
        <v>29</v>
      </c>
      <c r="C7" s="5" t="s">
        <v>25</v>
      </c>
      <c r="D7" s="5">
        <v>1</v>
      </c>
      <c r="E7" s="137">
        <v>182</v>
      </c>
      <c r="F7" s="29">
        <f>D7/E7</f>
        <v>5.4945054945054949E-3</v>
      </c>
      <c r="G7" s="18">
        <v>1</v>
      </c>
      <c r="H7" s="6">
        <v>10000</v>
      </c>
      <c r="I7" s="117">
        <f t="shared" ref="I7:I12" si="0">F7*H7</f>
        <v>54.945054945054949</v>
      </c>
      <c r="J7" s="163"/>
      <c r="K7" s="163"/>
      <c r="L7" s="163"/>
      <c r="M7" s="163"/>
    </row>
    <row r="8" spans="1:17">
      <c r="A8" s="14"/>
      <c r="B8" s="5" t="s">
        <v>20</v>
      </c>
      <c r="C8" s="5" t="s">
        <v>21</v>
      </c>
      <c r="D8" s="5">
        <v>135</v>
      </c>
      <c r="E8" s="137">
        <v>182</v>
      </c>
      <c r="F8" s="29">
        <f>D8/E9</f>
        <v>0.74175824175824179</v>
      </c>
      <c r="G8" s="18">
        <v>1</v>
      </c>
      <c r="H8" s="6">
        <v>250</v>
      </c>
      <c r="I8" s="117">
        <f t="shared" ref="I8:I11" si="1">F8*H8</f>
        <v>185.43956043956044</v>
      </c>
      <c r="J8" s="163"/>
      <c r="K8" s="163"/>
      <c r="L8" s="163"/>
      <c r="M8" s="163"/>
    </row>
    <row r="9" spans="1:17">
      <c r="A9" s="14"/>
      <c r="B9" s="5" t="s">
        <v>65</v>
      </c>
      <c r="C9" s="5" t="s">
        <v>66</v>
      </c>
      <c r="D9" s="115">
        <v>815.84</v>
      </c>
      <c r="E9" s="137">
        <v>182</v>
      </c>
      <c r="F9" s="29">
        <f>D9/E11</f>
        <v>4.4826373626373632</v>
      </c>
      <c r="G9" s="18">
        <v>1</v>
      </c>
      <c r="H9" s="6">
        <v>350</v>
      </c>
      <c r="I9" s="117">
        <f t="shared" si="1"/>
        <v>1568.9230769230771</v>
      </c>
      <c r="J9" s="163">
        <f>I9*E9</f>
        <v>285544.00000000006</v>
      </c>
      <c r="K9" s="163">
        <f>713860*0.4</f>
        <v>285544</v>
      </c>
      <c r="L9" s="163">
        <f>K9-J9</f>
        <v>0</v>
      </c>
      <c r="M9" s="163">
        <f>K9/H9</f>
        <v>815.84</v>
      </c>
    </row>
    <row r="10" spans="1:17">
      <c r="A10" s="14"/>
      <c r="B10" s="5" t="s">
        <v>67</v>
      </c>
      <c r="C10" s="5" t="s">
        <v>25</v>
      </c>
      <c r="D10" s="5">
        <v>1</v>
      </c>
      <c r="E10" s="137">
        <v>182</v>
      </c>
      <c r="F10" s="29">
        <f>D10/E12</f>
        <v>5.4945054945054949E-3</v>
      </c>
      <c r="G10" s="18">
        <v>1</v>
      </c>
      <c r="H10" s="6">
        <v>80748.850000000006</v>
      </c>
      <c r="I10" s="117">
        <f t="shared" si="1"/>
        <v>443.67500000000007</v>
      </c>
      <c r="J10" s="163"/>
      <c r="K10" s="163"/>
      <c r="L10" s="163"/>
      <c r="M10" s="163"/>
    </row>
    <row r="11" spans="1:17">
      <c r="A11" s="14"/>
      <c r="B11" s="5" t="s">
        <v>52</v>
      </c>
      <c r="C11" s="5" t="s">
        <v>25</v>
      </c>
      <c r="D11" s="5">
        <v>1</v>
      </c>
      <c r="E11" s="137">
        <v>182</v>
      </c>
      <c r="F11" s="29">
        <f t="shared" ref="F11" si="2">D11/E12</f>
        <v>5.4945054945054949E-3</v>
      </c>
      <c r="G11" s="18">
        <v>1</v>
      </c>
      <c r="H11" s="6">
        <v>10740.04</v>
      </c>
      <c r="I11" s="117">
        <f t="shared" si="1"/>
        <v>59.011208791208801</v>
      </c>
      <c r="J11" s="163"/>
      <c r="K11" s="163"/>
      <c r="L11" s="163"/>
      <c r="M11" s="163"/>
    </row>
    <row r="12" spans="1:17">
      <c r="A12" s="14"/>
      <c r="B12" s="5" t="s">
        <v>51</v>
      </c>
      <c r="C12" s="5" t="s">
        <v>25</v>
      </c>
      <c r="D12" s="5">
        <v>1</v>
      </c>
      <c r="E12" s="137">
        <v>182</v>
      </c>
      <c r="F12" s="29">
        <f>D12/E12</f>
        <v>5.4945054945054949E-3</v>
      </c>
      <c r="G12" s="18">
        <v>1</v>
      </c>
      <c r="H12" s="6">
        <v>2000</v>
      </c>
      <c r="I12" s="117">
        <f t="shared" si="0"/>
        <v>10.989010989010989</v>
      </c>
      <c r="J12" s="163"/>
      <c r="K12" s="163"/>
      <c r="L12" s="163"/>
      <c r="M12" s="163"/>
    </row>
    <row r="13" spans="1:17" ht="15.75" thickBot="1">
      <c r="A13" s="15"/>
      <c r="B13" s="16"/>
      <c r="C13" s="16"/>
      <c r="D13" s="16"/>
      <c r="E13" s="155"/>
      <c r="F13" s="38"/>
      <c r="G13" s="39"/>
      <c r="H13" s="17"/>
      <c r="I13" s="118">
        <f>SUM(I6:I12)</f>
        <v>2532.1714285714293</v>
      </c>
      <c r="J13" s="169">
        <f>I13*E12</f>
        <v>460855.20000000013</v>
      </c>
      <c r="K13" s="169">
        <f>(1484300-285367-46795)*0.4</f>
        <v>460855.2</v>
      </c>
      <c r="L13" s="169">
        <f>K13-J13</f>
        <v>0</v>
      </c>
      <c r="M13" s="163"/>
    </row>
    <row r="14" spans="1:17" ht="45">
      <c r="A14" s="11" t="s">
        <v>36</v>
      </c>
      <c r="B14" s="58" t="s">
        <v>50</v>
      </c>
      <c r="C14" s="12" t="s">
        <v>25</v>
      </c>
      <c r="D14" s="12">
        <v>1</v>
      </c>
      <c r="E14" s="137">
        <v>306</v>
      </c>
      <c r="F14" s="28">
        <f>D14/E14</f>
        <v>3.2679738562091504E-3</v>
      </c>
      <c r="G14" s="19">
        <v>1</v>
      </c>
      <c r="H14" s="13">
        <v>59594.87</v>
      </c>
      <c r="I14" s="116">
        <f>F14*H14</f>
        <v>194.75447712418301</v>
      </c>
      <c r="J14" s="163"/>
      <c r="K14" s="163"/>
      <c r="L14" s="163"/>
      <c r="M14" s="163"/>
    </row>
    <row r="15" spans="1:17">
      <c r="A15" s="14"/>
      <c r="B15" s="5" t="s">
        <v>29</v>
      </c>
      <c r="C15" s="5" t="s">
        <v>25</v>
      </c>
      <c r="D15" s="5">
        <v>1</v>
      </c>
      <c r="E15" s="137">
        <v>306</v>
      </c>
      <c r="F15" s="29">
        <f>D15/E15</f>
        <v>3.2679738562091504E-3</v>
      </c>
      <c r="G15" s="18">
        <v>1</v>
      </c>
      <c r="H15" s="6">
        <v>25000</v>
      </c>
      <c r="I15" s="117">
        <f t="shared" ref="I15:I20" si="3">F15*H15</f>
        <v>81.699346405228766</v>
      </c>
      <c r="J15" s="163"/>
      <c r="K15" s="163"/>
      <c r="L15" s="163"/>
      <c r="M15" s="163"/>
    </row>
    <row r="16" spans="1:17">
      <c r="A16" s="14"/>
      <c r="B16" s="5" t="s">
        <v>20</v>
      </c>
      <c r="C16" s="5" t="s">
        <v>21</v>
      </c>
      <c r="D16" s="5">
        <v>100</v>
      </c>
      <c r="E16" s="137">
        <v>306</v>
      </c>
      <c r="F16" s="29">
        <f>D16/E16</f>
        <v>0.32679738562091504</v>
      </c>
      <c r="G16" s="18">
        <v>1</v>
      </c>
      <c r="H16" s="6">
        <v>250</v>
      </c>
      <c r="I16" s="117">
        <f t="shared" si="3"/>
        <v>81.699346405228766</v>
      </c>
      <c r="J16" s="163"/>
      <c r="K16" s="163"/>
      <c r="L16" s="163"/>
      <c r="M16" s="163"/>
    </row>
    <row r="17" spans="1:13">
      <c r="A17" s="14"/>
      <c r="B17" s="5" t="s">
        <v>65</v>
      </c>
      <c r="C17" s="5" t="s">
        <v>66</v>
      </c>
      <c r="D17" s="115">
        <v>1325.4813999999999</v>
      </c>
      <c r="E17" s="137">
        <v>306</v>
      </c>
      <c r="F17" s="29">
        <f>D17/E19</f>
        <v>4.331638562091503</v>
      </c>
      <c r="G17" s="18">
        <v>1</v>
      </c>
      <c r="H17" s="6">
        <v>350</v>
      </c>
      <c r="I17" s="117">
        <f t="shared" si="3"/>
        <v>1516.0734967320261</v>
      </c>
      <c r="J17" s="163">
        <f>I17*E17</f>
        <v>463918.49</v>
      </c>
      <c r="K17" s="163">
        <f>1030930*0.45</f>
        <v>463918.5</v>
      </c>
      <c r="L17" s="163">
        <f>K17-J17</f>
        <v>1.0000000009313226E-2</v>
      </c>
      <c r="M17" s="177">
        <f>K17/H17</f>
        <v>1325.4814285714285</v>
      </c>
    </row>
    <row r="18" spans="1:13">
      <c r="A18" s="14"/>
      <c r="B18" s="5" t="s">
        <v>67</v>
      </c>
      <c r="C18" s="5" t="s">
        <v>25</v>
      </c>
      <c r="D18" s="5">
        <v>1</v>
      </c>
      <c r="E18" s="137">
        <v>306</v>
      </c>
      <c r="F18" s="29">
        <f>D18/E20</f>
        <v>3.2679738562091504E-3</v>
      </c>
      <c r="G18" s="18">
        <v>1</v>
      </c>
      <c r="H18" s="6">
        <v>173717.74</v>
      </c>
      <c r="I18" s="117">
        <f t="shared" si="3"/>
        <v>567.70503267973857</v>
      </c>
      <c r="J18" s="163"/>
      <c r="K18" s="163"/>
      <c r="L18" s="163"/>
      <c r="M18" s="163"/>
    </row>
    <row r="19" spans="1:13">
      <c r="A19" s="14"/>
      <c r="B19" s="5" t="s">
        <v>52</v>
      </c>
      <c r="C19" s="5" t="s">
        <v>25</v>
      </c>
      <c r="D19" s="5">
        <v>1</v>
      </c>
      <c r="E19" s="137">
        <v>306</v>
      </c>
      <c r="F19" s="29">
        <f>D19/E19</f>
        <v>3.2679738562091504E-3</v>
      </c>
      <c r="G19" s="18">
        <v>1</v>
      </c>
      <c r="H19" s="6">
        <v>10000</v>
      </c>
      <c r="I19" s="117">
        <f t="shared" si="3"/>
        <v>32.679738562091501</v>
      </c>
      <c r="J19" s="163"/>
      <c r="K19" s="163"/>
      <c r="L19" s="163"/>
      <c r="M19" s="163"/>
    </row>
    <row r="20" spans="1:13">
      <c r="A20" s="14"/>
      <c r="B20" s="5" t="s">
        <v>51</v>
      </c>
      <c r="C20" s="5" t="s">
        <v>25</v>
      </c>
      <c r="D20" s="5">
        <v>1</v>
      </c>
      <c r="E20" s="137">
        <v>306</v>
      </c>
      <c r="F20" s="29">
        <f>D20/E20</f>
        <v>3.2679738562091504E-3</v>
      </c>
      <c r="G20" s="18">
        <v>1</v>
      </c>
      <c r="H20" s="6">
        <v>52123.15</v>
      </c>
      <c r="I20" s="117">
        <f t="shared" si="3"/>
        <v>170.33709150326797</v>
      </c>
      <c r="J20" s="163"/>
      <c r="K20" s="163"/>
      <c r="L20" s="163"/>
      <c r="M20" s="163"/>
    </row>
    <row r="21" spans="1:13" ht="15.75" thickBot="1">
      <c r="A21" s="15"/>
      <c r="B21" s="16"/>
      <c r="C21" s="16"/>
      <c r="D21" s="16"/>
      <c r="E21" s="155"/>
      <c r="F21" s="38"/>
      <c r="G21" s="39"/>
      <c r="H21" s="17"/>
      <c r="I21" s="118">
        <f>SUM(I14:I20)</f>
        <v>2644.9485294117649</v>
      </c>
      <c r="J21" s="169">
        <f>I21*E20</f>
        <v>809354.25</v>
      </c>
      <c r="K21" s="169">
        <f>(2119900-273335-48000)*0.45</f>
        <v>809354.25</v>
      </c>
      <c r="L21" s="169">
        <f>K21-J21</f>
        <v>0</v>
      </c>
      <c r="M21" s="163"/>
    </row>
    <row r="22" spans="1:13" ht="45">
      <c r="A22" s="11" t="s">
        <v>37</v>
      </c>
      <c r="B22" s="58" t="s">
        <v>50</v>
      </c>
      <c r="C22" s="12" t="s">
        <v>25</v>
      </c>
      <c r="D22" s="12">
        <v>1</v>
      </c>
      <c r="E22" s="137">
        <v>252</v>
      </c>
      <c r="F22" s="28">
        <f>D22/E22</f>
        <v>3.968253968253968E-3</v>
      </c>
      <c r="G22" s="19">
        <v>1</v>
      </c>
      <c r="H22" s="13">
        <v>48033.74</v>
      </c>
      <c r="I22" s="116">
        <f>F22*H22</f>
        <v>190.61007936507934</v>
      </c>
      <c r="J22" s="163"/>
      <c r="K22" s="163"/>
      <c r="L22" s="163"/>
      <c r="M22" s="163"/>
    </row>
    <row r="23" spans="1:13">
      <c r="A23" s="14"/>
      <c r="B23" s="5" t="s">
        <v>29</v>
      </c>
      <c r="C23" s="5" t="s">
        <v>25</v>
      </c>
      <c r="D23" s="5">
        <v>1</v>
      </c>
      <c r="E23" s="137">
        <v>252</v>
      </c>
      <c r="F23" s="29">
        <f>D23/E23</f>
        <v>3.968253968253968E-3</v>
      </c>
      <c r="G23" s="18">
        <v>1</v>
      </c>
      <c r="H23" s="6">
        <v>10000</v>
      </c>
      <c r="I23" s="117">
        <f t="shared" ref="I23:I28" si="4">F23*H23</f>
        <v>39.682539682539684</v>
      </c>
      <c r="J23" s="163"/>
      <c r="K23" s="163"/>
      <c r="L23" s="163"/>
      <c r="M23" s="163"/>
    </row>
    <row r="24" spans="1:13">
      <c r="A24" s="14"/>
      <c r="B24" s="5" t="s">
        <v>20</v>
      </c>
      <c r="C24" s="5" t="s">
        <v>21</v>
      </c>
      <c r="D24" s="5">
        <v>200</v>
      </c>
      <c r="E24" s="137">
        <v>252</v>
      </c>
      <c r="F24" s="29">
        <f>D24/E24</f>
        <v>0.79365079365079361</v>
      </c>
      <c r="G24" s="18">
        <v>1</v>
      </c>
      <c r="H24" s="6">
        <v>250</v>
      </c>
      <c r="I24" s="117">
        <f t="shared" si="4"/>
        <v>198.4126984126984</v>
      </c>
      <c r="J24" s="163"/>
      <c r="K24" s="163"/>
      <c r="L24" s="163"/>
      <c r="M24" s="163"/>
    </row>
    <row r="25" spans="1:13">
      <c r="A25" s="14"/>
      <c r="B25" s="5" t="s">
        <v>65</v>
      </c>
      <c r="C25" s="5" t="s">
        <v>66</v>
      </c>
      <c r="D25" s="115">
        <v>1091.502</v>
      </c>
      <c r="E25" s="137">
        <v>252</v>
      </c>
      <c r="F25" s="29">
        <f>D25/E27</f>
        <v>4.3313571428571427</v>
      </c>
      <c r="G25" s="18">
        <v>1</v>
      </c>
      <c r="H25" s="6">
        <v>350</v>
      </c>
      <c r="I25" s="117">
        <f t="shared" si="4"/>
        <v>1515.9749999999999</v>
      </c>
      <c r="J25" s="163">
        <f>I25*E25</f>
        <v>382025.69999999995</v>
      </c>
      <c r="K25" s="163">
        <f>868240*0.44</f>
        <v>382025.6</v>
      </c>
      <c r="L25" s="163">
        <f>K25-J25</f>
        <v>-9.9999999976716936E-2</v>
      </c>
      <c r="M25" s="163">
        <f>K25/H25</f>
        <v>1091.5017142857141</v>
      </c>
    </row>
    <row r="26" spans="1:13">
      <c r="A26" s="14"/>
      <c r="B26" s="5" t="s">
        <v>67</v>
      </c>
      <c r="C26" s="5" t="s">
        <v>25</v>
      </c>
      <c r="D26" s="5">
        <v>1</v>
      </c>
      <c r="E26" s="137">
        <v>252</v>
      </c>
      <c r="F26" s="29">
        <f>D26/E28</f>
        <v>3.968253968253968E-3</v>
      </c>
      <c r="G26" s="18">
        <v>1</v>
      </c>
      <c r="H26" s="6">
        <v>180000</v>
      </c>
      <c r="I26" s="117">
        <f t="shared" si="4"/>
        <v>714.28571428571422</v>
      </c>
      <c r="J26" s="163"/>
      <c r="K26" s="163"/>
      <c r="L26" s="163"/>
      <c r="M26" s="163"/>
    </row>
    <row r="27" spans="1:13">
      <c r="A27" s="14"/>
      <c r="B27" s="5" t="s">
        <v>52</v>
      </c>
      <c r="C27" s="5" t="s">
        <v>25</v>
      </c>
      <c r="D27" s="5">
        <v>1</v>
      </c>
      <c r="E27" s="137">
        <v>252</v>
      </c>
      <c r="F27" s="29">
        <f>D27/E27</f>
        <v>3.968253968253968E-3</v>
      </c>
      <c r="G27" s="18">
        <v>1</v>
      </c>
      <c r="H27" s="6">
        <v>10000</v>
      </c>
      <c r="I27" s="117">
        <f t="shared" si="4"/>
        <v>39.682539682539684</v>
      </c>
      <c r="J27" s="163"/>
      <c r="K27" s="163"/>
      <c r="L27" s="163"/>
      <c r="M27" s="163"/>
    </row>
    <row r="28" spans="1:13">
      <c r="A28" s="14"/>
      <c r="B28" s="5" t="s">
        <v>51</v>
      </c>
      <c r="C28" s="5" t="s">
        <v>25</v>
      </c>
      <c r="D28" s="5">
        <v>1</v>
      </c>
      <c r="E28" s="137">
        <v>252</v>
      </c>
      <c r="F28" s="29">
        <f>D28/E28</f>
        <v>3.968253968253968E-3</v>
      </c>
      <c r="G28" s="18">
        <v>1</v>
      </c>
      <c r="H28" s="6">
        <v>49386.2</v>
      </c>
      <c r="I28" s="117">
        <f t="shared" si="4"/>
        <v>195.97698412698409</v>
      </c>
      <c r="J28" s="163"/>
      <c r="K28" s="163"/>
      <c r="L28" s="163"/>
      <c r="M28" s="163"/>
    </row>
    <row r="29" spans="1:13" ht="15.75" thickBot="1">
      <c r="A29" s="15"/>
      <c r="B29" s="16"/>
      <c r="C29" s="16"/>
      <c r="D29" s="16"/>
      <c r="E29" s="155"/>
      <c r="F29" s="38"/>
      <c r="G29" s="39"/>
      <c r="H29" s="17"/>
      <c r="I29" s="118">
        <f>SUM(I22:I28)</f>
        <v>2894.6255555555554</v>
      </c>
      <c r="J29" s="169">
        <f>I29*E28</f>
        <v>729445.6399999999</v>
      </c>
      <c r="K29" s="169">
        <f>(1955200-228369-69000)*0.44</f>
        <v>729445.64</v>
      </c>
      <c r="L29" s="169">
        <f>K29-J29</f>
        <v>0</v>
      </c>
      <c r="M29" s="163"/>
    </row>
    <row r="30" spans="1:13" ht="45">
      <c r="A30" s="11" t="s">
        <v>39</v>
      </c>
      <c r="B30" s="58" t="s">
        <v>50</v>
      </c>
      <c r="C30" s="12" t="s">
        <v>25</v>
      </c>
      <c r="D30" s="12">
        <v>1</v>
      </c>
      <c r="E30" s="137">
        <v>407</v>
      </c>
      <c r="F30" s="28">
        <f>D30/E30</f>
        <v>2.4570024570024569E-3</v>
      </c>
      <c r="G30" s="19">
        <v>1</v>
      </c>
      <c r="H30" s="13">
        <v>59518.79</v>
      </c>
      <c r="I30" s="116">
        <f>F30*H30</f>
        <v>146.23781326781327</v>
      </c>
      <c r="J30" s="169"/>
      <c r="K30" s="169"/>
      <c r="L30" s="169"/>
      <c r="M30" s="163"/>
    </row>
    <row r="31" spans="1:13">
      <c r="A31" s="14"/>
      <c r="B31" s="5" t="s">
        <v>29</v>
      </c>
      <c r="C31" s="5" t="s">
        <v>25</v>
      </c>
      <c r="D31" s="5">
        <v>1</v>
      </c>
      <c r="E31" s="137">
        <v>407</v>
      </c>
      <c r="F31" s="29">
        <f>D31/E31</f>
        <v>2.4570024570024569E-3</v>
      </c>
      <c r="G31" s="18">
        <v>1</v>
      </c>
      <c r="H31" s="6">
        <v>6000</v>
      </c>
      <c r="I31" s="117">
        <f t="shared" ref="I31:I36" si="5">F31*H31</f>
        <v>14.742014742014742</v>
      </c>
      <c r="J31" s="169"/>
      <c r="K31" s="169"/>
      <c r="L31" s="169"/>
      <c r="M31" s="163"/>
    </row>
    <row r="32" spans="1:13">
      <c r="A32" s="14"/>
      <c r="B32" s="5" t="s">
        <v>20</v>
      </c>
      <c r="C32" s="5" t="s">
        <v>21</v>
      </c>
      <c r="D32" s="5">
        <v>225</v>
      </c>
      <c r="E32" s="137">
        <v>407</v>
      </c>
      <c r="F32" s="29">
        <f>D32/E32</f>
        <v>0.55282555282555279</v>
      </c>
      <c r="G32" s="18">
        <v>1</v>
      </c>
      <c r="H32" s="6">
        <v>250</v>
      </c>
      <c r="I32" s="117">
        <f t="shared" si="5"/>
        <v>138.2063882063882</v>
      </c>
      <c r="J32" s="169"/>
      <c r="K32" s="169"/>
      <c r="L32" s="169"/>
      <c r="M32" s="163"/>
    </row>
    <row r="33" spans="1:13">
      <c r="A33" s="14"/>
      <c r="B33" s="5" t="s">
        <v>65</v>
      </c>
      <c r="C33" s="5" t="s">
        <v>66</v>
      </c>
      <c r="D33" s="115">
        <v>1778.4169999999999</v>
      </c>
      <c r="E33" s="137">
        <v>407</v>
      </c>
      <c r="F33" s="29">
        <f t="shared" ref="F33:F35" si="6">D33/E33</f>
        <v>4.3695749385749387</v>
      </c>
      <c r="G33" s="18">
        <v>1</v>
      </c>
      <c r="H33" s="6">
        <v>350</v>
      </c>
      <c r="I33" s="117">
        <f>F33*H33</f>
        <v>1529.3512285012287</v>
      </c>
      <c r="J33" s="163">
        <f>I33*E33</f>
        <v>622445.95000000007</v>
      </c>
      <c r="K33" s="163">
        <f>1414650*0.44</f>
        <v>622446</v>
      </c>
      <c r="L33" s="163">
        <f>K33-J33</f>
        <v>4.9999999930150807E-2</v>
      </c>
      <c r="M33" s="163">
        <f>K33/H33</f>
        <v>1778.4171428571428</v>
      </c>
    </row>
    <row r="34" spans="1:13">
      <c r="A34" s="14"/>
      <c r="B34" s="5" t="s">
        <v>67</v>
      </c>
      <c r="C34" s="5" t="s">
        <v>25</v>
      </c>
      <c r="D34" s="5">
        <v>1</v>
      </c>
      <c r="E34" s="137">
        <v>407</v>
      </c>
      <c r="F34" s="29">
        <f t="shared" si="6"/>
        <v>2.4570024570024569E-3</v>
      </c>
      <c r="G34" s="18">
        <v>1</v>
      </c>
      <c r="H34" s="6">
        <v>209988.9</v>
      </c>
      <c r="I34" s="117">
        <f t="shared" si="5"/>
        <v>515.94324324324316</v>
      </c>
      <c r="J34" s="163"/>
      <c r="K34" s="163"/>
      <c r="L34" s="163"/>
      <c r="M34" s="163"/>
    </row>
    <row r="35" spans="1:13">
      <c r="A35" s="14"/>
      <c r="B35" s="5" t="s">
        <v>52</v>
      </c>
      <c r="C35" s="5" t="s">
        <v>25</v>
      </c>
      <c r="D35" s="5">
        <v>1</v>
      </c>
      <c r="E35" s="137">
        <v>407</v>
      </c>
      <c r="F35" s="29">
        <f t="shared" si="6"/>
        <v>2.4570024570024569E-3</v>
      </c>
      <c r="G35" s="18">
        <v>1</v>
      </c>
      <c r="H35" s="6">
        <v>15000</v>
      </c>
      <c r="I35" s="117">
        <f t="shared" si="5"/>
        <v>36.855036855036857</v>
      </c>
      <c r="J35" s="169"/>
      <c r="K35" s="169"/>
      <c r="L35" s="169"/>
      <c r="M35" s="163"/>
    </row>
    <row r="36" spans="1:13">
      <c r="A36" s="14"/>
      <c r="B36" s="5" t="s">
        <v>51</v>
      </c>
      <c r="C36" s="5" t="s">
        <v>25</v>
      </c>
      <c r="D36" s="5">
        <v>1</v>
      </c>
      <c r="E36" s="137">
        <v>407</v>
      </c>
      <c r="F36" s="29">
        <f>D36/E36</f>
        <v>2.4570024570024569E-3</v>
      </c>
      <c r="G36" s="18">
        <v>1</v>
      </c>
      <c r="H36" s="6">
        <v>2000</v>
      </c>
      <c r="I36" s="117">
        <f t="shared" si="5"/>
        <v>4.9140049140049138</v>
      </c>
      <c r="J36" s="169"/>
      <c r="K36" s="169"/>
      <c r="L36" s="169"/>
      <c r="M36" s="163"/>
    </row>
    <row r="37" spans="1:13" ht="15.75" thickBot="1">
      <c r="A37" s="15"/>
      <c r="B37" s="16"/>
      <c r="C37" s="16"/>
      <c r="D37" s="16"/>
      <c r="E37" s="155"/>
      <c r="F37" s="38"/>
      <c r="G37" s="39"/>
      <c r="H37" s="17"/>
      <c r="I37" s="118">
        <f>SUM(I30:I36)</f>
        <v>2386.24972972973</v>
      </c>
      <c r="J37" s="169">
        <f>I37*E36</f>
        <v>971203.64000000013</v>
      </c>
      <c r="K37" s="169">
        <f>(2923400-646119-70000)*0.44</f>
        <v>971203.64</v>
      </c>
      <c r="L37" s="169">
        <f>K37-J37</f>
        <v>0</v>
      </c>
      <c r="M37" s="163"/>
    </row>
    <row r="38" spans="1:13" ht="45">
      <c r="A38" s="11" t="s">
        <v>40</v>
      </c>
      <c r="B38" s="58" t="s">
        <v>50</v>
      </c>
      <c r="C38" s="12" t="s">
        <v>25</v>
      </c>
      <c r="D38" s="12">
        <v>1</v>
      </c>
      <c r="E38" s="137">
        <v>403</v>
      </c>
      <c r="F38" s="28">
        <f>D38/E38</f>
        <v>2.4813895781637717E-3</v>
      </c>
      <c r="G38" s="19">
        <v>1</v>
      </c>
      <c r="H38" s="13">
        <v>33413.040000000001</v>
      </c>
      <c r="I38" s="116">
        <f>F38*H38</f>
        <v>82.910769230769233</v>
      </c>
      <c r="J38" s="163"/>
      <c r="K38" s="163"/>
      <c r="L38" s="163"/>
      <c r="M38" s="163"/>
    </row>
    <row r="39" spans="1:13">
      <c r="A39" s="14"/>
      <c r="B39" s="5" t="s">
        <v>29</v>
      </c>
      <c r="C39" s="5" t="s">
        <v>25</v>
      </c>
      <c r="D39" s="5">
        <v>1</v>
      </c>
      <c r="E39" s="137">
        <v>403</v>
      </c>
      <c r="F39" s="29">
        <f>D39/E39</f>
        <v>2.4813895781637717E-3</v>
      </c>
      <c r="G39" s="18">
        <v>1</v>
      </c>
      <c r="H39" s="6">
        <v>6000</v>
      </c>
      <c r="I39" s="117">
        <f t="shared" ref="I39:I45" si="7">F39*H39</f>
        <v>14.88833746898263</v>
      </c>
      <c r="J39" s="163"/>
      <c r="K39" s="163"/>
      <c r="L39" s="163"/>
      <c r="M39" s="163"/>
    </row>
    <row r="40" spans="1:13">
      <c r="A40" s="14"/>
      <c r="B40" s="5" t="s">
        <v>20</v>
      </c>
      <c r="C40" s="5" t="s">
        <v>21</v>
      </c>
      <c r="D40" s="5">
        <v>250</v>
      </c>
      <c r="E40" s="137">
        <v>403</v>
      </c>
      <c r="F40" s="29">
        <f>D40/E40</f>
        <v>0.6203473945409429</v>
      </c>
      <c r="G40" s="18">
        <v>1</v>
      </c>
      <c r="H40" s="6">
        <v>250</v>
      </c>
      <c r="I40" s="117">
        <f>F40*H40</f>
        <v>155.08684863523573</v>
      </c>
      <c r="J40" s="163"/>
      <c r="K40" s="163"/>
      <c r="L40" s="163"/>
      <c r="M40" s="163"/>
    </row>
    <row r="41" spans="1:13">
      <c r="A41" s="14"/>
      <c r="B41" s="5" t="s">
        <v>65</v>
      </c>
      <c r="C41" s="5" t="s">
        <v>66</v>
      </c>
      <c r="D41" s="115">
        <v>1722.7670000000001</v>
      </c>
      <c r="E41" s="137">
        <v>403</v>
      </c>
      <c r="F41" s="29">
        <f>D41/E44</f>
        <v>4.2748560794044668</v>
      </c>
      <c r="G41" s="18">
        <v>1</v>
      </c>
      <c r="H41" s="6">
        <v>350</v>
      </c>
      <c r="I41" s="117">
        <f>F41*H41</f>
        <v>1496.1996277915634</v>
      </c>
      <c r="J41" s="163">
        <f>I41*E41</f>
        <v>602968.45000000007</v>
      </c>
      <c r="K41" s="163">
        <f>1470655*0.41</f>
        <v>602968.54999999993</v>
      </c>
      <c r="L41" s="163">
        <f>K41-J41</f>
        <v>9.9999999860301614E-2</v>
      </c>
      <c r="M41" s="163">
        <f>K41/H41</f>
        <v>1722.7672857142854</v>
      </c>
    </row>
    <row r="42" spans="1:13">
      <c r="A42" s="14"/>
      <c r="B42" s="5" t="s">
        <v>67</v>
      </c>
      <c r="C42" s="5" t="s">
        <v>25</v>
      </c>
      <c r="D42" s="5">
        <v>1</v>
      </c>
      <c r="E42" s="137">
        <v>403</v>
      </c>
      <c r="F42" s="29">
        <f>D42/E45</f>
        <v>2.4813895781637717E-3</v>
      </c>
      <c r="G42" s="18">
        <v>1</v>
      </c>
      <c r="H42" s="6">
        <v>225297.64</v>
      </c>
      <c r="I42" s="117">
        <f t="shared" si="7"/>
        <v>559.05121588089332</v>
      </c>
      <c r="J42" s="163"/>
      <c r="K42" s="163"/>
      <c r="L42" s="163"/>
      <c r="M42" s="163"/>
    </row>
    <row r="43" spans="1:13">
      <c r="A43" s="14"/>
      <c r="B43" s="5" t="s">
        <v>67</v>
      </c>
      <c r="C43" s="5" t="s">
        <v>25</v>
      </c>
      <c r="D43" s="5">
        <v>1</v>
      </c>
      <c r="E43" s="137">
        <v>403</v>
      </c>
      <c r="F43" s="29">
        <f>D43/E45</f>
        <v>2.4813895781637717E-3</v>
      </c>
      <c r="G43" s="18">
        <v>1</v>
      </c>
      <c r="H43" s="6"/>
      <c r="I43" s="117">
        <f t="shared" ref="I43" si="8">F43*H43</f>
        <v>0</v>
      </c>
      <c r="J43" s="163"/>
      <c r="K43" s="163"/>
      <c r="L43" s="163"/>
      <c r="M43" s="163"/>
    </row>
    <row r="44" spans="1:13">
      <c r="A44" s="14"/>
      <c r="B44" s="5" t="s">
        <v>52</v>
      </c>
      <c r="C44" s="5" t="s">
        <v>25</v>
      </c>
      <c r="D44" s="5">
        <v>1</v>
      </c>
      <c r="E44" s="137">
        <v>403</v>
      </c>
      <c r="F44" s="29">
        <f>D44/E44</f>
        <v>2.4813895781637717E-3</v>
      </c>
      <c r="G44" s="18">
        <v>1</v>
      </c>
      <c r="H44" s="6">
        <v>15000</v>
      </c>
      <c r="I44" s="117">
        <f>F44*H44</f>
        <v>37.220843672456574</v>
      </c>
      <c r="J44" s="163"/>
      <c r="K44" s="169"/>
      <c r="L44" s="163"/>
      <c r="M44" s="163"/>
    </row>
    <row r="45" spans="1:13">
      <c r="A45" s="14"/>
      <c r="B45" s="5" t="s">
        <v>51</v>
      </c>
      <c r="C45" s="5" t="s">
        <v>25</v>
      </c>
      <c r="D45" s="5">
        <v>1</v>
      </c>
      <c r="E45" s="137">
        <v>403</v>
      </c>
      <c r="F45" s="29">
        <f>D45/E45</f>
        <v>2.4813895781637717E-3</v>
      </c>
      <c r="G45" s="18">
        <v>1</v>
      </c>
      <c r="H45" s="6">
        <v>2000</v>
      </c>
      <c r="I45" s="117">
        <f t="shared" si="7"/>
        <v>4.9627791563275432</v>
      </c>
      <c r="J45" s="163"/>
      <c r="K45" s="169"/>
      <c r="L45" s="163"/>
      <c r="M45" s="163"/>
    </row>
    <row r="46" spans="1:13" ht="15.75" thickBot="1">
      <c r="A46" s="82"/>
      <c r="B46" s="83"/>
      <c r="C46" s="83"/>
      <c r="D46" s="83"/>
      <c r="E46" s="155"/>
      <c r="F46" s="84"/>
      <c r="G46" s="126"/>
      <c r="H46" s="127"/>
      <c r="I46" s="128">
        <f>SUM(I38:I45)</f>
        <v>2350.3204218362284</v>
      </c>
      <c r="J46" s="169">
        <f>I46*E45</f>
        <v>947179.13</v>
      </c>
      <c r="K46" s="169">
        <f>(2949400-544882-94325)*0.41</f>
        <v>947179.12999999989</v>
      </c>
      <c r="L46" s="169">
        <f>K46-J46</f>
        <v>0</v>
      </c>
      <c r="M46" s="163"/>
    </row>
    <row r="47" spans="1:13">
      <c r="A47" s="11"/>
      <c r="B47" s="12"/>
      <c r="C47" s="12"/>
      <c r="D47" s="12"/>
      <c r="E47" s="136"/>
      <c r="F47" s="28"/>
      <c r="G47" s="19" t="s">
        <v>31</v>
      </c>
      <c r="H47" s="13"/>
      <c r="I47" s="135">
        <f>I46-I48</f>
        <v>2350.3204218362284</v>
      </c>
      <c r="J47" s="169">
        <f>I47*419</f>
        <v>984784.25674937968</v>
      </c>
      <c r="K47" s="169"/>
      <c r="L47" s="169"/>
      <c r="M47" s="163"/>
    </row>
    <row r="48" spans="1:13" ht="15.75" thickBot="1">
      <c r="A48" s="15"/>
      <c r="B48" s="16"/>
      <c r="C48" s="16"/>
      <c r="D48" s="16"/>
      <c r="E48" s="138"/>
      <c r="F48" s="38"/>
      <c r="G48" s="39" t="s">
        <v>74</v>
      </c>
      <c r="H48" s="17"/>
      <c r="I48" s="118">
        <f>I43</f>
        <v>0</v>
      </c>
      <c r="J48" s="169">
        <f>I48*419</f>
        <v>0</v>
      </c>
      <c r="K48" s="169"/>
      <c r="L48" s="169"/>
      <c r="M48" s="163"/>
    </row>
    <row r="49" spans="1:13" ht="45">
      <c r="A49" s="129" t="s">
        <v>41</v>
      </c>
      <c r="B49" s="130" t="s">
        <v>50</v>
      </c>
      <c r="C49" s="10" t="s">
        <v>25</v>
      </c>
      <c r="D49" s="10">
        <v>1</v>
      </c>
      <c r="E49" s="166">
        <v>267</v>
      </c>
      <c r="F49" s="131">
        <f>D49/E49</f>
        <v>3.7453183520599251E-3</v>
      </c>
      <c r="G49" s="132">
        <v>1</v>
      </c>
      <c r="H49" s="133">
        <v>21915</v>
      </c>
      <c r="I49" s="134">
        <f>F49*H49</f>
        <v>82.078651685393254</v>
      </c>
      <c r="J49" s="169"/>
      <c r="K49" s="169"/>
      <c r="L49" s="169"/>
      <c r="M49" s="163"/>
    </row>
    <row r="50" spans="1:13">
      <c r="A50" s="14"/>
      <c r="B50" s="5" t="s">
        <v>29</v>
      </c>
      <c r="C50" s="5" t="s">
        <v>25</v>
      </c>
      <c r="D50" s="5">
        <v>1</v>
      </c>
      <c r="E50" s="166">
        <v>267</v>
      </c>
      <c r="F50" s="29">
        <f>D50/E50</f>
        <v>3.7453183520599251E-3</v>
      </c>
      <c r="G50" s="18">
        <v>1</v>
      </c>
      <c r="H50" s="6">
        <v>9000</v>
      </c>
      <c r="I50" s="117">
        <f t="shared" ref="I50:I56" si="9">F50*H50</f>
        <v>33.707865168539328</v>
      </c>
      <c r="J50" s="169"/>
      <c r="K50" s="169"/>
      <c r="L50" s="169"/>
      <c r="M50" s="163"/>
    </row>
    <row r="51" spans="1:13">
      <c r="A51" s="14"/>
      <c r="B51" s="5" t="s">
        <v>20</v>
      </c>
      <c r="C51" s="5" t="s">
        <v>21</v>
      </c>
      <c r="D51" s="5">
        <v>100</v>
      </c>
      <c r="E51" s="166">
        <v>267</v>
      </c>
      <c r="F51" s="29">
        <f>D51/E51</f>
        <v>0.37453183520599254</v>
      </c>
      <c r="G51" s="18">
        <v>1</v>
      </c>
      <c r="H51" s="6">
        <v>250</v>
      </c>
      <c r="I51" s="117">
        <f t="shared" si="9"/>
        <v>93.632958801498134</v>
      </c>
      <c r="J51" s="169"/>
      <c r="K51" s="169"/>
      <c r="L51" s="169"/>
      <c r="M51" s="163"/>
    </row>
    <row r="52" spans="1:13">
      <c r="A52" s="14"/>
      <c r="B52" s="5" t="s">
        <v>65</v>
      </c>
      <c r="C52" s="5" t="s">
        <v>66</v>
      </c>
      <c r="D52" s="115">
        <v>1131.9690000000001</v>
      </c>
      <c r="E52" s="166">
        <v>267</v>
      </c>
      <c r="F52" s="29">
        <f>D52/E55</f>
        <v>4.2395842696629211</v>
      </c>
      <c r="G52" s="18">
        <v>1</v>
      </c>
      <c r="H52" s="6">
        <v>350</v>
      </c>
      <c r="I52" s="117">
        <f t="shared" si="9"/>
        <v>1483.8544943820225</v>
      </c>
      <c r="J52" s="163">
        <f>I52*E52</f>
        <v>396189.15</v>
      </c>
      <c r="K52" s="163">
        <f>921370*0.43</f>
        <v>396189.1</v>
      </c>
      <c r="L52" s="163">
        <f>K52-J52</f>
        <v>-5.0000000046566129E-2</v>
      </c>
      <c r="M52" s="163">
        <f>K52/H52</f>
        <v>1131.9688571428571</v>
      </c>
    </row>
    <row r="53" spans="1:13">
      <c r="A53" s="14"/>
      <c r="B53" s="5" t="s">
        <v>67</v>
      </c>
      <c r="C53" s="5" t="s">
        <v>25</v>
      </c>
      <c r="D53" s="5">
        <v>1</v>
      </c>
      <c r="E53" s="166">
        <v>267</v>
      </c>
      <c r="F53" s="29">
        <f>D53/E56</f>
        <v>3.7453183520599251E-3</v>
      </c>
      <c r="G53" s="18">
        <v>1</v>
      </c>
      <c r="H53" s="6">
        <v>89230.31</v>
      </c>
      <c r="I53" s="117">
        <f t="shared" si="9"/>
        <v>334.19591760299625</v>
      </c>
      <c r="J53" s="163"/>
      <c r="K53" s="163"/>
      <c r="L53" s="163"/>
      <c r="M53" s="163"/>
    </row>
    <row r="54" spans="1:13">
      <c r="A54" s="14"/>
      <c r="B54" s="5" t="s">
        <v>67</v>
      </c>
      <c r="C54" s="5" t="s">
        <v>25</v>
      </c>
      <c r="D54" s="5">
        <v>1</v>
      </c>
      <c r="E54" s="166">
        <v>267</v>
      </c>
      <c r="F54" s="29">
        <f>D54/E56</f>
        <v>3.7453183520599251E-3</v>
      </c>
      <c r="G54" s="18">
        <v>1</v>
      </c>
      <c r="H54" s="6"/>
      <c r="I54" s="117">
        <f t="shared" ref="I54" si="10">F54*H54</f>
        <v>0</v>
      </c>
      <c r="J54" s="163"/>
      <c r="K54" s="163"/>
      <c r="L54" s="163"/>
      <c r="M54" s="163"/>
    </row>
    <row r="55" spans="1:13">
      <c r="A55" s="14"/>
      <c r="B55" s="5" t="s">
        <v>52</v>
      </c>
      <c r="C55" s="5" t="s">
        <v>25</v>
      </c>
      <c r="D55" s="5">
        <v>1</v>
      </c>
      <c r="E55" s="166">
        <v>267</v>
      </c>
      <c r="F55" s="29">
        <f>D55/E55</f>
        <v>3.7453183520599251E-3</v>
      </c>
      <c r="G55" s="18">
        <v>1</v>
      </c>
      <c r="H55" s="6">
        <v>5000</v>
      </c>
      <c r="I55" s="117">
        <f t="shared" si="9"/>
        <v>18.726591760299627</v>
      </c>
      <c r="J55" s="169"/>
      <c r="K55" s="169"/>
      <c r="L55" s="169"/>
      <c r="M55" s="163"/>
    </row>
    <row r="56" spans="1:13">
      <c r="A56" s="14"/>
      <c r="B56" s="5" t="s">
        <v>51</v>
      </c>
      <c r="C56" s="5" t="s">
        <v>25</v>
      </c>
      <c r="D56" s="5">
        <v>1</v>
      </c>
      <c r="E56" s="166">
        <v>267</v>
      </c>
      <c r="F56" s="29">
        <f>D56/E56</f>
        <v>3.7453183520599251E-3</v>
      </c>
      <c r="G56" s="18">
        <v>1</v>
      </c>
      <c r="H56" s="6">
        <v>3000</v>
      </c>
      <c r="I56" s="117">
        <f t="shared" si="9"/>
        <v>11.235955056179776</v>
      </c>
      <c r="J56" s="169"/>
      <c r="K56" s="169"/>
      <c r="L56" s="169"/>
      <c r="M56" s="163"/>
    </row>
    <row r="57" spans="1:13" ht="15.75" thickBot="1">
      <c r="A57" s="15"/>
      <c r="B57" s="16"/>
      <c r="C57" s="16"/>
      <c r="D57" s="16"/>
      <c r="E57" s="138"/>
      <c r="F57" s="38"/>
      <c r="G57" s="39"/>
      <c r="H57" s="17"/>
      <c r="I57" s="118">
        <f>SUM(I49:I56)</f>
        <v>2057.4324344569291</v>
      </c>
      <c r="J57" s="169">
        <f>I57*E56</f>
        <v>549334.46000000008</v>
      </c>
      <c r="K57" s="169">
        <f>(1881100-368378-235200)*0.43</f>
        <v>549334.46</v>
      </c>
      <c r="L57" s="169">
        <f>K57-J57</f>
        <v>0</v>
      </c>
      <c r="M57" s="163"/>
    </row>
    <row r="58" spans="1:13">
      <c r="A58" s="11"/>
      <c r="B58" s="12"/>
      <c r="C58" s="12"/>
      <c r="D58" s="12"/>
      <c r="E58" s="136"/>
      <c r="F58" s="28"/>
      <c r="G58" s="19" t="s">
        <v>31</v>
      </c>
      <c r="H58" s="13"/>
      <c r="I58" s="135">
        <f>I57-I59</f>
        <v>2057.4324344569291</v>
      </c>
      <c r="J58" s="169">
        <f>I58*247</f>
        <v>508185.81131086149</v>
      </c>
      <c r="K58" s="169"/>
      <c r="L58" s="169"/>
      <c r="M58" s="163"/>
    </row>
    <row r="59" spans="1:13" ht="15.75" thickBot="1">
      <c r="A59" s="15"/>
      <c r="B59" s="16"/>
      <c r="C59" s="16"/>
      <c r="D59" s="16"/>
      <c r="E59" s="138"/>
      <c r="F59" s="38"/>
      <c r="G59" s="39" t="s">
        <v>74</v>
      </c>
      <c r="H59" s="17"/>
      <c r="I59" s="118">
        <f>I54</f>
        <v>0</v>
      </c>
      <c r="J59" s="169">
        <f>I59*247</f>
        <v>0</v>
      </c>
      <c r="K59" s="169"/>
      <c r="L59" s="169"/>
      <c r="M59" s="163"/>
    </row>
    <row r="60" spans="1:13" ht="15.75" thickBot="1">
      <c r="I60" s="35"/>
      <c r="J60" s="59"/>
      <c r="K60" s="59"/>
      <c r="L60" s="59"/>
    </row>
    <row r="61" spans="1:13" ht="45">
      <c r="A61" s="11" t="s">
        <v>58</v>
      </c>
      <c r="B61" s="58" t="s">
        <v>50</v>
      </c>
      <c r="C61" s="12" t="s">
        <v>25</v>
      </c>
      <c r="D61" s="12">
        <v>1</v>
      </c>
      <c r="E61" s="137">
        <v>412</v>
      </c>
      <c r="F61" s="28">
        <f>D61/E61</f>
        <v>2.4271844660194173E-3</v>
      </c>
      <c r="G61" s="19">
        <v>1</v>
      </c>
      <c r="H61" s="13">
        <v>68135.108999999997</v>
      </c>
      <c r="I61" s="116">
        <f>F61*H61</f>
        <v>165.37647815533978</v>
      </c>
      <c r="J61" s="169"/>
      <c r="K61" s="169"/>
      <c r="L61" s="169"/>
      <c r="M61" s="163"/>
    </row>
    <row r="62" spans="1:13">
      <c r="A62" s="14"/>
      <c r="B62" s="5" t="s">
        <v>29</v>
      </c>
      <c r="C62" s="5" t="s">
        <v>25</v>
      </c>
      <c r="D62" s="5">
        <v>1</v>
      </c>
      <c r="E62" s="137">
        <v>412</v>
      </c>
      <c r="F62" s="29">
        <f>D62/E62</f>
        <v>2.4271844660194173E-3</v>
      </c>
      <c r="G62" s="18">
        <v>1</v>
      </c>
      <c r="H62" s="6">
        <v>8000</v>
      </c>
      <c r="I62" s="117">
        <f t="shared" ref="I62:I67" si="11">F62*H62</f>
        <v>19.417475728155338</v>
      </c>
      <c r="J62" s="169"/>
      <c r="K62" s="169"/>
      <c r="L62" s="169"/>
      <c r="M62" s="163"/>
    </row>
    <row r="63" spans="1:13">
      <c r="A63" s="14"/>
      <c r="B63" s="5" t="s">
        <v>20</v>
      </c>
      <c r="C63" s="5" t="s">
        <v>21</v>
      </c>
      <c r="D63" s="5">
        <v>100</v>
      </c>
      <c r="E63" s="137">
        <v>412</v>
      </c>
      <c r="F63" s="29">
        <f>D63/E63</f>
        <v>0.24271844660194175</v>
      </c>
      <c r="G63" s="18">
        <v>1</v>
      </c>
      <c r="H63" s="6">
        <v>250</v>
      </c>
      <c r="I63" s="117">
        <f t="shared" si="11"/>
        <v>60.679611650485441</v>
      </c>
      <c r="J63" s="169"/>
      <c r="K63" s="169"/>
      <c r="L63" s="169"/>
      <c r="M63" s="163"/>
    </row>
    <row r="64" spans="1:13">
      <c r="A64" s="14"/>
      <c r="B64" s="5" t="s">
        <v>65</v>
      </c>
      <c r="C64" s="5" t="s">
        <v>66</v>
      </c>
      <c r="D64" s="115">
        <v>1803.672</v>
      </c>
      <c r="E64" s="137">
        <v>412</v>
      </c>
      <c r="F64" s="29">
        <f>D64/E66</f>
        <v>4.3778446601941745</v>
      </c>
      <c r="G64" s="18">
        <v>1</v>
      </c>
      <c r="H64" s="6">
        <v>350</v>
      </c>
      <c r="I64" s="117">
        <f t="shared" si="11"/>
        <v>1532.2456310679611</v>
      </c>
      <c r="J64" s="163">
        <f>I64*E64</f>
        <v>631285.19999999995</v>
      </c>
      <c r="K64" s="163">
        <f>1539720*0.41</f>
        <v>631285.19999999995</v>
      </c>
      <c r="L64" s="163">
        <f>K64-J64</f>
        <v>0</v>
      </c>
      <c r="M64" s="163">
        <f>K64/H64</f>
        <v>1803.6719999999998</v>
      </c>
    </row>
    <row r="65" spans="1:13">
      <c r="A65" s="14"/>
      <c r="B65" s="5" t="s">
        <v>67</v>
      </c>
      <c r="C65" s="5" t="s">
        <v>25</v>
      </c>
      <c r="D65" s="5">
        <v>1</v>
      </c>
      <c r="E65" s="137">
        <v>412</v>
      </c>
      <c r="F65" s="29">
        <f>D65/E67</f>
        <v>2.4271844660194173E-3</v>
      </c>
      <c r="G65" s="18">
        <v>1</v>
      </c>
      <c r="H65" s="6">
        <v>104424.56</v>
      </c>
      <c r="I65" s="117">
        <f t="shared" si="11"/>
        <v>253.45766990291258</v>
      </c>
      <c r="J65" s="163"/>
      <c r="K65" s="163"/>
      <c r="L65" s="163"/>
      <c r="M65" s="163"/>
    </row>
    <row r="66" spans="1:13">
      <c r="A66" s="14"/>
      <c r="B66" s="5" t="s">
        <v>52</v>
      </c>
      <c r="C66" s="5" t="s">
        <v>25</v>
      </c>
      <c r="D66" s="5">
        <v>1</v>
      </c>
      <c r="E66" s="137">
        <v>412</v>
      </c>
      <c r="F66" s="29">
        <f>D66/E66</f>
        <v>2.4271844660194173E-3</v>
      </c>
      <c r="G66" s="18">
        <v>1</v>
      </c>
      <c r="H66" s="6">
        <v>3299.221</v>
      </c>
      <c r="I66" s="117">
        <f t="shared" si="11"/>
        <v>8.0078179611650473</v>
      </c>
      <c r="J66" s="169"/>
      <c r="K66" s="169"/>
      <c r="L66" s="169"/>
      <c r="M66" s="163"/>
    </row>
    <row r="67" spans="1:13">
      <c r="A67" s="14"/>
      <c r="B67" s="5" t="s">
        <v>51</v>
      </c>
      <c r="C67" s="5" t="s">
        <v>25</v>
      </c>
      <c r="D67" s="5">
        <v>1</v>
      </c>
      <c r="E67" s="137">
        <v>412</v>
      </c>
      <c r="F67" s="29">
        <f>D67/E67</f>
        <v>2.4271844660194173E-3</v>
      </c>
      <c r="G67" s="18">
        <v>1</v>
      </c>
      <c r="H67" s="6">
        <v>3000</v>
      </c>
      <c r="I67" s="117">
        <f t="shared" si="11"/>
        <v>7.2815533980582519</v>
      </c>
      <c r="J67" s="169"/>
      <c r="K67" s="169"/>
      <c r="L67" s="169"/>
      <c r="M67" s="163"/>
    </row>
    <row r="68" spans="1:13" ht="15.75" thickBot="1">
      <c r="A68" s="15"/>
      <c r="B68" s="16"/>
      <c r="C68" s="16"/>
      <c r="D68" s="16"/>
      <c r="E68" s="138"/>
      <c r="F68" s="38"/>
      <c r="G68" s="39"/>
      <c r="H68" s="17"/>
      <c r="I68" s="118">
        <f>SUM(I61:I67)</f>
        <v>2046.4662378640776</v>
      </c>
      <c r="J68" s="169">
        <f>I68*E67</f>
        <v>843144.09</v>
      </c>
      <c r="K68" s="169">
        <f>(3091800-917351-118000)*0.41</f>
        <v>843144.09</v>
      </c>
      <c r="L68" s="169">
        <f>K68-J68</f>
        <v>0</v>
      </c>
      <c r="M68" s="163"/>
    </row>
    <row r="69" spans="1:13" ht="15.75" thickBot="1">
      <c r="I69" s="119"/>
    </row>
    <row r="70" spans="1:13" ht="45">
      <c r="A70" s="11" t="s">
        <v>38</v>
      </c>
      <c r="B70" s="58" t="s">
        <v>50</v>
      </c>
      <c r="C70" s="12" t="s">
        <v>25</v>
      </c>
      <c r="D70" s="12">
        <v>1</v>
      </c>
      <c r="E70" s="137">
        <v>137</v>
      </c>
      <c r="F70" s="28">
        <f>D70/E70</f>
        <v>7.2992700729927005E-3</v>
      </c>
      <c r="G70" s="19">
        <v>1</v>
      </c>
      <c r="H70" s="13">
        <v>55616.97</v>
      </c>
      <c r="I70" s="116">
        <f>F70*H70</f>
        <v>405.96328467153285</v>
      </c>
      <c r="J70" s="163"/>
      <c r="K70" s="163"/>
      <c r="L70" s="163"/>
      <c r="M70" s="163"/>
    </row>
    <row r="71" spans="1:13">
      <c r="A71" s="14"/>
      <c r="B71" s="5" t="s">
        <v>29</v>
      </c>
      <c r="C71" s="5" t="s">
        <v>25</v>
      </c>
      <c r="D71" s="5">
        <v>1</v>
      </c>
      <c r="E71" s="137">
        <v>137</v>
      </c>
      <c r="F71" s="29">
        <f>D71/E71</f>
        <v>7.2992700729927005E-3</v>
      </c>
      <c r="G71" s="18">
        <v>1</v>
      </c>
      <c r="H71" s="6">
        <v>5000</v>
      </c>
      <c r="I71" s="117">
        <f t="shared" ref="I71:I76" si="12">F71*H71</f>
        <v>36.496350364963504</v>
      </c>
      <c r="J71" s="163"/>
      <c r="K71" s="163"/>
      <c r="L71" s="163"/>
      <c r="M71" s="163"/>
    </row>
    <row r="72" spans="1:13">
      <c r="A72" s="14"/>
      <c r="B72" s="5" t="s">
        <v>20</v>
      </c>
      <c r="C72" s="5" t="s">
        <v>21</v>
      </c>
      <c r="D72" s="5">
        <v>100</v>
      </c>
      <c r="E72" s="137">
        <v>137</v>
      </c>
      <c r="F72" s="29">
        <f>D72/E72</f>
        <v>0.72992700729927007</v>
      </c>
      <c r="G72" s="18">
        <v>1</v>
      </c>
      <c r="H72" s="6">
        <v>250</v>
      </c>
      <c r="I72" s="117">
        <f t="shared" si="12"/>
        <v>182.48175182481751</v>
      </c>
      <c r="J72" s="163"/>
      <c r="K72" s="163"/>
      <c r="L72" s="163"/>
      <c r="M72" s="163"/>
    </row>
    <row r="73" spans="1:13">
      <c r="A73" s="14"/>
      <c r="B73" s="5" t="s">
        <v>65</v>
      </c>
      <c r="C73" s="5" t="s">
        <v>66</v>
      </c>
      <c r="D73" s="115">
        <v>578.07309999999995</v>
      </c>
      <c r="E73" s="137">
        <v>137</v>
      </c>
      <c r="F73" s="29">
        <f>D73/E75</f>
        <v>4.2195116788321165</v>
      </c>
      <c r="G73" s="18">
        <v>1</v>
      </c>
      <c r="H73" s="6">
        <v>350</v>
      </c>
      <c r="I73" s="117">
        <f t="shared" si="12"/>
        <v>1476.8290875912408</v>
      </c>
      <c r="J73" s="163">
        <f>I73*E73</f>
        <v>202325.58499999999</v>
      </c>
      <c r="K73" s="163">
        <f>430480*0.47</f>
        <v>202325.59999999998</v>
      </c>
      <c r="L73" s="163">
        <f>K73-J73</f>
        <v>1.4999999984866008E-2</v>
      </c>
      <c r="M73" s="163">
        <f>K73/H73</f>
        <v>578.07314285714278</v>
      </c>
    </row>
    <row r="74" spans="1:13">
      <c r="A74" s="14"/>
      <c r="B74" s="5" t="s">
        <v>67</v>
      </c>
      <c r="C74" s="5" t="s">
        <v>25</v>
      </c>
      <c r="D74" s="5">
        <v>1</v>
      </c>
      <c r="E74" s="137">
        <v>137</v>
      </c>
      <c r="F74" s="29">
        <f>D74/E76</f>
        <v>7.2992700729927005E-3</v>
      </c>
      <c r="G74" s="18">
        <v>1</v>
      </c>
      <c r="H74" s="6">
        <v>128586.815</v>
      </c>
      <c r="I74" s="117">
        <f t="shared" si="12"/>
        <v>938.58989051094886</v>
      </c>
      <c r="J74" s="163"/>
      <c r="K74" s="163"/>
      <c r="L74" s="163"/>
      <c r="M74" s="163"/>
    </row>
    <row r="75" spans="1:13">
      <c r="A75" s="14"/>
      <c r="B75" s="5" t="s">
        <v>52</v>
      </c>
      <c r="C75" s="5" t="s">
        <v>25</v>
      </c>
      <c r="D75" s="5">
        <v>1</v>
      </c>
      <c r="E75" s="137">
        <v>137</v>
      </c>
      <c r="F75" s="29">
        <f>D75/E75</f>
        <v>7.2992700729927005E-3</v>
      </c>
      <c r="G75" s="18">
        <v>1</v>
      </c>
      <c r="H75" s="6">
        <v>3000</v>
      </c>
      <c r="I75" s="117">
        <f t="shared" si="12"/>
        <v>21.897810218978101</v>
      </c>
      <c r="J75" s="163"/>
      <c r="K75" s="169"/>
      <c r="L75" s="163"/>
      <c r="M75" s="163"/>
    </row>
    <row r="76" spans="1:13">
      <c r="A76" s="14"/>
      <c r="B76" s="5" t="s">
        <v>51</v>
      </c>
      <c r="C76" s="5" t="s">
        <v>25</v>
      </c>
      <c r="D76" s="5">
        <v>1</v>
      </c>
      <c r="E76" s="137">
        <v>137</v>
      </c>
      <c r="F76" s="29">
        <f>D76/E76</f>
        <v>7.2992700729927005E-3</v>
      </c>
      <c r="G76" s="18">
        <v>1</v>
      </c>
      <c r="H76" s="6">
        <v>2000</v>
      </c>
      <c r="I76" s="117">
        <f t="shared" si="12"/>
        <v>14.598540145985401</v>
      </c>
      <c r="J76" s="163"/>
      <c r="K76" s="169"/>
      <c r="L76" s="163"/>
      <c r="M76" s="163"/>
    </row>
    <row r="77" spans="1:13" ht="15.75" thickBot="1">
      <c r="A77" s="15"/>
      <c r="B77" s="16"/>
      <c r="C77" s="16"/>
      <c r="D77" s="16"/>
      <c r="E77" s="155"/>
      <c r="F77" s="38"/>
      <c r="G77" s="39"/>
      <c r="H77" s="17"/>
      <c r="I77" s="118">
        <f>SUM(I70:I76)</f>
        <v>3076.8567153284666</v>
      </c>
      <c r="J77" s="169">
        <f>I77*E76</f>
        <v>421529.36999999994</v>
      </c>
      <c r="K77" s="169">
        <f>(1042000-126749-18380)*0.47</f>
        <v>421529.37</v>
      </c>
      <c r="L77" s="169">
        <f>K77-J77</f>
        <v>0</v>
      </c>
      <c r="M77" s="163"/>
    </row>
    <row r="78" spans="1:13" ht="45">
      <c r="A78" s="11" t="s">
        <v>42</v>
      </c>
      <c r="B78" s="58" t="s">
        <v>50</v>
      </c>
      <c r="C78" s="12" t="s">
        <v>25</v>
      </c>
      <c r="D78" s="12">
        <v>1</v>
      </c>
      <c r="E78" s="137">
        <v>112</v>
      </c>
      <c r="F78" s="28">
        <f>D78/E78</f>
        <v>8.9285714285714281E-3</v>
      </c>
      <c r="G78" s="19">
        <v>1</v>
      </c>
      <c r="H78" s="13">
        <v>40128.6</v>
      </c>
      <c r="I78" s="116">
        <f>F78*H78</f>
        <v>358.2910714285714</v>
      </c>
      <c r="J78" s="169"/>
      <c r="K78" s="169"/>
      <c r="L78" s="169"/>
      <c r="M78" s="163"/>
    </row>
    <row r="79" spans="1:13">
      <c r="A79" s="14"/>
      <c r="B79" s="5" t="s">
        <v>29</v>
      </c>
      <c r="C79" s="5" t="s">
        <v>25</v>
      </c>
      <c r="D79" s="5">
        <v>1</v>
      </c>
      <c r="E79" s="137">
        <v>112</v>
      </c>
      <c r="F79" s="29">
        <f>D79/E79</f>
        <v>8.9285714285714281E-3</v>
      </c>
      <c r="G79" s="18">
        <v>1</v>
      </c>
      <c r="H79" s="6">
        <v>5000</v>
      </c>
      <c r="I79" s="117">
        <f t="shared" ref="I79:I84" si="13">F79*H79</f>
        <v>44.642857142857139</v>
      </c>
      <c r="J79" s="169"/>
      <c r="K79" s="169"/>
      <c r="L79" s="169"/>
      <c r="M79" s="163"/>
    </row>
    <row r="80" spans="1:13">
      <c r="A80" s="14"/>
      <c r="B80" s="5" t="s">
        <v>20</v>
      </c>
      <c r="C80" s="5" t="s">
        <v>21</v>
      </c>
      <c r="D80" s="5">
        <v>30</v>
      </c>
      <c r="E80" s="137">
        <v>112</v>
      </c>
      <c r="F80" s="29">
        <f>D80/E80</f>
        <v>0.26785714285714285</v>
      </c>
      <c r="G80" s="18">
        <v>1</v>
      </c>
      <c r="H80" s="6">
        <v>250</v>
      </c>
      <c r="I80" s="117">
        <f t="shared" si="13"/>
        <v>66.964285714285708</v>
      </c>
      <c r="J80" s="169"/>
      <c r="K80" s="169"/>
      <c r="L80" s="169"/>
      <c r="M80" s="163"/>
    </row>
    <row r="81" spans="1:17">
      <c r="A81" s="14"/>
      <c r="B81" s="5" t="s">
        <v>65</v>
      </c>
      <c r="C81" s="5" t="s">
        <v>66</v>
      </c>
      <c r="D81" s="115">
        <v>504.47539999999998</v>
      </c>
      <c r="E81" s="137">
        <v>112</v>
      </c>
      <c r="F81" s="29">
        <f>D81/E83</f>
        <v>4.5042446428571425</v>
      </c>
      <c r="G81" s="18">
        <v>1</v>
      </c>
      <c r="H81" s="6">
        <v>350</v>
      </c>
      <c r="I81" s="117">
        <f t="shared" si="13"/>
        <v>1576.4856249999998</v>
      </c>
      <c r="J81" s="163">
        <f>I81*E81</f>
        <v>176566.38999999998</v>
      </c>
      <c r="K81" s="163">
        <f>383840*0.46</f>
        <v>176566.39999999999</v>
      </c>
      <c r="L81" s="163">
        <f>K81-J81</f>
        <v>1.0000000009313226E-2</v>
      </c>
      <c r="M81" s="163">
        <f>K81/H81</f>
        <v>504.47542857142855</v>
      </c>
    </row>
    <row r="82" spans="1:17">
      <c r="A82" s="14"/>
      <c r="B82" s="5" t="s">
        <v>67</v>
      </c>
      <c r="C82" s="5" t="s">
        <v>25</v>
      </c>
      <c r="D82" s="5">
        <v>1</v>
      </c>
      <c r="E82" s="137">
        <v>112</v>
      </c>
      <c r="F82" s="29">
        <f>D82/E84</f>
        <v>8.9285714285714281E-3</v>
      </c>
      <c r="G82" s="18">
        <v>1</v>
      </c>
      <c r="H82" s="6">
        <v>49455.32</v>
      </c>
      <c r="I82" s="117">
        <f t="shared" si="13"/>
        <v>441.56535714285712</v>
      </c>
      <c r="J82" s="163"/>
      <c r="K82" s="163"/>
      <c r="L82" s="163"/>
      <c r="M82" s="163"/>
    </row>
    <row r="83" spans="1:17">
      <c r="A83" s="14"/>
      <c r="B83" s="5" t="s">
        <v>52</v>
      </c>
      <c r="C83" s="5" t="s">
        <v>25</v>
      </c>
      <c r="D83" s="5">
        <v>1</v>
      </c>
      <c r="E83" s="137">
        <v>112</v>
      </c>
      <c r="F83" s="29">
        <f>D83/E83</f>
        <v>8.9285714285714281E-3</v>
      </c>
      <c r="G83" s="18">
        <v>1</v>
      </c>
      <c r="H83" s="6">
        <v>6780.69</v>
      </c>
      <c r="I83" s="117">
        <f t="shared" si="13"/>
        <v>60.54187499999999</v>
      </c>
      <c r="J83" s="169"/>
      <c r="K83" s="169"/>
      <c r="L83" s="169"/>
      <c r="M83" s="163"/>
    </row>
    <row r="84" spans="1:17">
      <c r="A84" s="14"/>
      <c r="B84" s="5" t="s">
        <v>51</v>
      </c>
      <c r="C84" s="5" t="s">
        <v>25</v>
      </c>
      <c r="D84" s="5">
        <v>1</v>
      </c>
      <c r="E84" s="137">
        <v>112</v>
      </c>
      <c r="F84" s="29">
        <f>D84/E84</f>
        <v>8.9285714285714281E-3</v>
      </c>
      <c r="G84" s="18">
        <v>1</v>
      </c>
      <c r="H84" s="6">
        <v>2000</v>
      </c>
      <c r="I84" s="117">
        <f t="shared" si="13"/>
        <v>17.857142857142858</v>
      </c>
      <c r="J84" s="169"/>
      <c r="K84" s="169"/>
      <c r="L84" s="169"/>
      <c r="M84" s="163"/>
    </row>
    <row r="85" spans="1:17" ht="15.75" thickBot="1">
      <c r="A85" s="15"/>
      <c r="B85" s="16"/>
      <c r="C85" s="16"/>
      <c r="D85" s="16"/>
      <c r="E85" s="138"/>
      <c r="F85" s="38"/>
      <c r="G85" s="39"/>
      <c r="H85" s="17"/>
      <c r="I85" s="118">
        <f>SUM(I78:I84)</f>
        <v>2566.3482142857138</v>
      </c>
      <c r="J85" s="169">
        <f>I85*E84</f>
        <v>287430.99999999994</v>
      </c>
      <c r="K85" s="169">
        <f>(826000-166150-35000)*0.46</f>
        <v>287431</v>
      </c>
      <c r="L85" s="169">
        <f>K85-J85</f>
        <v>0</v>
      </c>
      <c r="M85" s="163"/>
    </row>
    <row r="86" spans="1:17">
      <c r="A86" s="40"/>
      <c r="B86" s="41"/>
      <c r="C86" s="41"/>
      <c r="D86" s="41"/>
      <c r="E86" s="167"/>
      <c r="F86" s="42"/>
      <c r="G86" s="43"/>
      <c r="H86" s="44"/>
      <c r="I86" s="105"/>
    </row>
    <row r="87" spans="1:17" ht="19.5" thickBot="1">
      <c r="A87" s="31" t="s">
        <v>43</v>
      </c>
      <c r="I87" s="104"/>
      <c r="Q87" s="1"/>
    </row>
    <row r="88" spans="1:17" ht="59.65" customHeight="1">
      <c r="A88" s="57" t="s">
        <v>3</v>
      </c>
      <c r="B88" s="22" t="s">
        <v>13</v>
      </c>
      <c r="C88" s="22" t="s">
        <v>18</v>
      </c>
      <c r="D88" s="22" t="s">
        <v>14</v>
      </c>
      <c r="E88" s="164" t="s">
        <v>53</v>
      </c>
      <c r="F88" s="22" t="s">
        <v>54</v>
      </c>
      <c r="G88" s="22" t="s">
        <v>15</v>
      </c>
      <c r="H88" s="22" t="s">
        <v>16</v>
      </c>
      <c r="I88" s="106" t="s">
        <v>10</v>
      </c>
      <c r="J88" s="2"/>
      <c r="K88" s="2"/>
      <c r="L88" s="2"/>
    </row>
    <row r="89" spans="1:17" ht="15.75" thickBot="1">
      <c r="A89" s="36">
        <v>1</v>
      </c>
      <c r="B89" s="9">
        <v>2</v>
      </c>
      <c r="C89" s="9">
        <v>3</v>
      </c>
      <c r="D89" s="9">
        <v>4</v>
      </c>
      <c r="E89" s="165">
        <v>5</v>
      </c>
      <c r="F89" s="9" t="s">
        <v>17</v>
      </c>
      <c r="G89" s="9">
        <v>7</v>
      </c>
      <c r="H89" s="8">
        <v>8</v>
      </c>
      <c r="I89" s="107" t="s">
        <v>19</v>
      </c>
    </row>
    <row r="90" spans="1:17" ht="45">
      <c r="A90" s="11" t="s">
        <v>35</v>
      </c>
      <c r="B90" s="58" t="s">
        <v>50</v>
      </c>
      <c r="C90" s="12" t="s">
        <v>25</v>
      </c>
      <c r="D90" s="12">
        <v>1</v>
      </c>
      <c r="E90" s="137">
        <v>221</v>
      </c>
      <c r="F90" s="28">
        <f>D90/E90</f>
        <v>4.5248868778280547E-3</v>
      </c>
      <c r="G90" s="19">
        <v>1</v>
      </c>
      <c r="H90" s="13">
        <v>48714.42</v>
      </c>
      <c r="I90" s="116">
        <f>F90*H90</f>
        <v>220.42723981900454</v>
      </c>
      <c r="J90" s="163"/>
      <c r="K90" s="163"/>
      <c r="L90" s="163"/>
      <c r="M90" s="163"/>
    </row>
    <row r="91" spans="1:17">
      <c r="A91" s="14"/>
      <c r="B91" s="5" t="s">
        <v>29</v>
      </c>
      <c r="C91" s="5" t="s">
        <v>25</v>
      </c>
      <c r="D91" s="5">
        <v>1</v>
      </c>
      <c r="E91" s="137">
        <v>221</v>
      </c>
      <c r="F91" s="29">
        <f>D91/E91</f>
        <v>4.5248868778280547E-3</v>
      </c>
      <c r="G91" s="18">
        <v>1</v>
      </c>
      <c r="H91" s="6">
        <v>10000</v>
      </c>
      <c r="I91" s="117">
        <f t="shared" ref="I91:I96" si="14">F91*H91</f>
        <v>45.248868778280546</v>
      </c>
      <c r="J91" s="163"/>
      <c r="K91" s="163"/>
      <c r="L91" s="163"/>
      <c r="M91" s="163"/>
    </row>
    <row r="92" spans="1:17">
      <c r="A92" s="14"/>
      <c r="B92" s="5" t="s">
        <v>20</v>
      </c>
      <c r="C92" s="5" t="s">
        <v>21</v>
      </c>
      <c r="D92" s="5">
        <v>150</v>
      </c>
      <c r="E92" s="137">
        <v>221</v>
      </c>
      <c r="F92" s="29">
        <f>D92/E92</f>
        <v>0.67873303167420818</v>
      </c>
      <c r="G92" s="18">
        <v>1</v>
      </c>
      <c r="H92" s="6">
        <v>250</v>
      </c>
      <c r="I92" s="117">
        <f t="shared" si="14"/>
        <v>169.68325791855204</v>
      </c>
      <c r="J92" s="163"/>
      <c r="K92" s="163"/>
      <c r="L92" s="163"/>
      <c r="M92" s="163"/>
    </row>
    <row r="93" spans="1:17">
      <c r="A93" s="14"/>
      <c r="B93" s="5" t="s">
        <v>65</v>
      </c>
      <c r="C93" s="5" t="s">
        <v>66</v>
      </c>
      <c r="D93" s="115">
        <v>999.404</v>
      </c>
      <c r="E93" s="137">
        <v>221</v>
      </c>
      <c r="F93" s="29">
        <f>D93/E95</f>
        <v>4.5221900452488688</v>
      </c>
      <c r="G93" s="18">
        <v>1</v>
      </c>
      <c r="H93" s="6">
        <v>350</v>
      </c>
      <c r="I93" s="117">
        <f t="shared" si="14"/>
        <v>1582.7665158371042</v>
      </c>
      <c r="J93" s="163">
        <f>I93*E93</f>
        <v>349791.4</v>
      </c>
      <c r="K93" s="163">
        <f>713860*0.49</f>
        <v>349791.39999999997</v>
      </c>
      <c r="L93" s="163">
        <f>K93-J93</f>
        <v>0</v>
      </c>
      <c r="M93" s="163">
        <f>K93/H93</f>
        <v>999.40399999999988</v>
      </c>
    </row>
    <row r="94" spans="1:17">
      <c r="A94" s="14"/>
      <c r="B94" s="5" t="s">
        <v>67</v>
      </c>
      <c r="C94" s="5" t="s">
        <v>25</v>
      </c>
      <c r="D94" s="5">
        <v>1</v>
      </c>
      <c r="E94" s="137">
        <v>221</v>
      </c>
      <c r="F94" s="29">
        <f>D94/E96</f>
        <v>4.5248868778280547E-3</v>
      </c>
      <c r="G94" s="18">
        <v>1</v>
      </c>
      <c r="H94" s="6">
        <v>72420.2</v>
      </c>
      <c r="I94" s="117">
        <f t="shared" si="14"/>
        <v>327.69321266968325</v>
      </c>
      <c r="J94" s="163"/>
      <c r="K94" s="163"/>
      <c r="L94" s="163"/>
      <c r="M94" s="163"/>
    </row>
    <row r="95" spans="1:17">
      <c r="A95" s="14"/>
      <c r="B95" s="5" t="s">
        <v>52</v>
      </c>
      <c r="C95" s="5" t="s">
        <v>25</v>
      </c>
      <c r="D95" s="5">
        <v>1</v>
      </c>
      <c r="E95" s="137">
        <v>221</v>
      </c>
      <c r="F95" s="29">
        <f>D95/E95</f>
        <v>4.5248868778280547E-3</v>
      </c>
      <c r="G95" s="18">
        <v>1</v>
      </c>
      <c r="H95" s="6">
        <v>5000</v>
      </c>
      <c r="I95" s="117">
        <f t="shared" si="14"/>
        <v>22.624434389140273</v>
      </c>
      <c r="J95" s="163"/>
      <c r="K95" s="163"/>
      <c r="L95" s="163"/>
      <c r="M95" s="163"/>
    </row>
    <row r="96" spans="1:17">
      <c r="A96" s="14"/>
      <c r="B96" s="5" t="s">
        <v>51</v>
      </c>
      <c r="C96" s="5" t="s">
        <v>25</v>
      </c>
      <c r="D96" s="5">
        <v>1</v>
      </c>
      <c r="E96" s="137">
        <v>221</v>
      </c>
      <c r="F96" s="29">
        <f>D96/E96</f>
        <v>4.5248868778280547E-3</v>
      </c>
      <c r="G96" s="18">
        <v>1</v>
      </c>
      <c r="H96" s="6">
        <v>41121.599999999999</v>
      </c>
      <c r="I96" s="117">
        <f t="shared" si="14"/>
        <v>186.07058823529414</v>
      </c>
      <c r="J96" s="163"/>
      <c r="K96" s="163"/>
      <c r="L96" s="163"/>
      <c r="M96" s="163"/>
    </row>
    <row r="97" spans="1:13" ht="15.75" thickBot="1">
      <c r="A97" s="15"/>
      <c r="B97" s="16"/>
      <c r="C97" s="16"/>
      <c r="D97" s="16"/>
      <c r="E97" s="155"/>
      <c r="F97" s="38"/>
      <c r="G97" s="39"/>
      <c r="H97" s="17"/>
      <c r="I97" s="118">
        <f>SUM(I90:I96)</f>
        <v>2554.5141176470588</v>
      </c>
      <c r="J97" s="169">
        <f>I97*E96</f>
        <v>564547.62</v>
      </c>
      <c r="K97" s="169">
        <f>(1484300-285367-46795)*0.49</f>
        <v>564547.62</v>
      </c>
      <c r="L97" s="169">
        <f>K97-J97</f>
        <v>0</v>
      </c>
      <c r="M97" s="163"/>
    </row>
    <row r="98" spans="1:13" ht="45">
      <c r="A98" s="11" t="s">
        <v>36</v>
      </c>
      <c r="B98" s="58" t="s">
        <v>50</v>
      </c>
      <c r="C98" s="12" t="s">
        <v>25</v>
      </c>
      <c r="D98" s="12">
        <v>1</v>
      </c>
      <c r="E98" s="137">
        <v>328</v>
      </c>
      <c r="F98" s="28">
        <f>D98/E98</f>
        <v>3.0487804878048782E-3</v>
      </c>
      <c r="G98" s="19">
        <v>1</v>
      </c>
      <c r="H98" s="13">
        <v>101244.97</v>
      </c>
      <c r="I98" s="116">
        <f>F98*H98</f>
        <v>308.67368902439028</v>
      </c>
      <c r="J98" s="163"/>
      <c r="K98" s="163"/>
      <c r="L98" s="163"/>
      <c r="M98" s="163"/>
    </row>
    <row r="99" spans="1:13">
      <c r="A99" s="14"/>
      <c r="B99" s="5" t="s">
        <v>29</v>
      </c>
      <c r="C99" s="5" t="s">
        <v>25</v>
      </c>
      <c r="D99" s="5">
        <v>1</v>
      </c>
      <c r="E99" s="137">
        <v>328</v>
      </c>
      <c r="F99" s="29">
        <f>D99/E99</f>
        <v>3.0487804878048782E-3</v>
      </c>
      <c r="G99" s="18">
        <v>1</v>
      </c>
      <c r="H99" s="6">
        <v>8000</v>
      </c>
      <c r="I99" s="117">
        <f t="shared" ref="I99:I104" si="15">F99*H99</f>
        <v>24.390243902439025</v>
      </c>
      <c r="J99" s="163"/>
      <c r="K99" s="163"/>
      <c r="L99" s="163"/>
      <c r="M99" s="163"/>
    </row>
    <row r="100" spans="1:13">
      <c r="A100" s="14"/>
      <c r="B100" s="5" t="s">
        <v>20</v>
      </c>
      <c r="C100" s="5" t="s">
        <v>21</v>
      </c>
      <c r="D100" s="5">
        <v>100</v>
      </c>
      <c r="E100" s="137">
        <v>328</v>
      </c>
      <c r="F100" s="29">
        <f>D100/E100</f>
        <v>0.3048780487804878</v>
      </c>
      <c r="G100" s="18">
        <v>1</v>
      </c>
      <c r="H100" s="6">
        <v>250</v>
      </c>
      <c r="I100" s="117">
        <f t="shared" si="15"/>
        <v>76.219512195121951</v>
      </c>
      <c r="J100" s="163"/>
      <c r="K100" s="163"/>
      <c r="L100" s="163"/>
      <c r="M100" s="163"/>
    </row>
    <row r="101" spans="1:13">
      <c r="A101" s="14"/>
      <c r="B101" s="5" t="s">
        <v>65</v>
      </c>
      <c r="C101" s="5" t="s">
        <v>66</v>
      </c>
      <c r="D101" s="115">
        <v>1443.3019999999999</v>
      </c>
      <c r="E101" s="137">
        <v>328</v>
      </c>
      <c r="F101" s="29">
        <f>D101/E103</f>
        <v>4.4003109756097558</v>
      </c>
      <c r="G101" s="18">
        <v>1</v>
      </c>
      <c r="H101" s="6">
        <v>350</v>
      </c>
      <c r="I101" s="117">
        <f t="shared" si="15"/>
        <v>1540.1088414634146</v>
      </c>
      <c r="J101" s="163">
        <f>I101*E101</f>
        <v>505155.7</v>
      </c>
      <c r="K101" s="163">
        <f>1030930*0.49</f>
        <v>505155.7</v>
      </c>
      <c r="L101" s="163">
        <f>K101-J101</f>
        <v>0</v>
      </c>
      <c r="M101" s="177">
        <f>K101/H101</f>
        <v>1443.3020000000001</v>
      </c>
    </row>
    <row r="102" spans="1:13">
      <c r="A102" s="14"/>
      <c r="B102" s="5" t="s">
        <v>67</v>
      </c>
      <c r="C102" s="5" t="s">
        <v>25</v>
      </c>
      <c r="D102" s="5">
        <v>1</v>
      </c>
      <c r="E102" s="137">
        <v>328</v>
      </c>
      <c r="F102" s="29">
        <f>D102/E104</f>
        <v>3.0487804878048782E-3</v>
      </c>
      <c r="G102" s="18">
        <v>1</v>
      </c>
      <c r="H102" s="6">
        <v>191896.18</v>
      </c>
      <c r="I102" s="117">
        <f t="shared" si="15"/>
        <v>585.04932926829269</v>
      </c>
      <c r="J102" s="163"/>
      <c r="K102" s="163"/>
      <c r="L102" s="163"/>
      <c r="M102" s="163"/>
    </row>
    <row r="103" spans="1:13">
      <c r="A103" s="14"/>
      <c r="B103" s="5" t="s">
        <v>52</v>
      </c>
      <c r="C103" s="5" t="s">
        <v>25</v>
      </c>
      <c r="D103" s="5">
        <v>1</v>
      </c>
      <c r="E103" s="137">
        <v>328</v>
      </c>
      <c r="F103" s="29">
        <f>D103/E103</f>
        <v>3.0487804878048782E-3</v>
      </c>
      <c r="G103" s="18">
        <v>1</v>
      </c>
      <c r="H103" s="6">
        <v>15000</v>
      </c>
      <c r="I103" s="117">
        <f t="shared" si="15"/>
        <v>45.731707317073173</v>
      </c>
      <c r="J103" s="163"/>
      <c r="K103" s="163"/>
      <c r="L103" s="163"/>
      <c r="M103" s="163"/>
    </row>
    <row r="104" spans="1:13">
      <c r="A104" s="14"/>
      <c r="B104" s="5" t="s">
        <v>51</v>
      </c>
      <c r="C104" s="5" t="s">
        <v>25</v>
      </c>
      <c r="D104" s="5">
        <v>1</v>
      </c>
      <c r="E104" s="137">
        <v>328</v>
      </c>
      <c r="F104" s="29">
        <f>D104/E104</f>
        <v>3.0487804878048782E-3</v>
      </c>
      <c r="G104" s="18">
        <v>1</v>
      </c>
      <c r="H104" s="6">
        <v>35000</v>
      </c>
      <c r="I104" s="117">
        <f t="shared" si="15"/>
        <v>106.70731707317074</v>
      </c>
      <c r="J104" s="163"/>
      <c r="K104" s="163"/>
      <c r="L104" s="163"/>
      <c r="M104" s="163"/>
    </row>
    <row r="105" spans="1:13" ht="15.75" thickBot="1">
      <c r="A105" s="15"/>
      <c r="B105" s="16"/>
      <c r="C105" s="16"/>
      <c r="D105" s="16"/>
      <c r="E105" s="155"/>
      <c r="F105" s="38"/>
      <c r="G105" s="39"/>
      <c r="H105" s="17"/>
      <c r="I105" s="118">
        <f>SUM(I98:I104)</f>
        <v>2686.8806402439022</v>
      </c>
      <c r="J105" s="169">
        <f>I105*E104</f>
        <v>881296.85</v>
      </c>
      <c r="K105" s="169">
        <f>(2119900-273335-48000)*0.49</f>
        <v>881296.85</v>
      </c>
      <c r="L105" s="169">
        <f>K105-J105</f>
        <v>0</v>
      </c>
      <c r="M105" s="163"/>
    </row>
    <row r="106" spans="1:13" ht="45">
      <c r="A106" s="11" t="s">
        <v>37</v>
      </c>
      <c r="B106" s="58" t="s">
        <v>50</v>
      </c>
      <c r="C106" s="12" t="s">
        <v>25</v>
      </c>
      <c r="D106" s="12">
        <v>1</v>
      </c>
      <c r="E106" s="137">
        <v>285</v>
      </c>
      <c r="F106" s="28">
        <f>D106/E106</f>
        <v>3.5087719298245615E-3</v>
      </c>
      <c r="G106" s="19">
        <v>1</v>
      </c>
      <c r="H106" s="13">
        <v>77854.83</v>
      </c>
      <c r="I106" s="116">
        <f>F106*H106</f>
        <v>273.17484210526317</v>
      </c>
      <c r="J106" s="163"/>
      <c r="K106" s="163"/>
      <c r="L106" s="163"/>
      <c r="M106" s="163"/>
    </row>
    <row r="107" spans="1:13">
      <c r="A107" s="14"/>
      <c r="B107" s="5" t="s">
        <v>29</v>
      </c>
      <c r="C107" s="5" t="s">
        <v>25</v>
      </c>
      <c r="D107" s="5">
        <v>1</v>
      </c>
      <c r="E107" s="137">
        <v>285</v>
      </c>
      <c r="F107" s="29">
        <f>D107/E107</f>
        <v>3.5087719298245615E-3</v>
      </c>
      <c r="G107" s="18">
        <v>1</v>
      </c>
      <c r="H107" s="6">
        <v>10000</v>
      </c>
      <c r="I107" s="117">
        <f t="shared" ref="I107:I112" si="16">F107*H107</f>
        <v>35.087719298245617</v>
      </c>
      <c r="J107" s="163"/>
      <c r="K107" s="163"/>
      <c r="L107" s="163"/>
      <c r="M107" s="163"/>
    </row>
    <row r="108" spans="1:13">
      <c r="A108" s="14"/>
      <c r="B108" s="5" t="s">
        <v>20</v>
      </c>
      <c r="C108" s="5" t="s">
        <v>21</v>
      </c>
      <c r="D108" s="5">
        <v>200</v>
      </c>
      <c r="E108" s="137">
        <v>285</v>
      </c>
      <c r="F108" s="29">
        <f>D108/E108</f>
        <v>0.70175438596491224</v>
      </c>
      <c r="G108" s="18">
        <v>1</v>
      </c>
      <c r="H108" s="6">
        <v>250</v>
      </c>
      <c r="I108" s="117">
        <f t="shared" si="16"/>
        <v>175.43859649122805</v>
      </c>
      <c r="J108" s="163"/>
      <c r="K108" s="163"/>
      <c r="L108" s="163"/>
      <c r="M108" s="163"/>
    </row>
    <row r="109" spans="1:13">
      <c r="A109" s="14"/>
      <c r="B109" s="5" t="s">
        <v>65</v>
      </c>
      <c r="C109" s="5" t="s">
        <v>66</v>
      </c>
      <c r="D109" s="115">
        <v>1215.5360000000001</v>
      </c>
      <c r="E109" s="137">
        <v>285</v>
      </c>
      <c r="F109" s="29">
        <f>D109/E111</f>
        <v>4.2650385964912285</v>
      </c>
      <c r="G109" s="18">
        <v>1</v>
      </c>
      <c r="H109" s="6">
        <v>350</v>
      </c>
      <c r="I109" s="117">
        <f t="shared" si="16"/>
        <v>1492.76350877193</v>
      </c>
      <c r="J109" s="163">
        <f>I109*E109</f>
        <v>425437.60000000003</v>
      </c>
      <c r="K109" s="163">
        <f>868240*0.49</f>
        <v>425437.6</v>
      </c>
      <c r="L109" s="163">
        <f>K109-J109</f>
        <v>0</v>
      </c>
      <c r="M109" s="163">
        <f>K109/H109</f>
        <v>1215.5359999999998</v>
      </c>
    </row>
    <row r="110" spans="1:13">
      <c r="A110" s="14"/>
      <c r="B110" s="5" t="s">
        <v>67</v>
      </c>
      <c r="C110" s="5" t="s">
        <v>25</v>
      </c>
      <c r="D110" s="5">
        <v>1</v>
      </c>
      <c r="E110" s="137">
        <v>285</v>
      </c>
      <c r="F110" s="29">
        <f>D110/E112</f>
        <v>3.5087719298245615E-3</v>
      </c>
      <c r="G110" s="18">
        <v>1</v>
      </c>
      <c r="H110" s="6">
        <v>170000</v>
      </c>
      <c r="I110" s="117">
        <f t="shared" si="16"/>
        <v>596.49122807017545</v>
      </c>
      <c r="J110" s="163"/>
      <c r="K110" s="163"/>
      <c r="L110" s="163"/>
      <c r="M110" s="163"/>
    </row>
    <row r="111" spans="1:13">
      <c r="A111" s="14"/>
      <c r="B111" s="5" t="s">
        <v>52</v>
      </c>
      <c r="C111" s="5" t="s">
        <v>25</v>
      </c>
      <c r="D111" s="5">
        <v>1</v>
      </c>
      <c r="E111" s="137">
        <v>285</v>
      </c>
      <c r="F111" s="29">
        <f>D111/E111</f>
        <v>3.5087719298245615E-3</v>
      </c>
      <c r="G111" s="18">
        <v>1</v>
      </c>
      <c r="H111" s="6">
        <v>15000</v>
      </c>
      <c r="I111" s="117">
        <f t="shared" si="16"/>
        <v>52.631578947368425</v>
      </c>
      <c r="J111" s="163"/>
      <c r="K111" s="163"/>
      <c r="L111" s="163"/>
      <c r="M111" s="163"/>
    </row>
    <row r="112" spans="1:13">
      <c r="A112" s="14"/>
      <c r="B112" s="5" t="s">
        <v>51</v>
      </c>
      <c r="C112" s="5" t="s">
        <v>25</v>
      </c>
      <c r="D112" s="5">
        <v>1</v>
      </c>
      <c r="E112" s="137">
        <v>285</v>
      </c>
      <c r="F112" s="29">
        <f>D112/E112</f>
        <v>3.5087719298245615E-3</v>
      </c>
      <c r="G112" s="18">
        <v>1</v>
      </c>
      <c r="H112" s="6">
        <v>64044.76</v>
      </c>
      <c r="I112" s="117">
        <f t="shared" si="16"/>
        <v>224.7184561403509</v>
      </c>
      <c r="J112" s="163"/>
      <c r="K112" s="163"/>
      <c r="L112" s="163"/>
      <c r="M112" s="163"/>
    </row>
    <row r="113" spans="1:13" ht="15.75" thickBot="1">
      <c r="A113" s="15"/>
      <c r="B113" s="16"/>
      <c r="C113" s="16"/>
      <c r="D113" s="16"/>
      <c r="E113" s="155"/>
      <c r="F113" s="38"/>
      <c r="G113" s="39"/>
      <c r="H113" s="17"/>
      <c r="I113" s="118">
        <f>SUM(I106:I112)</f>
        <v>2850.3059298245616</v>
      </c>
      <c r="J113" s="169">
        <f>I113*E112</f>
        <v>812337.19000000006</v>
      </c>
      <c r="K113" s="169">
        <f>(1955200-228369-69000)*0.49</f>
        <v>812337.19</v>
      </c>
      <c r="L113" s="169">
        <f>K113-J113</f>
        <v>0</v>
      </c>
      <c r="M113" s="163"/>
    </row>
    <row r="114" spans="1:13" ht="45">
      <c r="A114" s="11" t="s">
        <v>39</v>
      </c>
      <c r="B114" s="58" t="s">
        <v>50</v>
      </c>
      <c r="C114" s="12" t="s">
        <v>25</v>
      </c>
      <c r="D114" s="12">
        <v>1</v>
      </c>
      <c r="E114" s="137">
        <v>418</v>
      </c>
      <c r="F114" s="28">
        <f>D114/E114</f>
        <v>2.3923444976076554E-3</v>
      </c>
      <c r="G114" s="19">
        <v>1</v>
      </c>
      <c r="H114" s="13">
        <v>72990.740000000005</v>
      </c>
      <c r="I114" s="116">
        <f>F114*H114</f>
        <v>174.618995215311</v>
      </c>
      <c r="J114" s="169"/>
      <c r="K114" s="169"/>
      <c r="L114" s="169"/>
      <c r="M114" s="163"/>
    </row>
    <row r="115" spans="1:13">
      <c r="A115" s="14"/>
      <c r="B115" s="5" t="s">
        <v>29</v>
      </c>
      <c r="C115" s="5" t="s">
        <v>25</v>
      </c>
      <c r="D115" s="5">
        <v>1</v>
      </c>
      <c r="E115" s="137">
        <v>418</v>
      </c>
      <c r="F115" s="29">
        <f>D115/E115</f>
        <v>2.3923444976076554E-3</v>
      </c>
      <c r="G115" s="18">
        <v>1</v>
      </c>
      <c r="H115" s="6">
        <v>6000</v>
      </c>
      <c r="I115" s="117">
        <f t="shared" ref="I115:I120" si="17">F115*H115</f>
        <v>14.354066985645932</v>
      </c>
      <c r="J115" s="169"/>
      <c r="K115" s="169"/>
      <c r="L115" s="169"/>
      <c r="M115" s="163"/>
    </row>
    <row r="116" spans="1:13">
      <c r="A116" s="14"/>
      <c r="B116" s="5" t="s">
        <v>20</v>
      </c>
      <c r="C116" s="5" t="s">
        <v>21</v>
      </c>
      <c r="D116" s="5">
        <v>150</v>
      </c>
      <c r="E116" s="137">
        <v>418</v>
      </c>
      <c r="F116" s="29">
        <f>D116/E116</f>
        <v>0.35885167464114831</v>
      </c>
      <c r="G116" s="18">
        <v>1</v>
      </c>
      <c r="H116" s="6">
        <v>250</v>
      </c>
      <c r="I116" s="117">
        <f t="shared" si="17"/>
        <v>89.712918660287073</v>
      </c>
      <c r="J116" s="169"/>
      <c r="K116" s="169"/>
      <c r="L116" s="169"/>
      <c r="M116" s="163"/>
    </row>
    <row r="117" spans="1:13">
      <c r="A117" s="14"/>
      <c r="B117" s="5" t="s">
        <v>65</v>
      </c>
      <c r="C117" s="5" t="s">
        <v>66</v>
      </c>
      <c r="D117" s="115">
        <v>1818.836</v>
      </c>
      <c r="E117" s="137">
        <v>418</v>
      </c>
      <c r="F117" s="29">
        <f>D117/E119</f>
        <v>4.3512822966507176</v>
      </c>
      <c r="G117" s="18">
        <v>1</v>
      </c>
      <c r="H117" s="6">
        <v>350</v>
      </c>
      <c r="I117" s="117">
        <f t="shared" si="17"/>
        <v>1522.9488038277511</v>
      </c>
      <c r="J117" s="163">
        <f>I117*E117</f>
        <v>636592.6</v>
      </c>
      <c r="K117" s="163">
        <f>1414650*0.45</f>
        <v>636592.5</v>
      </c>
      <c r="L117" s="163">
        <f>K117-J117</f>
        <v>-9.9999999976716936E-2</v>
      </c>
      <c r="M117" s="163">
        <f>K117/H117</f>
        <v>1818.8357142857142</v>
      </c>
    </row>
    <row r="118" spans="1:13">
      <c r="A118" s="14"/>
      <c r="B118" s="5" t="s">
        <v>67</v>
      </c>
      <c r="C118" s="5" t="s">
        <v>25</v>
      </c>
      <c r="D118" s="5">
        <v>1</v>
      </c>
      <c r="E118" s="137">
        <v>418</v>
      </c>
      <c r="F118" s="29">
        <f>D118/E120</f>
        <v>2.3923444976076554E-3</v>
      </c>
      <c r="G118" s="18">
        <v>1</v>
      </c>
      <c r="H118" s="6">
        <v>233798.11</v>
      </c>
      <c r="I118" s="117">
        <f t="shared" si="17"/>
        <v>559.32562200956932</v>
      </c>
      <c r="J118" s="163"/>
      <c r="K118" s="163"/>
      <c r="L118" s="163"/>
      <c r="M118" s="163"/>
    </row>
    <row r="119" spans="1:13">
      <c r="A119" s="14"/>
      <c r="B119" s="5" t="s">
        <v>52</v>
      </c>
      <c r="C119" s="5" t="s">
        <v>25</v>
      </c>
      <c r="D119" s="5">
        <v>1</v>
      </c>
      <c r="E119" s="137">
        <v>418</v>
      </c>
      <c r="F119" s="29">
        <f>D119/E119</f>
        <v>2.3923444976076554E-3</v>
      </c>
      <c r="G119" s="18">
        <v>1</v>
      </c>
      <c r="H119" s="6">
        <v>4395</v>
      </c>
      <c r="I119" s="117">
        <f t="shared" si="17"/>
        <v>10.514354066985646</v>
      </c>
      <c r="J119" s="169"/>
      <c r="K119" s="169"/>
      <c r="L119" s="169"/>
      <c r="M119" s="163"/>
    </row>
    <row r="120" spans="1:13">
      <c r="A120" s="14"/>
      <c r="B120" s="5" t="s">
        <v>51</v>
      </c>
      <c r="C120" s="5" t="s">
        <v>25</v>
      </c>
      <c r="D120" s="5">
        <v>1</v>
      </c>
      <c r="E120" s="137">
        <v>418</v>
      </c>
      <c r="F120" s="29">
        <f>D120/E120</f>
        <v>2.3923444976076554E-3</v>
      </c>
      <c r="G120" s="18">
        <v>1</v>
      </c>
      <c r="H120" s="6">
        <v>2000</v>
      </c>
      <c r="I120" s="117">
        <f t="shared" si="17"/>
        <v>4.7846889952153111</v>
      </c>
      <c r="J120" s="169"/>
      <c r="K120" s="169"/>
      <c r="L120" s="169"/>
      <c r="M120" s="163"/>
    </row>
    <row r="121" spans="1:13" ht="15.75" thickBot="1">
      <c r="A121" s="15"/>
      <c r="B121" s="16"/>
      <c r="C121" s="16"/>
      <c r="D121" s="16"/>
      <c r="E121" s="155"/>
      <c r="F121" s="38"/>
      <c r="G121" s="39"/>
      <c r="H121" s="17"/>
      <c r="I121" s="118">
        <f>SUM(I114:I120)</f>
        <v>2376.2594497607656</v>
      </c>
      <c r="J121" s="169">
        <f>I121*E120</f>
        <v>993276.45000000007</v>
      </c>
      <c r="K121" s="169">
        <f>(2923400-646119-70000)*0.45</f>
        <v>993276.45000000007</v>
      </c>
      <c r="L121" s="169">
        <f>K121-J121</f>
        <v>0</v>
      </c>
      <c r="M121" s="163"/>
    </row>
    <row r="122" spans="1:13" ht="45">
      <c r="A122" s="11" t="s">
        <v>40</v>
      </c>
      <c r="B122" s="58" t="s">
        <v>50</v>
      </c>
      <c r="C122" s="12" t="s">
        <v>25</v>
      </c>
      <c r="D122" s="12">
        <v>1</v>
      </c>
      <c r="E122" s="137">
        <v>481</v>
      </c>
      <c r="F122" s="28">
        <f>D122/E122</f>
        <v>2.0790020790020791E-3</v>
      </c>
      <c r="G122" s="19">
        <v>1</v>
      </c>
      <c r="H122" s="13">
        <v>46866.36</v>
      </c>
      <c r="I122" s="116">
        <f>F122*H122</f>
        <v>97.435259875259888</v>
      </c>
      <c r="J122" s="169"/>
      <c r="K122" s="169"/>
      <c r="L122" s="169"/>
      <c r="M122" s="163"/>
    </row>
    <row r="123" spans="1:13">
      <c r="A123" s="14"/>
      <c r="B123" s="5" t="s">
        <v>29</v>
      </c>
      <c r="C123" s="5" t="s">
        <v>25</v>
      </c>
      <c r="D123" s="5">
        <v>1</v>
      </c>
      <c r="E123" s="137">
        <v>481</v>
      </c>
      <c r="F123" s="29">
        <f>D123/E123</f>
        <v>2.0790020790020791E-3</v>
      </c>
      <c r="G123" s="18">
        <v>1</v>
      </c>
      <c r="H123" s="6">
        <v>6000</v>
      </c>
      <c r="I123" s="117">
        <f t="shared" ref="I123:I129" si="18">F123*H123</f>
        <v>12.474012474012476</v>
      </c>
      <c r="J123" s="169"/>
      <c r="K123" s="169"/>
      <c r="L123" s="169"/>
      <c r="M123" s="163"/>
    </row>
    <row r="124" spans="1:13">
      <c r="A124" s="14"/>
      <c r="B124" s="5" t="s">
        <v>20</v>
      </c>
      <c r="C124" s="5" t="s">
        <v>21</v>
      </c>
      <c r="D124" s="5">
        <v>250</v>
      </c>
      <c r="E124" s="137">
        <v>481</v>
      </c>
      <c r="F124" s="29">
        <f>D124/E124</f>
        <v>0.51975051975051978</v>
      </c>
      <c r="G124" s="18">
        <v>1</v>
      </c>
      <c r="H124" s="6">
        <v>250</v>
      </c>
      <c r="I124" s="117">
        <f t="shared" si="18"/>
        <v>129.93762993762994</v>
      </c>
      <c r="J124" s="169"/>
      <c r="K124" s="169"/>
      <c r="L124" s="169"/>
      <c r="M124" s="163"/>
    </row>
    <row r="125" spans="1:13">
      <c r="A125" s="14"/>
      <c r="B125" s="5" t="s">
        <v>65</v>
      </c>
      <c r="C125" s="5" t="s">
        <v>66</v>
      </c>
      <c r="D125" s="115">
        <v>2058.9169999999999</v>
      </c>
      <c r="E125" s="137">
        <v>481</v>
      </c>
      <c r="F125" s="29">
        <f>D125/E128</f>
        <v>4.2804927234927233</v>
      </c>
      <c r="G125" s="18">
        <v>1</v>
      </c>
      <c r="H125" s="6">
        <v>350</v>
      </c>
      <c r="I125" s="117">
        <f t="shared" si="18"/>
        <v>1498.1724532224532</v>
      </c>
      <c r="J125" s="163">
        <f>I125*E125</f>
        <v>720620.95</v>
      </c>
      <c r="K125" s="163">
        <f>1470655*0.49</f>
        <v>720620.95</v>
      </c>
      <c r="L125" s="163">
        <f>K125-J125</f>
        <v>0</v>
      </c>
      <c r="M125" s="163">
        <f>K125/H125</f>
        <v>2058.9169999999999</v>
      </c>
    </row>
    <row r="126" spans="1:13">
      <c r="A126" s="14"/>
      <c r="B126" s="5" t="s">
        <v>67</v>
      </c>
      <c r="C126" s="5" t="s">
        <v>25</v>
      </c>
      <c r="D126" s="5">
        <v>1</v>
      </c>
      <c r="E126" s="137">
        <v>481</v>
      </c>
      <c r="F126" s="29">
        <f>D126/E129</f>
        <v>2.0790020790020791E-3</v>
      </c>
      <c r="G126" s="18">
        <v>1</v>
      </c>
      <c r="H126" s="6">
        <v>289612.26</v>
      </c>
      <c r="I126" s="117">
        <f t="shared" si="18"/>
        <v>602.10449064449074</v>
      </c>
      <c r="J126" s="163"/>
      <c r="K126" s="163"/>
      <c r="L126" s="163"/>
      <c r="M126" s="163"/>
    </row>
    <row r="127" spans="1:13">
      <c r="A127" s="14"/>
      <c r="B127" s="5" t="s">
        <v>67</v>
      </c>
      <c r="C127" s="5" t="s">
        <v>25</v>
      </c>
      <c r="D127" s="5">
        <v>1</v>
      </c>
      <c r="E127" s="137">
        <v>481</v>
      </c>
      <c r="F127" s="29">
        <f>D127/E129</f>
        <v>2.0790020790020791E-3</v>
      </c>
      <c r="G127" s="18">
        <v>1</v>
      </c>
      <c r="H127" s="6"/>
      <c r="I127" s="117">
        <f t="shared" ref="I127" si="19">F127*H127</f>
        <v>0</v>
      </c>
      <c r="J127" s="163"/>
      <c r="K127" s="163"/>
      <c r="L127" s="163"/>
      <c r="M127" s="163"/>
    </row>
    <row r="128" spans="1:13">
      <c r="A128" s="14"/>
      <c r="B128" s="5" t="s">
        <v>52</v>
      </c>
      <c r="C128" s="5" t="s">
        <v>25</v>
      </c>
      <c r="D128" s="5">
        <v>1</v>
      </c>
      <c r="E128" s="137">
        <v>481</v>
      </c>
      <c r="F128" s="29">
        <f>D128/E128</f>
        <v>2.0790020790020791E-3</v>
      </c>
      <c r="G128" s="18">
        <v>1</v>
      </c>
      <c r="H128" s="6">
        <v>4395</v>
      </c>
      <c r="I128" s="117">
        <f t="shared" si="18"/>
        <v>9.1372141372141371</v>
      </c>
      <c r="J128" s="163"/>
      <c r="K128" s="169"/>
      <c r="L128" s="163"/>
      <c r="M128" s="163"/>
    </row>
    <row r="129" spans="1:13">
      <c r="A129" s="14"/>
      <c r="B129" s="5" t="s">
        <v>51</v>
      </c>
      <c r="C129" s="5" t="s">
        <v>25</v>
      </c>
      <c r="D129" s="5">
        <v>1</v>
      </c>
      <c r="E129" s="137">
        <v>481</v>
      </c>
      <c r="F129" s="29">
        <f>D129/E129</f>
        <v>2.0790020790020791E-3</v>
      </c>
      <c r="G129" s="18">
        <v>1</v>
      </c>
      <c r="H129" s="6">
        <v>2000</v>
      </c>
      <c r="I129" s="117">
        <f t="shared" si="18"/>
        <v>4.1580041580041582</v>
      </c>
      <c r="J129" s="163"/>
      <c r="K129" s="169"/>
      <c r="L129" s="163"/>
      <c r="M129" s="163"/>
    </row>
    <row r="130" spans="1:13" ht="15.75" thickBot="1">
      <c r="A130" s="15"/>
      <c r="B130" s="16"/>
      <c r="C130" s="16"/>
      <c r="D130" s="16"/>
      <c r="E130" s="155"/>
      <c r="F130" s="38"/>
      <c r="G130" s="39"/>
      <c r="H130" s="17"/>
      <c r="I130" s="118">
        <f>SUM(I122:I129)</f>
        <v>2353.4190644490645</v>
      </c>
      <c r="J130" s="169">
        <f>I130*E129</f>
        <v>1131994.57</v>
      </c>
      <c r="K130" s="169">
        <f>(2949400-544882-94325)*0.49</f>
        <v>1131994.57</v>
      </c>
      <c r="L130" s="169">
        <f>K130-J130</f>
        <v>0</v>
      </c>
      <c r="M130" s="163"/>
    </row>
    <row r="131" spans="1:13">
      <c r="A131" s="11"/>
      <c r="B131" s="12"/>
      <c r="C131" s="12"/>
      <c r="D131" s="12"/>
      <c r="E131" s="136"/>
      <c r="F131" s="28"/>
      <c r="G131" s="19" t="s">
        <v>31</v>
      </c>
      <c r="H131" s="13"/>
      <c r="I131" s="135">
        <f>I130-I132</f>
        <v>2353.4190644490645</v>
      </c>
      <c r="J131" s="169">
        <f>I131*419</f>
        <v>986082.58800415799</v>
      </c>
      <c r="K131" s="169"/>
      <c r="L131" s="169"/>
      <c r="M131" s="163"/>
    </row>
    <row r="132" spans="1:13" ht="15.75" thickBot="1">
      <c r="A132" s="15"/>
      <c r="B132" s="16"/>
      <c r="C132" s="16"/>
      <c r="D132" s="16"/>
      <c r="E132" s="138"/>
      <c r="F132" s="38"/>
      <c r="G132" s="39" t="s">
        <v>74</v>
      </c>
      <c r="H132" s="17"/>
      <c r="I132" s="118">
        <f>I127</f>
        <v>0</v>
      </c>
      <c r="J132" s="169">
        <f>I132*419</f>
        <v>0</v>
      </c>
      <c r="K132" s="169"/>
      <c r="L132" s="169"/>
      <c r="M132" s="163"/>
    </row>
    <row r="133" spans="1:13" ht="45">
      <c r="A133" s="11" t="s">
        <v>41</v>
      </c>
      <c r="B133" s="58" t="s">
        <v>50</v>
      </c>
      <c r="C133" s="12" t="s">
        <v>25</v>
      </c>
      <c r="D133" s="12">
        <v>1</v>
      </c>
      <c r="E133" s="137">
        <v>302</v>
      </c>
      <c r="F133" s="28">
        <f>D133/E133</f>
        <v>3.3112582781456954E-3</v>
      </c>
      <c r="G133" s="19">
        <v>1</v>
      </c>
      <c r="H133" s="13">
        <v>10000</v>
      </c>
      <c r="I133" s="116">
        <f>F133*H133</f>
        <v>33.11258278145695</v>
      </c>
      <c r="J133" s="169"/>
      <c r="K133" s="169"/>
      <c r="L133" s="169"/>
      <c r="M133" s="163"/>
    </row>
    <row r="134" spans="1:13">
      <c r="A134" s="14"/>
      <c r="B134" s="5" t="s">
        <v>29</v>
      </c>
      <c r="C134" s="5" t="s">
        <v>25</v>
      </c>
      <c r="D134" s="5">
        <v>1</v>
      </c>
      <c r="E134" s="137">
        <v>302</v>
      </c>
      <c r="F134" s="29">
        <f>D134/E134</f>
        <v>3.3112582781456954E-3</v>
      </c>
      <c r="G134" s="18">
        <v>1</v>
      </c>
      <c r="H134" s="6">
        <v>9000</v>
      </c>
      <c r="I134" s="117">
        <f t="shared" ref="I134:I140" si="20">F134*H134</f>
        <v>29.801324503311257</v>
      </c>
      <c r="J134" s="169"/>
      <c r="K134" s="169"/>
      <c r="L134" s="169"/>
      <c r="M134" s="163"/>
    </row>
    <row r="135" spans="1:13">
      <c r="A135" s="14"/>
      <c r="B135" s="5" t="s">
        <v>20</v>
      </c>
      <c r="C135" s="5" t="s">
        <v>21</v>
      </c>
      <c r="D135" s="5">
        <v>100</v>
      </c>
      <c r="E135" s="137">
        <v>302</v>
      </c>
      <c r="F135" s="29">
        <f>D135/E135</f>
        <v>0.33112582781456956</v>
      </c>
      <c r="G135" s="18">
        <v>1</v>
      </c>
      <c r="H135" s="6">
        <v>250</v>
      </c>
      <c r="I135" s="117">
        <f t="shared" si="20"/>
        <v>82.78145695364239</v>
      </c>
      <c r="J135" s="169"/>
      <c r="K135" s="169"/>
      <c r="L135" s="169"/>
      <c r="M135" s="163"/>
    </row>
    <row r="136" spans="1:13">
      <c r="A136" s="14"/>
      <c r="B136" s="5" t="s">
        <v>65</v>
      </c>
      <c r="C136" s="5" t="s">
        <v>66</v>
      </c>
      <c r="D136" s="115">
        <v>1289.9179999999999</v>
      </c>
      <c r="E136" s="137">
        <v>302</v>
      </c>
      <c r="F136" s="29">
        <f>D136/E139</f>
        <v>4.2712516556291389</v>
      </c>
      <c r="G136" s="18">
        <v>1</v>
      </c>
      <c r="H136" s="6">
        <v>350</v>
      </c>
      <c r="I136" s="117">
        <f t="shared" si="20"/>
        <v>1494.9380794701985</v>
      </c>
      <c r="J136" s="163">
        <f>I136*E136</f>
        <v>451471.3</v>
      </c>
      <c r="K136" s="163">
        <f>921370*0.49</f>
        <v>451471.3</v>
      </c>
      <c r="L136" s="163">
        <f>K136-J136</f>
        <v>0</v>
      </c>
      <c r="M136" s="163">
        <f>K136/H136</f>
        <v>1289.9179999999999</v>
      </c>
    </row>
    <row r="137" spans="1:13">
      <c r="A137" s="14"/>
      <c r="B137" s="5" t="s">
        <v>67</v>
      </c>
      <c r="C137" s="5" t="s">
        <v>25</v>
      </c>
      <c r="D137" s="5">
        <v>1</v>
      </c>
      <c r="E137" s="137">
        <v>302</v>
      </c>
      <c r="F137" s="29">
        <f>D137/E140</f>
        <v>3.3112582781456954E-3</v>
      </c>
      <c r="G137" s="18">
        <v>1</v>
      </c>
      <c r="H137" s="6">
        <v>117514.48</v>
      </c>
      <c r="I137" s="117">
        <f t="shared" si="20"/>
        <v>389.12079470198677</v>
      </c>
      <c r="J137" s="163"/>
      <c r="K137" s="163"/>
      <c r="L137" s="163"/>
      <c r="M137" s="163"/>
    </row>
    <row r="138" spans="1:13">
      <c r="A138" s="14"/>
      <c r="B138" s="5" t="s">
        <v>67</v>
      </c>
      <c r="C138" s="5" t="s">
        <v>25</v>
      </c>
      <c r="D138" s="5">
        <v>1</v>
      </c>
      <c r="E138" s="137">
        <v>302</v>
      </c>
      <c r="F138" s="29">
        <f>D138/E140</f>
        <v>3.3112582781456954E-3</v>
      </c>
      <c r="G138" s="18">
        <v>1</v>
      </c>
      <c r="H138" s="6"/>
      <c r="I138" s="117">
        <f t="shared" ref="I138" si="21">F138*H138</f>
        <v>0</v>
      </c>
      <c r="J138" s="163"/>
      <c r="K138" s="163"/>
      <c r="L138" s="163"/>
      <c r="M138" s="163"/>
    </row>
    <row r="139" spans="1:13">
      <c r="A139" s="14"/>
      <c r="B139" s="5" t="s">
        <v>52</v>
      </c>
      <c r="C139" s="5" t="s">
        <v>25</v>
      </c>
      <c r="D139" s="5">
        <v>1</v>
      </c>
      <c r="E139" s="137">
        <v>302</v>
      </c>
      <c r="F139" s="29">
        <f>D139/E139</f>
        <v>3.3112582781456954E-3</v>
      </c>
      <c r="G139" s="18">
        <v>1</v>
      </c>
      <c r="H139" s="6">
        <v>10000</v>
      </c>
      <c r="I139" s="117">
        <f t="shared" si="20"/>
        <v>33.11258278145695</v>
      </c>
      <c r="J139" s="169"/>
      <c r="K139" s="169"/>
      <c r="L139" s="169"/>
      <c r="M139" s="163"/>
    </row>
    <row r="140" spans="1:13">
      <c r="A140" s="14"/>
      <c r="B140" s="5" t="s">
        <v>51</v>
      </c>
      <c r="C140" s="5" t="s">
        <v>25</v>
      </c>
      <c r="D140" s="5">
        <v>1</v>
      </c>
      <c r="E140" s="137">
        <v>302</v>
      </c>
      <c r="F140" s="29">
        <f>D140/E140</f>
        <v>3.3112582781456954E-3</v>
      </c>
      <c r="G140" s="18">
        <v>1</v>
      </c>
      <c r="H140" s="6">
        <v>3000</v>
      </c>
      <c r="I140" s="117">
        <f t="shared" si="20"/>
        <v>9.9337748344370862</v>
      </c>
      <c r="J140" s="169"/>
      <c r="K140" s="169"/>
      <c r="L140" s="169"/>
      <c r="M140" s="163"/>
    </row>
    <row r="141" spans="1:13" ht="15.75" thickBot="1">
      <c r="A141" s="15"/>
      <c r="B141" s="16"/>
      <c r="C141" s="16"/>
      <c r="D141" s="16"/>
      <c r="E141" s="138"/>
      <c r="F141" s="38"/>
      <c r="G141" s="39"/>
      <c r="H141" s="17"/>
      <c r="I141" s="118">
        <f>SUM(I133:I140)</f>
        <v>2072.80059602649</v>
      </c>
      <c r="J141" s="169">
        <f>I141*E140</f>
        <v>625985.78</v>
      </c>
      <c r="K141" s="169">
        <f>(1881100-368378-235200)*0.49</f>
        <v>625985.78</v>
      </c>
      <c r="L141" s="169">
        <f>K141-J141</f>
        <v>0</v>
      </c>
      <c r="M141" s="163"/>
    </row>
    <row r="142" spans="1:13">
      <c r="A142" s="11"/>
      <c r="B142" s="12"/>
      <c r="C142" s="12"/>
      <c r="D142" s="12"/>
      <c r="E142" s="136"/>
      <c r="F142" s="28"/>
      <c r="G142" s="19" t="s">
        <v>31</v>
      </c>
      <c r="H142" s="13"/>
      <c r="I142" s="135">
        <f>I141-I143</f>
        <v>2072.80059602649</v>
      </c>
      <c r="J142" s="169">
        <f>I142*247</f>
        <v>511981.74721854302</v>
      </c>
      <c r="K142" s="169"/>
      <c r="L142" s="169"/>
      <c r="M142" s="163"/>
    </row>
    <row r="143" spans="1:13" ht="15.75" thickBot="1">
      <c r="A143" s="15"/>
      <c r="B143" s="16"/>
      <c r="C143" s="16"/>
      <c r="D143" s="16"/>
      <c r="E143" s="138"/>
      <c r="F143" s="38"/>
      <c r="G143" s="39" t="s">
        <v>74</v>
      </c>
      <c r="H143" s="17"/>
      <c r="I143" s="118">
        <f>I138</f>
        <v>0</v>
      </c>
      <c r="J143" s="169">
        <f>I143*247</f>
        <v>0</v>
      </c>
      <c r="K143" s="169"/>
      <c r="L143" s="169"/>
      <c r="M143" s="163"/>
    </row>
    <row r="144" spans="1:13" ht="15.75" thickBot="1">
      <c r="I144" s="35"/>
      <c r="J144" s="59"/>
      <c r="K144" s="59"/>
      <c r="L144" s="59"/>
    </row>
    <row r="145" spans="1:13" ht="45">
      <c r="A145" s="11" t="s">
        <v>58</v>
      </c>
      <c r="B145" s="58" t="s">
        <v>50</v>
      </c>
      <c r="C145" s="12" t="s">
        <v>25</v>
      </c>
      <c r="D145" s="12">
        <v>1</v>
      </c>
      <c r="E145" s="137">
        <v>464</v>
      </c>
      <c r="F145" s="28">
        <f>D145/E145</f>
        <v>2.1551724137931034E-3</v>
      </c>
      <c r="G145" s="19">
        <v>1</v>
      </c>
      <c r="H145" s="13">
        <v>48325.75</v>
      </c>
      <c r="I145" s="116">
        <f>F145*H145</f>
        <v>104.15032327586206</v>
      </c>
      <c r="J145" s="169"/>
      <c r="K145" s="169"/>
      <c r="L145" s="169"/>
      <c r="M145" s="163"/>
    </row>
    <row r="146" spans="1:13">
      <c r="A146" s="14"/>
      <c r="B146" s="5" t="s">
        <v>29</v>
      </c>
      <c r="C146" s="5" t="s">
        <v>25</v>
      </c>
      <c r="D146" s="5">
        <v>1</v>
      </c>
      <c r="E146" s="137">
        <v>464</v>
      </c>
      <c r="F146" s="29">
        <f>D146/E146</f>
        <v>2.1551724137931034E-3</v>
      </c>
      <c r="G146" s="18">
        <v>1</v>
      </c>
      <c r="H146" s="6">
        <v>8000</v>
      </c>
      <c r="I146" s="117">
        <f t="shared" ref="I146:I151" si="22">F146*H146</f>
        <v>17.241379310344826</v>
      </c>
      <c r="J146" s="169"/>
      <c r="K146" s="169"/>
      <c r="L146" s="169"/>
      <c r="M146" s="163"/>
    </row>
    <row r="147" spans="1:13">
      <c r="A147" s="14"/>
      <c r="B147" s="5" t="s">
        <v>20</v>
      </c>
      <c r="C147" s="5" t="s">
        <v>21</v>
      </c>
      <c r="D147" s="5">
        <v>100</v>
      </c>
      <c r="E147" s="137">
        <v>464</v>
      </c>
      <c r="F147" s="29">
        <f>D147/E147</f>
        <v>0.21551724137931033</v>
      </c>
      <c r="G147" s="18">
        <v>1</v>
      </c>
      <c r="H147" s="6">
        <v>250</v>
      </c>
      <c r="I147" s="117">
        <f t="shared" si="22"/>
        <v>53.87931034482758</v>
      </c>
      <c r="J147" s="169"/>
      <c r="K147" s="169"/>
      <c r="L147" s="169"/>
      <c r="M147" s="163"/>
    </row>
    <row r="148" spans="1:13">
      <c r="A148" s="14"/>
      <c r="B148" s="5" t="s">
        <v>65</v>
      </c>
      <c r="C148" s="5" t="s">
        <v>66</v>
      </c>
      <c r="D148" s="115">
        <v>2067.6239999999998</v>
      </c>
      <c r="E148" s="137">
        <v>464</v>
      </c>
      <c r="F148" s="29">
        <f>D148/E150</f>
        <v>4.4560862068965514</v>
      </c>
      <c r="G148" s="18">
        <v>1</v>
      </c>
      <c r="H148" s="6">
        <v>350</v>
      </c>
      <c r="I148" s="117">
        <f t="shared" si="22"/>
        <v>1559.6301724137929</v>
      </c>
      <c r="J148" s="163">
        <f>I148*E148</f>
        <v>723668.39999999991</v>
      </c>
      <c r="K148" s="163">
        <f>1539720*0.47</f>
        <v>723668.39999999991</v>
      </c>
      <c r="L148" s="163">
        <f>K148-J148</f>
        <v>0</v>
      </c>
      <c r="M148" s="163">
        <f>K148/H148</f>
        <v>2067.6239999999998</v>
      </c>
    </row>
    <row r="149" spans="1:13">
      <c r="A149" s="14"/>
      <c r="B149" s="5" t="s">
        <v>67</v>
      </c>
      <c r="C149" s="5" t="s">
        <v>25</v>
      </c>
      <c r="D149" s="5">
        <v>1</v>
      </c>
      <c r="E149" s="137">
        <v>464</v>
      </c>
      <c r="F149" s="29">
        <f>D149/E151</f>
        <v>2.1551724137931034E-3</v>
      </c>
      <c r="G149" s="18">
        <v>1</v>
      </c>
      <c r="H149" s="6">
        <v>133536.88</v>
      </c>
      <c r="I149" s="117">
        <f t="shared" si="22"/>
        <v>287.79500000000002</v>
      </c>
      <c r="J149" s="163"/>
      <c r="K149" s="163"/>
      <c r="L149" s="163"/>
      <c r="M149" s="163"/>
    </row>
    <row r="150" spans="1:13">
      <c r="A150" s="14"/>
      <c r="B150" s="5" t="s">
        <v>52</v>
      </c>
      <c r="C150" s="5" t="s">
        <v>25</v>
      </c>
      <c r="D150" s="5">
        <v>1</v>
      </c>
      <c r="E150" s="137">
        <v>464</v>
      </c>
      <c r="F150" s="29">
        <f>D150/E150</f>
        <v>2.1551724137931034E-3</v>
      </c>
      <c r="G150" s="18">
        <v>1</v>
      </c>
      <c r="H150" s="6">
        <v>25000</v>
      </c>
      <c r="I150" s="117">
        <f t="shared" si="22"/>
        <v>53.879310344827587</v>
      </c>
      <c r="J150" s="169"/>
      <c r="K150" s="169"/>
      <c r="L150" s="169"/>
      <c r="M150" s="163"/>
    </row>
    <row r="151" spans="1:13">
      <c r="A151" s="14"/>
      <c r="B151" s="5" t="s">
        <v>51</v>
      </c>
      <c r="C151" s="5" t="s">
        <v>25</v>
      </c>
      <c r="D151" s="5">
        <v>1</v>
      </c>
      <c r="E151" s="137">
        <v>464</v>
      </c>
      <c r="F151" s="29">
        <f>D151/E151</f>
        <v>2.1551724137931034E-3</v>
      </c>
      <c r="G151" s="18">
        <v>1</v>
      </c>
      <c r="H151" s="6">
        <v>3000</v>
      </c>
      <c r="I151" s="117">
        <f t="shared" si="22"/>
        <v>6.4655172413793105</v>
      </c>
      <c r="J151" s="169"/>
      <c r="K151" s="169"/>
      <c r="L151" s="169"/>
      <c r="M151" s="163"/>
    </row>
    <row r="152" spans="1:13" ht="15.75" thickBot="1">
      <c r="A152" s="15"/>
      <c r="B152" s="16"/>
      <c r="C152" s="16"/>
      <c r="D152" s="16"/>
      <c r="E152" s="138"/>
      <c r="F152" s="38"/>
      <c r="G152" s="39"/>
      <c r="H152" s="17"/>
      <c r="I152" s="118">
        <f>SUM(I145:I151)</f>
        <v>2083.0410129310344</v>
      </c>
      <c r="J152" s="169">
        <f>I152*E151</f>
        <v>966531.02999999991</v>
      </c>
      <c r="K152" s="169">
        <f>(3091800-917351-118000)*0.47</f>
        <v>966531.02999999991</v>
      </c>
      <c r="L152" s="169">
        <f>K152-J152</f>
        <v>0</v>
      </c>
      <c r="M152" s="163"/>
    </row>
    <row r="153" spans="1:13" ht="15.75" thickBot="1">
      <c r="I153" s="35"/>
      <c r="J153" s="59"/>
      <c r="K153" s="59"/>
      <c r="L153" s="59"/>
    </row>
    <row r="154" spans="1:13" ht="45">
      <c r="A154" s="11" t="s">
        <v>38</v>
      </c>
      <c r="B154" s="58" t="s">
        <v>50</v>
      </c>
      <c r="C154" s="12" t="s">
        <v>25</v>
      </c>
      <c r="D154" s="12">
        <v>1</v>
      </c>
      <c r="E154" s="137">
        <v>118</v>
      </c>
      <c r="F154" s="28">
        <f>D154/E154</f>
        <v>8.4745762711864406E-3</v>
      </c>
      <c r="G154" s="19">
        <v>1</v>
      </c>
      <c r="H154" s="13">
        <v>28066.494999999999</v>
      </c>
      <c r="I154" s="116">
        <f>F154*H154</f>
        <v>237.85165254237288</v>
      </c>
      <c r="J154" s="163"/>
      <c r="K154" s="163"/>
      <c r="L154" s="163"/>
      <c r="M154" s="163"/>
    </row>
    <row r="155" spans="1:13">
      <c r="A155" s="14"/>
      <c r="B155" s="5" t="s">
        <v>29</v>
      </c>
      <c r="C155" s="5" t="s">
        <v>25</v>
      </c>
      <c r="D155" s="5">
        <v>1</v>
      </c>
      <c r="E155" s="137">
        <v>118</v>
      </c>
      <c r="F155" s="29">
        <f>D155/E155</f>
        <v>8.4745762711864406E-3</v>
      </c>
      <c r="G155" s="18">
        <v>1</v>
      </c>
      <c r="H155" s="6">
        <v>8844</v>
      </c>
      <c r="I155" s="117">
        <f t="shared" ref="I155:I160" si="23">F155*H155</f>
        <v>74.949152542372886</v>
      </c>
      <c r="J155" s="163"/>
      <c r="K155" s="163"/>
      <c r="L155" s="163"/>
      <c r="M155" s="163"/>
    </row>
    <row r="156" spans="1:13">
      <c r="A156" s="14"/>
      <c r="B156" s="5" t="s">
        <v>20</v>
      </c>
      <c r="C156" s="5" t="s">
        <v>21</v>
      </c>
      <c r="D156" s="5">
        <v>100</v>
      </c>
      <c r="E156" s="137">
        <v>118</v>
      </c>
      <c r="F156" s="29">
        <f>D156/E156</f>
        <v>0.84745762711864403</v>
      </c>
      <c r="G156" s="18">
        <v>1</v>
      </c>
      <c r="H156" s="6">
        <v>250</v>
      </c>
      <c r="I156" s="117">
        <f t="shared" si="23"/>
        <v>211.86440677966101</v>
      </c>
      <c r="J156" s="163"/>
      <c r="K156" s="163"/>
      <c r="L156" s="163"/>
      <c r="M156" s="163"/>
    </row>
    <row r="157" spans="1:13">
      <c r="A157" s="14"/>
      <c r="B157" s="5" t="s">
        <v>65</v>
      </c>
      <c r="C157" s="5" t="s">
        <v>66</v>
      </c>
      <c r="D157" s="115">
        <v>504.27659999999997</v>
      </c>
      <c r="E157" s="137">
        <v>118</v>
      </c>
      <c r="F157" s="29">
        <f>D157/E159</f>
        <v>4.2735305084745763</v>
      </c>
      <c r="G157" s="18">
        <v>1</v>
      </c>
      <c r="H157" s="6">
        <v>350</v>
      </c>
      <c r="I157" s="117">
        <f t="shared" si="23"/>
        <v>1495.7356779661018</v>
      </c>
      <c r="J157" s="163">
        <f>I157*E157</f>
        <v>176496.81</v>
      </c>
      <c r="K157" s="163">
        <f>430480*0.41</f>
        <v>176496.8</v>
      </c>
      <c r="L157" s="163">
        <f>K157-J157</f>
        <v>-1.0000000009313226E-2</v>
      </c>
      <c r="M157" s="163">
        <f>K157/H157</f>
        <v>504.2765714285714</v>
      </c>
    </row>
    <row r="158" spans="1:13">
      <c r="A158" s="14"/>
      <c r="B158" s="5" t="s">
        <v>67</v>
      </c>
      <c r="C158" s="5" t="s">
        <v>25</v>
      </c>
      <c r="D158" s="5">
        <v>1</v>
      </c>
      <c r="E158" s="137">
        <v>118</v>
      </c>
      <c r="F158" s="29">
        <f>D158/E160</f>
        <v>8.4745762711864406E-3</v>
      </c>
      <c r="G158" s="18">
        <v>1</v>
      </c>
      <c r="H158" s="6">
        <v>124309.80499999999</v>
      </c>
      <c r="I158" s="117">
        <f t="shared" si="23"/>
        <v>1053.4729237288134</v>
      </c>
      <c r="J158" s="163"/>
      <c r="K158" s="163"/>
      <c r="L158" s="163"/>
      <c r="M158" s="163"/>
    </row>
    <row r="159" spans="1:13">
      <c r="A159" s="14"/>
      <c r="B159" s="5" t="s">
        <v>52</v>
      </c>
      <c r="C159" s="5" t="s">
        <v>25</v>
      </c>
      <c r="D159" s="5">
        <v>1</v>
      </c>
      <c r="E159" s="137">
        <v>118</v>
      </c>
      <c r="F159" s="29">
        <f>D159/E159</f>
        <v>8.4745762711864406E-3</v>
      </c>
      <c r="G159" s="18">
        <v>1</v>
      </c>
      <c r="H159" s="6">
        <v>3000</v>
      </c>
      <c r="I159" s="117">
        <f t="shared" si="23"/>
        <v>25.423728813559322</v>
      </c>
      <c r="J159" s="163"/>
      <c r="K159" s="169"/>
      <c r="L159" s="163"/>
      <c r="M159" s="163"/>
    </row>
    <row r="160" spans="1:13">
      <c r="A160" s="14"/>
      <c r="B160" s="5" t="s">
        <v>51</v>
      </c>
      <c r="C160" s="5" t="s">
        <v>25</v>
      </c>
      <c r="D160" s="5">
        <v>1</v>
      </c>
      <c r="E160" s="137">
        <v>118</v>
      </c>
      <c r="F160" s="29">
        <f>D160/E160</f>
        <v>8.4745762711864406E-3</v>
      </c>
      <c r="G160" s="18">
        <v>1</v>
      </c>
      <c r="H160" s="6">
        <v>2000</v>
      </c>
      <c r="I160" s="117">
        <f t="shared" si="23"/>
        <v>16.949152542372882</v>
      </c>
      <c r="J160" s="163"/>
      <c r="K160" s="169"/>
      <c r="L160" s="163"/>
      <c r="M160" s="163"/>
    </row>
    <row r="161" spans="1:17" ht="15.75" thickBot="1">
      <c r="A161" s="15"/>
      <c r="B161" s="16"/>
      <c r="C161" s="16"/>
      <c r="D161" s="16"/>
      <c r="E161" s="155"/>
      <c r="F161" s="38"/>
      <c r="G161" s="39"/>
      <c r="H161" s="17"/>
      <c r="I161" s="118">
        <f>SUM(I154:I160)</f>
        <v>3116.246694915254</v>
      </c>
      <c r="J161" s="169">
        <f>I161*E160</f>
        <v>367717.11</v>
      </c>
      <c r="K161" s="169">
        <f>(1042000-126749-18380)*0.41</f>
        <v>367717.11</v>
      </c>
      <c r="L161" s="169">
        <f>K161-J161</f>
        <v>0</v>
      </c>
      <c r="M161" s="163"/>
    </row>
    <row r="162" spans="1:17" ht="45">
      <c r="A162" s="11" t="s">
        <v>42</v>
      </c>
      <c r="B162" s="58" t="s">
        <v>50</v>
      </c>
      <c r="C162" s="12" t="s">
        <v>25</v>
      </c>
      <c r="D162" s="12">
        <v>1</v>
      </c>
      <c r="E162" s="137">
        <v>134</v>
      </c>
      <c r="F162" s="28">
        <f>D162/E162</f>
        <v>7.462686567164179E-3</v>
      </c>
      <c r="G162" s="19">
        <v>1</v>
      </c>
      <c r="H162" s="13">
        <v>48799.74</v>
      </c>
      <c r="I162" s="116">
        <f>F162*H162</f>
        <v>364.17716417910447</v>
      </c>
      <c r="J162" s="169"/>
      <c r="K162" s="169"/>
      <c r="L162" s="169"/>
      <c r="M162" s="163"/>
    </row>
    <row r="163" spans="1:17">
      <c r="A163" s="14"/>
      <c r="B163" s="5" t="s">
        <v>29</v>
      </c>
      <c r="C163" s="5" t="s">
        <v>25</v>
      </c>
      <c r="D163" s="5">
        <v>1</v>
      </c>
      <c r="E163" s="137">
        <v>134</v>
      </c>
      <c r="F163" s="29">
        <f>D163/E163</f>
        <v>7.462686567164179E-3</v>
      </c>
      <c r="G163" s="18">
        <v>1</v>
      </c>
      <c r="H163" s="6">
        <v>3000</v>
      </c>
      <c r="I163" s="117">
        <f t="shared" ref="I163:I168" si="24">F163*H163</f>
        <v>22.388059701492537</v>
      </c>
      <c r="J163" s="169"/>
      <c r="K163" s="169"/>
      <c r="L163" s="169"/>
      <c r="M163" s="163"/>
    </row>
    <row r="164" spans="1:17">
      <c r="A164" s="14"/>
      <c r="B164" s="5" t="s">
        <v>20</v>
      </c>
      <c r="C164" s="5" t="s">
        <v>21</v>
      </c>
      <c r="D164" s="5">
        <v>30</v>
      </c>
      <c r="E164" s="137">
        <v>134</v>
      </c>
      <c r="F164" s="29">
        <f>D164/E164</f>
        <v>0.22388059701492538</v>
      </c>
      <c r="G164" s="18">
        <v>1</v>
      </c>
      <c r="H164" s="6">
        <v>250</v>
      </c>
      <c r="I164" s="117">
        <f t="shared" si="24"/>
        <v>55.970149253731343</v>
      </c>
      <c r="J164" s="169"/>
      <c r="K164" s="169"/>
      <c r="L164" s="169"/>
      <c r="M164" s="163"/>
    </row>
    <row r="165" spans="1:17">
      <c r="A165" s="14"/>
      <c r="B165" s="5" t="s">
        <v>65</v>
      </c>
      <c r="C165" s="5" t="s">
        <v>66</v>
      </c>
      <c r="D165" s="115">
        <v>592.21029999999996</v>
      </c>
      <c r="E165" s="137">
        <v>134</v>
      </c>
      <c r="F165" s="29">
        <f>D165/E167</f>
        <v>4.419479850746268</v>
      </c>
      <c r="G165" s="18">
        <v>1</v>
      </c>
      <c r="H165" s="6">
        <v>350</v>
      </c>
      <c r="I165" s="117">
        <f t="shared" si="24"/>
        <v>1546.8179477611939</v>
      </c>
      <c r="J165" s="163">
        <f>I165*E165</f>
        <v>207273.60499999998</v>
      </c>
      <c r="K165" s="163">
        <f>383840*0.54</f>
        <v>207273.60000000001</v>
      </c>
      <c r="L165" s="163">
        <f>K165-J165</f>
        <v>-4.9999999755527824E-3</v>
      </c>
      <c r="M165" s="163">
        <f>K165/H165</f>
        <v>592.21028571428576</v>
      </c>
    </row>
    <row r="166" spans="1:17">
      <c r="A166" s="14"/>
      <c r="B166" s="5" t="s">
        <v>67</v>
      </c>
      <c r="C166" s="5" t="s">
        <v>25</v>
      </c>
      <c r="D166" s="5">
        <v>1</v>
      </c>
      <c r="E166" s="137">
        <v>134</v>
      </c>
      <c r="F166" s="29">
        <f>D166/E168</f>
        <v>7.462686567164179E-3</v>
      </c>
      <c r="G166" s="18">
        <v>1</v>
      </c>
      <c r="H166" s="6">
        <v>40414.264999999999</v>
      </c>
      <c r="I166" s="117">
        <f t="shared" si="24"/>
        <v>301.59899253731345</v>
      </c>
      <c r="J166" s="163"/>
      <c r="K166" s="163"/>
      <c r="L166" s="163"/>
      <c r="M166" s="163"/>
    </row>
    <row r="167" spans="1:17">
      <c r="A167" s="14"/>
      <c r="B167" s="5" t="s">
        <v>52</v>
      </c>
      <c r="C167" s="5" t="s">
        <v>25</v>
      </c>
      <c r="D167" s="5">
        <v>1</v>
      </c>
      <c r="E167" s="137">
        <v>134</v>
      </c>
      <c r="F167" s="29">
        <f>D167/E167</f>
        <v>7.462686567164179E-3</v>
      </c>
      <c r="G167" s="18">
        <v>1</v>
      </c>
      <c r="H167" s="6">
        <v>2000</v>
      </c>
      <c r="I167" s="117">
        <f t="shared" si="24"/>
        <v>14.925373134328359</v>
      </c>
      <c r="J167" s="169"/>
      <c r="K167" s="169"/>
      <c r="L167" s="169"/>
      <c r="M167" s="163"/>
    </row>
    <row r="168" spans="1:17">
      <c r="A168" s="14"/>
      <c r="B168" s="5" t="s">
        <v>51</v>
      </c>
      <c r="C168" s="5" t="s">
        <v>25</v>
      </c>
      <c r="D168" s="5">
        <v>1</v>
      </c>
      <c r="E168" s="137">
        <v>134</v>
      </c>
      <c r="F168" s="29">
        <f>D168/E168</f>
        <v>7.462686567164179E-3</v>
      </c>
      <c r="G168" s="18">
        <v>1</v>
      </c>
      <c r="H168" s="6">
        <v>28431.39</v>
      </c>
      <c r="I168" s="117">
        <f t="shared" si="24"/>
        <v>212.17455223880597</v>
      </c>
      <c r="J168" s="169"/>
      <c r="K168" s="169"/>
      <c r="L168" s="169"/>
      <c r="M168" s="163"/>
    </row>
    <row r="169" spans="1:17" ht="15.75" thickBot="1">
      <c r="A169" s="15"/>
      <c r="B169" s="16"/>
      <c r="C169" s="16"/>
      <c r="D169" s="16"/>
      <c r="E169" s="138"/>
      <c r="F169" s="38"/>
      <c r="G169" s="39"/>
      <c r="H169" s="17"/>
      <c r="I169" s="118">
        <f>SUM(I162:I168)</f>
        <v>2518.0522388059699</v>
      </c>
      <c r="J169" s="169">
        <f>I169*E168</f>
        <v>337418.99999999994</v>
      </c>
      <c r="K169" s="169">
        <f>(826000-166150-35000)*0.54</f>
        <v>337419</v>
      </c>
      <c r="L169" s="169">
        <f>K169-J169</f>
        <v>0</v>
      </c>
      <c r="M169" s="163"/>
    </row>
    <row r="170" spans="1:17" ht="8.65" customHeight="1">
      <c r="J170" s="59"/>
      <c r="K170" s="59"/>
      <c r="L170" s="59"/>
    </row>
    <row r="171" spans="1:17" ht="19.5" thickBot="1">
      <c r="A171" s="31" t="s">
        <v>44</v>
      </c>
      <c r="J171" s="59"/>
      <c r="K171" s="59"/>
      <c r="L171" s="59"/>
      <c r="Q171" s="1"/>
    </row>
    <row r="172" spans="1:17" ht="58.35" customHeight="1">
      <c r="A172" s="57" t="s">
        <v>3</v>
      </c>
      <c r="B172" s="22" t="s">
        <v>13</v>
      </c>
      <c r="C172" s="22" t="s">
        <v>18</v>
      </c>
      <c r="D172" s="22" t="s">
        <v>14</v>
      </c>
      <c r="E172" s="164" t="s">
        <v>53</v>
      </c>
      <c r="F172" s="22" t="s">
        <v>54</v>
      </c>
      <c r="G172" s="22" t="s">
        <v>15</v>
      </c>
      <c r="H172" s="22" t="s">
        <v>16</v>
      </c>
      <c r="I172" s="23" t="s">
        <v>10</v>
      </c>
      <c r="J172" s="60"/>
      <c r="K172" s="60"/>
      <c r="L172" s="60"/>
    </row>
    <row r="173" spans="1:17" ht="15.75" thickBot="1">
      <c r="A173" s="36">
        <v>1</v>
      </c>
      <c r="B173" s="9">
        <v>2</v>
      </c>
      <c r="C173" s="9">
        <v>3</v>
      </c>
      <c r="D173" s="9">
        <v>4</v>
      </c>
      <c r="E173" s="165">
        <v>5</v>
      </c>
      <c r="F173" s="9" t="s">
        <v>17</v>
      </c>
      <c r="G173" s="9">
        <v>7</v>
      </c>
      <c r="H173" s="8">
        <v>8</v>
      </c>
      <c r="I173" s="37" t="s">
        <v>19</v>
      </c>
      <c r="J173" s="59"/>
      <c r="K173" s="59"/>
      <c r="L173" s="59"/>
    </row>
    <row r="174" spans="1:17" ht="45">
      <c r="A174" s="11" t="s">
        <v>35</v>
      </c>
      <c r="B174" s="58" t="s">
        <v>50</v>
      </c>
      <c r="C174" s="12" t="s">
        <v>25</v>
      </c>
      <c r="D174" s="12">
        <v>1</v>
      </c>
      <c r="E174" s="137">
        <v>50</v>
      </c>
      <c r="F174" s="28">
        <f t="shared" ref="F174:F181" si="25">D174/E174</f>
        <v>0.02</v>
      </c>
      <c r="G174" s="19">
        <v>1</v>
      </c>
      <c r="H174" s="13"/>
      <c r="I174" s="116">
        <f>F174*H174</f>
        <v>0</v>
      </c>
      <c r="J174" s="169"/>
      <c r="K174" s="169"/>
      <c r="L174" s="169"/>
      <c r="M174" s="163"/>
    </row>
    <row r="175" spans="1:17">
      <c r="A175" s="14"/>
      <c r="B175" s="5" t="s">
        <v>29</v>
      </c>
      <c r="C175" s="5" t="s">
        <v>25</v>
      </c>
      <c r="D175" s="5">
        <v>1</v>
      </c>
      <c r="E175" s="137">
        <v>50</v>
      </c>
      <c r="F175" s="29">
        <f t="shared" si="25"/>
        <v>0.02</v>
      </c>
      <c r="G175" s="18">
        <v>1</v>
      </c>
      <c r="H175" s="6">
        <v>2473.65</v>
      </c>
      <c r="I175" s="117">
        <f t="shared" ref="I175:I181" si="26">F175*H175</f>
        <v>49.473000000000006</v>
      </c>
      <c r="J175" s="169"/>
      <c r="K175" s="169"/>
      <c r="L175" s="169"/>
      <c r="M175" s="163"/>
    </row>
    <row r="176" spans="1:17">
      <c r="A176" s="14"/>
      <c r="B176" s="5" t="s">
        <v>20</v>
      </c>
      <c r="C176" s="5" t="s">
        <v>21</v>
      </c>
      <c r="D176" s="5">
        <v>70</v>
      </c>
      <c r="E176" s="137">
        <v>50</v>
      </c>
      <c r="F176" s="29">
        <f t="shared" si="25"/>
        <v>1.4</v>
      </c>
      <c r="G176" s="18">
        <v>1</v>
      </c>
      <c r="H176" s="6">
        <v>250</v>
      </c>
      <c r="I176" s="117">
        <f t="shared" si="26"/>
        <v>350</v>
      </c>
      <c r="J176" s="169"/>
      <c r="K176" s="169"/>
      <c r="L176" s="169"/>
      <c r="M176" s="163"/>
    </row>
    <row r="177" spans="1:13">
      <c r="A177" s="14"/>
      <c r="B177" s="5" t="s">
        <v>65</v>
      </c>
      <c r="C177" s="5" t="s">
        <v>66</v>
      </c>
      <c r="D177" s="115">
        <v>224.35599999999999</v>
      </c>
      <c r="E177" s="137">
        <v>50</v>
      </c>
      <c r="F177" s="29">
        <f>D177/E179</f>
        <v>4.48712</v>
      </c>
      <c r="G177" s="18">
        <v>1</v>
      </c>
      <c r="H177" s="6">
        <v>350</v>
      </c>
      <c r="I177" s="117">
        <f t="shared" si="26"/>
        <v>1570.492</v>
      </c>
      <c r="J177" s="163">
        <f>I177*E177</f>
        <v>78524.599999999991</v>
      </c>
      <c r="K177" s="163">
        <f>713860*0.11</f>
        <v>78524.600000000006</v>
      </c>
      <c r="L177" s="163">
        <f>K177-J177</f>
        <v>0</v>
      </c>
      <c r="M177" s="163">
        <f>K177/H177</f>
        <v>224.35600000000002</v>
      </c>
    </row>
    <row r="178" spans="1:13">
      <c r="A178" s="14"/>
      <c r="B178" s="5" t="s">
        <v>67</v>
      </c>
      <c r="C178" s="5" t="s">
        <v>25</v>
      </c>
      <c r="D178" s="5">
        <v>1</v>
      </c>
      <c r="E178" s="137">
        <v>50</v>
      </c>
      <c r="F178" s="29">
        <f>D178/E180</f>
        <v>0.02</v>
      </c>
      <c r="G178" s="18">
        <v>1</v>
      </c>
      <c r="H178" s="6">
        <v>21134.93</v>
      </c>
      <c r="I178" s="117">
        <f t="shared" si="26"/>
        <v>422.6986</v>
      </c>
      <c r="J178" s="163"/>
      <c r="K178" s="163"/>
      <c r="L178" s="163"/>
      <c r="M178" s="163"/>
    </row>
    <row r="179" spans="1:13">
      <c r="A179" s="14"/>
      <c r="B179" s="5" t="s">
        <v>52</v>
      </c>
      <c r="C179" s="5" t="s">
        <v>25</v>
      </c>
      <c r="D179" s="5">
        <v>1</v>
      </c>
      <c r="E179" s="137">
        <v>50</v>
      </c>
      <c r="F179" s="29">
        <f t="shared" si="25"/>
        <v>0.02</v>
      </c>
      <c r="G179" s="18">
        <v>1</v>
      </c>
      <c r="H179" s="6"/>
      <c r="I179" s="117">
        <f t="shared" si="26"/>
        <v>0</v>
      </c>
      <c r="J179" s="169"/>
      <c r="K179" s="163"/>
      <c r="L179" s="169"/>
      <c r="M179" s="163"/>
    </row>
    <row r="180" spans="1:13">
      <c r="A180" s="14"/>
      <c r="B180" s="5" t="s">
        <v>55</v>
      </c>
      <c r="C180" s="5" t="s">
        <v>25</v>
      </c>
      <c r="D180" s="5">
        <v>1</v>
      </c>
      <c r="E180" s="137">
        <v>50</v>
      </c>
      <c r="F180" s="29">
        <f t="shared" si="25"/>
        <v>0.02</v>
      </c>
      <c r="G180" s="18">
        <v>1</v>
      </c>
      <c r="H180" s="6">
        <v>7102</v>
      </c>
      <c r="I180" s="117">
        <f t="shared" si="26"/>
        <v>142.04</v>
      </c>
      <c r="J180" s="169"/>
      <c r="K180" s="163"/>
      <c r="L180" s="169"/>
      <c r="M180" s="163"/>
    </row>
    <row r="181" spans="1:13">
      <c r="A181" s="14"/>
      <c r="B181" s="5" t="s">
        <v>51</v>
      </c>
      <c r="C181" s="5" t="s">
        <v>25</v>
      </c>
      <c r="D181" s="5">
        <v>1</v>
      </c>
      <c r="E181" s="137">
        <v>50</v>
      </c>
      <c r="F181" s="29">
        <f t="shared" si="25"/>
        <v>0.02</v>
      </c>
      <c r="G181" s="18">
        <v>1</v>
      </c>
      <c r="H181" s="6"/>
      <c r="I181" s="117">
        <f t="shared" si="26"/>
        <v>0</v>
      </c>
      <c r="J181" s="169"/>
      <c r="K181" s="169"/>
      <c r="L181" s="169"/>
      <c r="M181" s="163"/>
    </row>
    <row r="182" spans="1:13" ht="15.75" thickBot="1">
      <c r="A182" s="15"/>
      <c r="B182" s="16"/>
      <c r="C182" s="16"/>
      <c r="D182" s="16"/>
      <c r="E182" s="155"/>
      <c r="F182" s="38"/>
      <c r="G182" s="39"/>
      <c r="H182" s="17"/>
      <c r="I182" s="118">
        <f>SUM(I174:I181)</f>
        <v>2534.7035999999998</v>
      </c>
      <c r="J182" s="169">
        <f>I182*E181</f>
        <v>126735.18</v>
      </c>
      <c r="K182" s="169">
        <f>(1484300-285367-46795)*0.11</f>
        <v>126735.18000000001</v>
      </c>
      <c r="L182" s="169">
        <f>K182-J182</f>
        <v>0</v>
      </c>
      <c r="M182" s="163"/>
    </row>
    <row r="183" spans="1:13" ht="45">
      <c r="A183" s="11" t="s">
        <v>36</v>
      </c>
      <c r="B183" s="58" t="s">
        <v>50</v>
      </c>
      <c r="C183" s="12" t="s">
        <v>25</v>
      </c>
      <c r="D183" s="12">
        <v>1</v>
      </c>
      <c r="E183" s="137">
        <v>38</v>
      </c>
      <c r="F183" s="28">
        <f>D183/E183</f>
        <v>2.6315789473684209E-2</v>
      </c>
      <c r="G183" s="19">
        <v>1</v>
      </c>
      <c r="H183" s="13">
        <v>8491.7569999999996</v>
      </c>
      <c r="I183" s="116">
        <f>F183*H183</f>
        <v>223.46728947368419</v>
      </c>
      <c r="J183" s="169"/>
      <c r="K183" s="169"/>
      <c r="L183" s="169"/>
      <c r="M183" s="163"/>
    </row>
    <row r="184" spans="1:13">
      <c r="A184" s="14"/>
      <c r="B184" s="5" t="s">
        <v>29</v>
      </c>
      <c r="C184" s="5" t="s">
        <v>25</v>
      </c>
      <c r="D184" s="5">
        <v>1</v>
      </c>
      <c r="E184" s="137">
        <v>38</v>
      </c>
      <c r="F184" s="29">
        <f>D184/E184</f>
        <v>2.6315789473684209E-2</v>
      </c>
      <c r="G184" s="18">
        <v>1</v>
      </c>
      <c r="H184" s="6">
        <f>3566.33-0.002</f>
        <v>3566.328</v>
      </c>
      <c r="I184" s="117">
        <f t="shared" ref="I184:I188" si="27">F184*H184</f>
        <v>93.850736842105263</v>
      </c>
      <c r="J184" s="169"/>
      <c r="K184" s="169"/>
      <c r="L184" s="169"/>
      <c r="M184" s="163"/>
    </row>
    <row r="185" spans="1:13">
      <c r="A185" s="14"/>
      <c r="B185" s="5" t="s">
        <v>20</v>
      </c>
      <c r="C185" s="5" t="s">
        <v>21</v>
      </c>
      <c r="D185" s="5">
        <v>100</v>
      </c>
      <c r="E185" s="137">
        <v>38</v>
      </c>
      <c r="F185" s="29">
        <f>D185/E185</f>
        <v>2.6315789473684212</v>
      </c>
      <c r="G185" s="18">
        <v>1</v>
      </c>
      <c r="H185" s="6">
        <v>250</v>
      </c>
      <c r="I185" s="117">
        <f t="shared" si="27"/>
        <v>657.89473684210532</v>
      </c>
      <c r="J185" s="169"/>
      <c r="K185" s="169"/>
      <c r="L185" s="169"/>
      <c r="M185" s="163"/>
    </row>
    <row r="186" spans="1:13">
      <c r="A186" s="14"/>
      <c r="B186" s="5" t="s">
        <v>65</v>
      </c>
      <c r="C186" s="5" t="s">
        <v>66</v>
      </c>
      <c r="D186" s="115">
        <v>176.73089999999999</v>
      </c>
      <c r="E186" s="137">
        <v>38</v>
      </c>
      <c r="F186" s="29">
        <f>D186/E188</f>
        <v>4.6508131578947367</v>
      </c>
      <c r="G186" s="18">
        <v>1</v>
      </c>
      <c r="H186" s="6">
        <v>350</v>
      </c>
      <c r="I186" s="117">
        <f t="shared" si="27"/>
        <v>1627.7846052631578</v>
      </c>
      <c r="J186" s="163">
        <f>I186*E186</f>
        <v>61855.814999999995</v>
      </c>
      <c r="K186" s="163">
        <f>1030930*0.06</f>
        <v>61855.799999999996</v>
      </c>
      <c r="L186" s="163">
        <f>K186-J186</f>
        <v>-1.4999999999417923E-2</v>
      </c>
      <c r="M186" s="177">
        <f>K186/H186</f>
        <v>176.73085714285713</v>
      </c>
    </row>
    <row r="187" spans="1:13">
      <c r="A187" s="14"/>
      <c r="B187" s="5" t="s">
        <v>55</v>
      </c>
      <c r="C187" s="5" t="s">
        <v>25</v>
      </c>
      <c r="D187" s="5">
        <v>1</v>
      </c>
      <c r="E187" s="137">
        <v>38</v>
      </c>
      <c r="F187" s="29">
        <f>D187/E187</f>
        <v>2.6315789473684209E-2</v>
      </c>
      <c r="G187" s="18">
        <v>1</v>
      </c>
      <c r="H187" s="6">
        <v>7000</v>
      </c>
      <c r="I187" s="117">
        <f t="shared" si="27"/>
        <v>184.21052631578945</v>
      </c>
      <c r="J187" s="169"/>
      <c r="K187" s="169"/>
      <c r="L187" s="169"/>
      <c r="M187" s="163"/>
    </row>
    <row r="188" spans="1:13">
      <c r="A188" s="14"/>
      <c r="B188" s="5" t="s">
        <v>51</v>
      </c>
      <c r="C188" s="5" t="s">
        <v>25</v>
      </c>
      <c r="D188" s="5">
        <v>1</v>
      </c>
      <c r="E188" s="137">
        <v>38</v>
      </c>
      <c r="F188" s="29">
        <f>D188/E188</f>
        <v>2.6315789473684209E-2</v>
      </c>
      <c r="G188" s="18">
        <v>1</v>
      </c>
      <c r="H188" s="6">
        <v>2000</v>
      </c>
      <c r="I188" s="117">
        <f t="shared" si="27"/>
        <v>52.631578947368418</v>
      </c>
      <c r="J188" s="169"/>
      <c r="K188" s="169"/>
      <c r="L188" s="169"/>
      <c r="M188" s="163"/>
    </row>
    <row r="189" spans="1:13" ht="15.75" thickBot="1">
      <c r="A189" s="15"/>
      <c r="B189" s="16"/>
      <c r="C189" s="16"/>
      <c r="D189" s="16"/>
      <c r="E189" s="155"/>
      <c r="F189" s="38"/>
      <c r="G189" s="39"/>
      <c r="H189" s="17"/>
      <c r="I189" s="118">
        <f>SUM(I183:I188)</f>
        <v>2839.8394736842106</v>
      </c>
      <c r="J189" s="169">
        <f>I189*E188</f>
        <v>107913.90000000001</v>
      </c>
      <c r="K189" s="169">
        <f>(2119900-273335-48000)*0.06</f>
        <v>107913.9</v>
      </c>
      <c r="L189" s="169">
        <f>K189-J189</f>
        <v>0</v>
      </c>
      <c r="M189" s="163"/>
    </row>
    <row r="190" spans="1:13" ht="45">
      <c r="A190" s="11" t="s">
        <v>37</v>
      </c>
      <c r="B190" s="58" t="s">
        <v>50</v>
      </c>
      <c r="C190" s="12" t="s">
        <v>25</v>
      </c>
      <c r="D190" s="12">
        <v>1</v>
      </c>
      <c r="E190" s="137">
        <v>40</v>
      </c>
      <c r="F190" s="28">
        <f>D190/E190</f>
        <v>2.5000000000000001E-2</v>
      </c>
      <c r="G190" s="19">
        <v>1</v>
      </c>
      <c r="H190" s="13">
        <v>13472.495000000001</v>
      </c>
      <c r="I190" s="116">
        <f>F190*H190</f>
        <v>336.81237500000003</v>
      </c>
      <c r="J190" s="163"/>
      <c r="K190" s="163"/>
      <c r="L190" s="163"/>
      <c r="M190" s="163"/>
    </row>
    <row r="191" spans="1:13">
      <c r="A191" s="14"/>
      <c r="B191" s="5" t="s">
        <v>29</v>
      </c>
      <c r="C191" s="5" t="s">
        <v>25</v>
      </c>
      <c r="D191" s="5">
        <v>1</v>
      </c>
      <c r="E191" s="137">
        <v>40</v>
      </c>
      <c r="F191" s="29">
        <f>D191/E191</f>
        <v>2.5000000000000001E-2</v>
      </c>
      <c r="G191" s="18">
        <v>1</v>
      </c>
      <c r="H191" s="6">
        <v>5000</v>
      </c>
      <c r="I191" s="117">
        <f t="shared" ref="I191:I195" si="28">F191*H191</f>
        <v>125</v>
      </c>
      <c r="J191" s="163"/>
      <c r="K191" s="163"/>
      <c r="L191" s="163"/>
      <c r="M191" s="163"/>
    </row>
    <row r="192" spans="1:13">
      <c r="A192" s="14"/>
      <c r="B192" s="5" t="s">
        <v>20</v>
      </c>
      <c r="C192" s="5" t="s">
        <v>21</v>
      </c>
      <c r="D192" s="5">
        <v>100</v>
      </c>
      <c r="E192" s="137">
        <v>40</v>
      </c>
      <c r="F192" s="29">
        <f>D192/E192</f>
        <v>2.5</v>
      </c>
      <c r="G192" s="18">
        <v>1</v>
      </c>
      <c r="H192" s="6">
        <v>250</v>
      </c>
      <c r="I192" s="117">
        <f t="shared" si="28"/>
        <v>625</v>
      </c>
      <c r="J192" s="163"/>
      <c r="K192" s="163"/>
      <c r="L192" s="163"/>
      <c r="M192" s="163"/>
    </row>
    <row r="193" spans="1:13">
      <c r="A193" s="14"/>
      <c r="B193" s="5" t="s">
        <v>65</v>
      </c>
      <c r="C193" s="5" t="s">
        <v>66</v>
      </c>
      <c r="D193" s="115">
        <v>173.648</v>
      </c>
      <c r="E193" s="137">
        <v>40</v>
      </c>
      <c r="F193" s="29">
        <f>D193/E195</f>
        <v>4.3411999999999997</v>
      </c>
      <c r="G193" s="18">
        <v>1</v>
      </c>
      <c r="H193" s="6">
        <v>350</v>
      </c>
      <c r="I193" s="117">
        <f t="shared" si="28"/>
        <v>1519.4199999999998</v>
      </c>
      <c r="J193" s="163">
        <f>I193*E193</f>
        <v>60776.799999999996</v>
      </c>
      <c r="K193" s="163">
        <f>868240*0.07</f>
        <v>60776.800000000003</v>
      </c>
      <c r="L193" s="163">
        <f>K193-J193</f>
        <v>0</v>
      </c>
      <c r="M193" s="163">
        <f>K193/H193</f>
        <v>173.648</v>
      </c>
    </row>
    <row r="194" spans="1:13">
      <c r="A194" s="14"/>
      <c r="B194" s="5" t="s">
        <v>55</v>
      </c>
      <c r="C194" s="5" t="s">
        <v>25</v>
      </c>
      <c r="D194" s="5">
        <v>1</v>
      </c>
      <c r="E194" s="137">
        <v>40</v>
      </c>
      <c r="F194" s="29">
        <f>D194/E194</f>
        <v>2.5000000000000001E-2</v>
      </c>
      <c r="G194" s="18">
        <v>1</v>
      </c>
      <c r="H194" s="6">
        <v>9170</v>
      </c>
      <c r="I194" s="117">
        <f t="shared" si="28"/>
        <v>229.25</v>
      </c>
      <c r="J194" s="163"/>
      <c r="K194" s="163"/>
      <c r="L194" s="163"/>
      <c r="M194" s="163"/>
    </row>
    <row r="195" spans="1:13">
      <c r="A195" s="14"/>
      <c r="B195" s="5" t="s">
        <v>51</v>
      </c>
      <c r="C195" s="5" t="s">
        <v>25</v>
      </c>
      <c r="D195" s="5">
        <v>1</v>
      </c>
      <c r="E195" s="137">
        <v>40</v>
      </c>
      <c r="F195" s="29">
        <f>D195/E195</f>
        <v>2.5000000000000001E-2</v>
      </c>
      <c r="G195" s="18">
        <v>1</v>
      </c>
      <c r="H195" s="6">
        <v>2628.875</v>
      </c>
      <c r="I195" s="117">
        <f t="shared" si="28"/>
        <v>65.721874999999997</v>
      </c>
      <c r="J195" s="163"/>
      <c r="K195" s="163"/>
      <c r="L195" s="163"/>
      <c r="M195" s="163"/>
    </row>
    <row r="196" spans="1:13" ht="15.75" thickBot="1">
      <c r="A196" s="15"/>
      <c r="B196" s="16"/>
      <c r="C196" s="16"/>
      <c r="D196" s="16"/>
      <c r="E196" s="155"/>
      <c r="F196" s="38"/>
      <c r="G196" s="39"/>
      <c r="H196" s="17"/>
      <c r="I196" s="118">
        <f>SUM(I190:I195)</f>
        <v>2901.2042499999998</v>
      </c>
      <c r="J196" s="169">
        <f>I196*E195</f>
        <v>116048.16999999998</v>
      </c>
      <c r="K196" s="169">
        <f>(1955200-228369-69000)*0.07</f>
        <v>116048.17000000001</v>
      </c>
      <c r="L196" s="169">
        <f>K196-J196</f>
        <v>0</v>
      </c>
      <c r="M196" s="163"/>
    </row>
    <row r="197" spans="1:13" ht="45">
      <c r="A197" s="11" t="s">
        <v>39</v>
      </c>
      <c r="B197" s="58" t="s">
        <v>50</v>
      </c>
      <c r="C197" s="12" t="s">
        <v>25</v>
      </c>
      <c r="D197" s="12">
        <v>1</v>
      </c>
      <c r="E197" s="137">
        <v>94</v>
      </c>
      <c r="F197" s="28">
        <f>D197/E197</f>
        <v>1.0638297872340425E-2</v>
      </c>
      <c r="G197" s="19">
        <v>1</v>
      </c>
      <c r="H197" s="13">
        <v>9789.2900000000009</v>
      </c>
      <c r="I197" s="116">
        <f>F197*H197</f>
        <v>104.14138297872341</v>
      </c>
      <c r="J197" s="169"/>
      <c r="K197" s="169"/>
      <c r="L197" s="169"/>
      <c r="M197" s="163"/>
    </row>
    <row r="198" spans="1:13">
      <c r="A198" s="14"/>
      <c r="B198" s="5" t="s">
        <v>29</v>
      </c>
      <c r="C198" s="5" t="s">
        <v>25</v>
      </c>
      <c r="D198" s="5">
        <v>1</v>
      </c>
      <c r="E198" s="137">
        <v>94</v>
      </c>
      <c r="F198" s="29">
        <f>D198/E198</f>
        <v>1.0638297872340425E-2</v>
      </c>
      <c r="G198" s="18">
        <v>1</v>
      </c>
      <c r="H198" s="6">
        <v>1410.09</v>
      </c>
      <c r="I198" s="117">
        <f t="shared" ref="I198:I203" si="29">F198*H198</f>
        <v>15.00095744680851</v>
      </c>
      <c r="J198" s="169"/>
      <c r="K198" s="169"/>
      <c r="L198" s="169"/>
      <c r="M198" s="163"/>
    </row>
    <row r="199" spans="1:13">
      <c r="A199" s="14"/>
      <c r="B199" s="5" t="s">
        <v>20</v>
      </c>
      <c r="C199" s="5" t="s">
        <v>21</v>
      </c>
      <c r="D199" s="5">
        <v>50</v>
      </c>
      <c r="E199" s="137">
        <v>94</v>
      </c>
      <c r="F199" s="29">
        <f>D199/E199</f>
        <v>0.53191489361702127</v>
      </c>
      <c r="G199" s="18">
        <v>1</v>
      </c>
      <c r="H199" s="6">
        <v>250</v>
      </c>
      <c r="I199" s="117">
        <f t="shared" si="29"/>
        <v>132.97872340425531</v>
      </c>
      <c r="J199" s="169"/>
      <c r="K199" s="169"/>
      <c r="L199" s="169"/>
      <c r="M199" s="163"/>
    </row>
    <row r="200" spans="1:13">
      <c r="A200" s="14"/>
      <c r="B200" s="5" t="s">
        <v>65</v>
      </c>
      <c r="C200" s="5" t="s">
        <v>66</v>
      </c>
      <c r="D200" s="115">
        <v>444.60430000000002</v>
      </c>
      <c r="E200" s="137">
        <v>94</v>
      </c>
      <c r="F200" s="29">
        <f>D200/E203</f>
        <v>4.7298329787234046</v>
      </c>
      <c r="G200" s="18">
        <v>1</v>
      </c>
      <c r="H200" s="6">
        <v>350</v>
      </c>
      <c r="I200" s="117">
        <f t="shared" si="29"/>
        <v>1655.4415425531915</v>
      </c>
      <c r="J200" s="163">
        <f>I200*E200</f>
        <v>155611.505</v>
      </c>
      <c r="K200" s="163">
        <f>1414650*0.11</f>
        <v>155611.5</v>
      </c>
      <c r="L200" s="163">
        <f>K200-J200</f>
        <v>-5.0000000046566129E-3</v>
      </c>
      <c r="M200" s="163">
        <f>K200/H200</f>
        <v>444.60428571428571</v>
      </c>
    </row>
    <row r="201" spans="1:13">
      <c r="A201" s="14"/>
      <c r="B201" s="5" t="s">
        <v>67</v>
      </c>
      <c r="C201" s="5" t="s">
        <v>25</v>
      </c>
      <c r="D201" s="5">
        <v>1</v>
      </c>
      <c r="E201" s="137">
        <v>94</v>
      </c>
      <c r="F201" s="29">
        <f>D201/E203</f>
        <v>1.0638297872340425E-2</v>
      </c>
      <c r="G201" s="18">
        <v>1</v>
      </c>
      <c r="H201" s="6">
        <v>33790.025000000001</v>
      </c>
      <c r="I201" s="117">
        <f t="shared" si="29"/>
        <v>359.4683510638298</v>
      </c>
      <c r="J201" s="163"/>
      <c r="K201" s="163"/>
      <c r="L201" s="163"/>
      <c r="M201" s="163"/>
    </row>
    <row r="202" spans="1:13">
      <c r="A202" s="14"/>
      <c r="B202" s="5" t="s">
        <v>55</v>
      </c>
      <c r="C202" s="5" t="s">
        <v>25</v>
      </c>
      <c r="D202" s="5">
        <v>1</v>
      </c>
      <c r="E202" s="137">
        <v>94</v>
      </c>
      <c r="F202" s="29">
        <f>D202/E202</f>
        <v>1.0638297872340425E-2</v>
      </c>
      <c r="G202" s="18">
        <v>1</v>
      </c>
      <c r="H202" s="6">
        <v>29700</v>
      </c>
      <c r="I202" s="117">
        <f t="shared" si="29"/>
        <v>315.95744680851061</v>
      </c>
      <c r="J202" s="169"/>
      <c r="K202" s="169"/>
      <c r="L202" s="169"/>
      <c r="M202" s="163"/>
    </row>
    <row r="203" spans="1:13">
      <c r="A203" s="14"/>
      <c r="B203" s="5" t="s">
        <v>51</v>
      </c>
      <c r="C203" s="5" t="s">
        <v>25</v>
      </c>
      <c r="D203" s="5">
        <v>1</v>
      </c>
      <c r="E203" s="137">
        <v>94</v>
      </c>
      <c r="F203" s="29">
        <f>D203/E203</f>
        <v>1.0638297872340425E-2</v>
      </c>
      <c r="G203" s="18">
        <v>1</v>
      </c>
      <c r="H203" s="6"/>
      <c r="I203" s="117">
        <f t="shared" si="29"/>
        <v>0</v>
      </c>
      <c r="J203" s="169"/>
      <c r="K203" s="169"/>
      <c r="L203" s="169"/>
      <c r="M203" s="163"/>
    </row>
    <row r="204" spans="1:13" ht="15.75" thickBot="1">
      <c r="A204" s="15"/>
      <c r="B204" s="16"/>
      <c r="C204" s="16"/>
      <c r="D204" s="16"/>
      <c r="E204" s="155"/>
      <c r="F204" s="38"/>
      <c r="G204" s="39"/>
      <c r="H204" s="17"/>
      <c r="I204" s="118">
        <f>SUM(I197:I203)</f>
        <v>2582.9884042553194</v>
      </c>
      <c r="J204" s="169">
        <f>I204*E203</f>
        <v>242800.91000000003</v>
      </c>
      <c r="K204" s="169">
        <f>(2923400-646119-70000)*0.11</f>
        <v>242800.91</v>
      </c>
      <c r="L204" s="169">
        <f>K204-J204</f>
        <v>0</v>
      </c>
      <c r="M204" s="163"/>
    </row>
    <row r="205" spans="1:13" ht="45">
      <c r="A205" s="11" t="s">
        <v>40</v>
      </c>
      <c r="B205" s="58" t="s">
        <v>50</v>
      </c>
      <c r="C205" s="12" t="s">
        <v>25</v>
      </c>
      <c r="D205" s="12">
        <v>1</v>
      </c>
      <c r="E205" s="137">
        <v>96</v>
      </c>
      <c r="F205" s="28">
        <f>D205/E205</f>
        <v>1.0416666666666666E-2</v>
      </c>
      <c r="G205" s="19">
        <v>1</v>
      </c>
      <c r="H205" s="13">
        <v>15000</v>
      </c>
      <c r="I205" s="116">
        <f>F205*H205</f>
        <v>156.25</v>
      </c>
      <c r="J205" s="169"/>
      <c r="K205" s="169"/>
      <c r="L205" s="169"/>
      <c r="M205" s="163"/>
    </row>
    <row r="206" spans="1:13">
      <c r="A206" s="14"/>
      <c r="B206" s="5" t="s">
        <v>29</v>
      </c>
      <c r="C206" s="5" t="s">
        <v>25</v>
      </c>
      <c r="D206" s="5">
        <v>1</v>
      </c>
      <c r="E206" s="137">
        <v>96</v>
      </c>
      <c r="F206" s="29">
        <f>D206/E206</f>
        <v>1.0416666666666666E-2</v>
      </c>
      <c r="G206" s="18">
        <v>1</v>
      </c>
      <c r="H206" s="6">
        <v>5000</v>
      </c>
      <c r="I206" s="117">
        <f t="shared" ref="I206:I212" si="30">F206*H206</f>
        <v>52.083333333333329</v>
      </c>
      <c r="J206" s="169"/>
      <c r="K206" s="169"/>
      <c r="L206" s="169"/>
      <c r="M206" s="163"/>
    </row>
    <row r="207" spans="1:13">
      <c r="A207" s="14"/>
      <c r="B207" s="5" t="s">
        <v>20</v>
      </c>
      <c r="C207" s="5" t="s">
        <v>21</v>
      </c>
      <c r="D207" s="5">
        <v>50</v>
      </c>
      <c r="E207" s="137">
        <v>96</v>
      </c>
      <c r="F207" s="29">
        <f>D207/E207</f>
        <v>0.52083333333333337</v>
      </c>
      <c r="G207" s="18">
        <v>1</v>
      </c>
      <c r="H207" s="6">
        <v>250</v>
      </c>
      <c r="I207" s="117">
        <f t="shared" si="30"/>
        <v>130.20833333333334</v>
      </c>
      <c r="J207" s="169"/>
      <c r="K207" s="169"/>
      <c r="L207" s="169"/>
      <c r="M207" s="163"/>
    </row>
    <row r="208" spans="1:13">
      <c r="A208" s="14"/>
      <c r="B208" s="5" t="s">
        <v>65</v>
      </c>
      <c r="C208" s="5" t="s">
        <v>66</v>
      </c>
      <c r="D208" s="115">
        <v>420.18709999999999</v>
      </c>
      <c r="E208" s="137">
        <v>96</v>
      </c>
      <c r="F208" s="29">
        <f>D208/E212</f>
        <v>4.3769489583333332</v>
      </c>
      <c r="G208" s="18">
        <v>1</v>
      </c>
      <c r="H208" s="6">
        <v>350</v>
      </c>
      <c r="I208" s="117">
        <f t="shared" si="30"/>
        <v>1531.9321354166666</v>
      </c>
      <c r="J208" s="163">
        <f>I208*E208</f>
        <v>147065.48499999999</v>
      </c>
      <c r="K208" s="163">
        <f>1470655*0.1</f>
        <v>147065.5</v>
      </c>
      <c r="L208" s="163">
        <f>K208-J208</f>
        <v>1.5000000013969839E-2</v>
      </c>
      <c r="M208" s="163">
        <f>K208/H208</f>
        <v>420.18714285714287</v>
      </c>
    </row>
    <row r="209" spans="1:13">
      <c r="A209" s="14"/>
      <c r="B209" s="5" t="s">
        <v>67</v>
      </c>
      <c r="C209" s="5" t="s">
        <v>25</v>
      </c>
      <c r="D209" s="5">
        <v>1</v>
      </c>
      <c r="E209" s="137">
        <v>96</v>
      </c>
      <c r="F209" s="29">
        <f>D209/E212</f>
        <v>1.0416666666666666E-2</v>
      </c>
      <c r="G209" s="18">
        <v>1</v>
      </c>
      <c r="H209" s="6">
        <v>32212.215</v>
      </c>
      <c r="I209" s="117">
        <f t="shared" si="30"/>
        <v>335.54390624999996</v>
      </c>
      <c r="J209" s="163"/>
      <c r="K209" s="163"/>
      <c r="L209" s="163"/>
      <c r="M209" s="163"/>
    </row>
    <row r="210" spans="1:13">
      <c r="A210" s="14"/>
      <c r="B210" s="5" t="s">
        <v>67</v>
      </c>
      <c r="C210" s="5" t="s">
        <v>25</v>
      </c>
      <c r="D210" s="5">
        <v>1</v>
      </c>
      <c r="E210" s="137">
        <v>96</v>
      </c>
      <c r="F210" s="29">
        <f>D210/E212</f>
        <v>1.0416666666666666E-2</v>
      </c>
      <c r="G210" s="18">
        <v>1</v>
      </c>
      <c r="H210" s="6"/>
      <c r="I210" s="117">
        <f t="shared" ref="I210" si="31">F210*H210</f>
        <v>0</v>
      </c>
      <c r="J210" s="163"/>
      <c r="K210" s="163"/>
      <c r="L210" s="163"/>
      <c r="M210" s="163"/>
    </row>
    <row r="211" spans="1:13">
      <c r="A211" s="14"/>
      <c r="B211" s="5" t="s">
        <v>52</v>
      </c>
      <c r="C211" s="5" t="s">
        <v>25</v>
      </c>
      <c r="D211" s="5">
        <v>1</v>
      </c>
      <c r="E211" s="137">
        <v>96</v>
      </c>
      <c r="F211" s="29">
        <f>D211/E211</f>
        <v>1.0416666666666666E-2</v>
      </c>
      <c r="G211" s="18">
        <v>1</v>
      </c>
      <c r="H211" s="6">
        <v>5000</v>
      </c>
      <c r="I211" s="117">
        <f t="shared" si="30"/>
        <v>52.083333333333329</v>
      </c>
      <c r="J211" s="169"/>
      <c r="K211" s="169"/>
      <c r="L211" s="169"/>
      <c r="M211" s="163"/>
    </row>
    <row r="212" spans="1:13">
      <c r="A212" s="14"/>
      <c r="B212" s="5" t="s">
        <v>55</v>
      </c>
      <c r="C212" s="5" t="s">
        <v>25</v>
      </c>
      <c r="D212" s="5">
        <v>1</v>
      </c>
      <c r="E212" s="137">
        <v>96</v>
      </c>
      <c r="F212" s="29">
        <f>D212/E212</f>
        <v>1.0416666666666666E-2</v>
      </c>
      <c r="G212" s="18">
        <v>1</v>
      </c>
      <c r="H212" s="6">
        <v>14241.6</v>
      </c>
      <c r="I212" s="117">
        <f t="shared" si="30"/>
        <v>148.35</v>
      </c>
      <c r="J212" s="169"/>
      <c r="K212" s="169"/>
      <c r="L212" s="169"/>
      <c r="M212" s="163"/>
    </row>
    <row r="213" spans="1:13" ht="15.75" thickBot="1">
      <c r="A213" s="82"/>
      <c r="B213" s="83"/>
      <c r="C213" s="83"/>
      <c r="D213" s="83"/>
      <c r="E213" s="155"/>
      <c r="F213" s="84"/>
      <c r="G213" s="126"/>
      <c r="H213" s="127"/>
      <c r="I213" s="128">
        <f>SUM(I205:I212)</f>
        <v>2406.4510416666667</v>
      </c>
      <c r="J213" s="169">
        <f>I213*E212</f>
        <v>231019.3</v>
      </c>
      <c r="K213" s="169">
        <f>(2949400-544882-94325)*0.1</f>
        <v>231019.30000000002</v>
      </c>
      <c r="L213" s="169">
        <f>K213-J213</f>
        <v>0</v>
      </c>
      <c r="M213" s="163"/>
    </row>
    <row r="214" spans="1:13">
      <c r="A214" s="11"/>
      <c r="B214" s="12"/>
      <c r="C214" s="12"/>
      <c r="D214" s="12"/>
      <c r="E214" s="136"/>
      <c r="F214" s="28"/>
      <c r="G214" s="19" t="s">
        <v>31</v>
      </c>
      <c r="H214" s="13"/>
      <c r="I214" s="135">
        <f>I213-I215</f>
        <v>2406.4510416666667</v>
      </c>
      <c r="J214" s="169">
        <f>I214*99</f>
        <v>238238.65312500001</v>
      </c>
      <c r="K214" s="169"/>
      <c r="L214" s="169"/>
      <c r="M214" s="163"/>
    </row>
    <row r="215" spans="1:13" ht="15.75" thickBot="1">
      <c r="A215" s="15"/>
      <c r="B215" s="16"/>
      <c r="C215" s="16"/>
      <c r="D215" s="16"/>
      <c r="E215" s="138"/>
      <c r="F215" s="38"/>
      <c r="G215" s="39" t="s">
        <v>74</v>
      </c>
      <c r="H215" s="17"/>
      <c r="I215" s="118">
        <f>I210</f>
        <v>0</v>
      </c>
      <c r="J215" s="169">
        <f>I215*99</f>
        <v>0</v>
      </c>
      <c r="K215" s="169"/>
      <c r="L215" s="169"/>
      <c r="M215" s="163"/>
    </row>
    <row r="216" spans="1:13" ht="45">
      <c r="A216" s="129" t="s">
        <v>41</v>
      </c>
      <c r="B216" s="130" t="s">
        <v>50</v>
      </c>
      <c r="C216" s="10" t="s">
        <v>25</v>
      </c>
      <c r="D216" s="10">
        <v>1</v>
      </c>
      <c r="E216" s="166">
        <v>44</v>
      </c>
      <c r="F216" s="131">
        <f>D216/E216</f>
        <v>2.2727272727272728E-2</v>
      </c>
      <c r="G216" s="132">
        <v>1</v>
      </c>
      <c r="H216" s="133">
        <v>1500</v>
      </c>
      <c r="I216" s="134">
        <f>F216*H216</f>
        <v>34.090909090909093</v>
      </c>
      <c r="J216" s="169"/>
      <c r="K216" s="169"/>
      <c r="L216" s="169"/>
      <c r="M216" s="163"/>
    </row>
    <row r="217" spans="1:13">
      <c r="A217" s="14"/>
      <c r="B217" s="5" t="s">
        <v>29</v>
      </c>
      <c r="C217" s="5" t="s">
        <v>25</v>
      </c>
      <c r="D217" s="5">
        <v>1</v>
      </c>
      <c r="E217" s="166">
        <v>44</v>
      </c>
      <c r="F217" s="29">
        <f>D217/E217</f>
        <v>2.2727272727272728E-2</v>
      </c>
      <c r="G217" s="18">
        <v>1</v>
      </c>
      <c r="H217" s="6">
        <v>2000</v>
      </c>
      <c r="I217" s="117">
        <f t="shared" ref="I217:I223" si="32">F217*H217</f>
        <v>45.454545454545453</v>
      </c>
      <c r="J217" s="169"/>
      <c r="K217" s="169"/>
      <c r="L217" s="169"/>
      <c r="M217" s="163"/>
    </row>
    <row r="218" spans="1:13">
      <c r="A218" s="14"/>
      <c r="B218" s="5" t="s">
        <v>20</v>
      </c>
      <c r="C218" s="5" t="s">
        <v>21</v>
      </c>
      <c r="D218" s="5">
        <v>25</v>
      </c>
      <c r="E218" s="166">
        <v>44</v>
      </c>
      <c r="F218" s="29">
        <f>D218/E218</f>
        <v>0.56818181818181823</v>
      </c>
      <c r="G218" s="18">
        <v>1</v>
      </c>
      <c r="H218" s="6">
        <v>250</v>
      </c>
      <c r="I218" s="117">
        <f t="shared" si="32"/>
        <v>142.04545454545456</v>
      </c>
      <c r="J218" s="169"/>
      <c r="K218" s="169"/>
      <c r="L218" s="169"/>
      <c r="M218" s="163"/>
    </row>
    <row r="219" spans="1:13">
      <c r="A219" s="14"/>
      <c r="B219" s="5" t="s">
        <v>65</v>
      </c>
      <c r="C219" s="5" t="s">
        <v>66</v>
      </c>
      <c r="D219" s="115">
        <v>210.59889999999999</v>
      </c>
      <c r="E219" s="166">
        <v>44</v>
      </c>
      <c r="F219" s="29">
        <f>D219/E223</f>
        <v>4.7863386363636362</v>
      </c>
      <c r="G219" s="18">
        <v>1</v>
      </c>
      <c r="H219" s="6">
        <v>350</v>
      </c>
      <c r="I219" s="117">
        <f t="shared" si="32"/>
        <v>1675.2185227272728</v>
      </c>
      <c r="J219" s="163">
        <f>I219*E219</f>
        <v>73709.615000000005</v>
      </c>
      <c r="K219" s="163">
        <f>921370*0.08</f>
        <v>73709.600000000006</v>
      </c>
      <c r="L219" s="163">
        <f>K219-J219</f>
        <v>-1.4999999999417923E-2</v>
      </c>
      <c r="M219" s="163">
        <f>K219/H219</f>
        <v>210.59885714285716</v>
      </c>
    </row>
    <row r="220" spans="1:13">
      <c r="A220" s="14"/>
      <c r="B220" s="5" t="s">
        <v>67</v>
      </c>
      <c r="C220" s="5" t="s">
        <v>25</v>
      </c>
      <c r="D220" s="5">
        <v>1</v>
      </c>
      <c r="E220" s="166">
        <v>44</v>
      </c>
      <c r="F220" s="29">
        <f>D220/E223</f>
        <v>2.2727272727272728E-2</v>
      </c>
      <c r="G220" s="18">
        <v>1</v>
      </c>
      <c r="H220" s="6">
        <v>16242.145</v>
      </c>
      <c r="I220" s="117">
        <f t="shared" si="32"/>
        <v>369.13965909090911</v>
      </c>
      <c r="J220" s="163"/>
      <c r="K220" s="163"/>
      <c r="L220" s="163"/>
      <c r="M220" s="163"/>
    </row>
    <row r="221" spans="1:13">
      <c r="A221" s="14"/>
      <c r="B221" s="5" t="s">
        <v>67</v>
      </c>
      <c r="C221" s="5" t="s">
        <v>25</v>
      </c>
      <c r="D221" s="5">
        <v>1</v>
      </c>
      <c r="E221" s="166">
        <v>44</v>
      </c>
      <c r="F221" s="29">
        <f>D221/E223</f>
        <v>2.2727272727272728E-2</v>
      </c>
      <c r="G221" s="18">
        <v>1</v>
      </c>
      <c r="H221" s="6"/>
      <c r="I221" s="117">
        <f t="shared" ref="I221" si="33">F221*H221</f>
        <v>0</v>
      </c>
      <c r="J221" s="163"/>
      <c r="K221" s="163"/>
      <c r="L221" s="163"/>
      <c r="M221" s="163"/>
    </row>
    <row r="222" spans="1:13">
      <c r="A222" s="14"/>
      <c r="B222" s="5" t="s">
        <v>52</v>
      </c>
      <c r="C222" s="5" t="s">
        <v>25</v>
      </c>
      <c r="D222" s="5">
        <v>1</v>
      </c>
      <c r="E222" s="166">
        <v>44</v>
      </c>
      <c r="F222" s="29">
        <f>D222/E222</f>
        <v>2.2727272727272728E-2</v>
      </c>
      <c r="G222" s="18">
        <v>1</v>
      </c>
      <c r="H222" s="6">
        <v>2000</v>
      </c>
      <c r="I222" s="117">
        <f t="shared" si="32"/>
        <v>45.454545454545453</v>
      </c>
      <c r="J222" s="169"/>
      <c r="K222" s="169"/>
      <c r="L222" s="169"/>
      <c r="M222" s="163"/>
    </row>
    <row r="223" spans="1:13">
      <c r="A223" s="14"/>
      <c r="B223" s="5" t="s">
        <v>55</v>
      </c>
      <c r="C223" s="5" t="s">
        <v>25</v>
      </c>
      <c r="D223" s="5">
        <v>1</v>
      </c>
      <c r="E223" s="166">
        <v>44</v>
      </c>
      <c r="F223" s="29">
        <f>D223/E223</f>
        <v>2.2727272727272728E-2</v>
      </c>
      <c r="G223" s="18">
        <v>1</v>
      </c>
      <c r="H223" s="6">
        <v>500</v>
      </c>
      <c r="I223" s="117">
        <f t="shared" si="32"/>
        <v>11.363636363636363</v>
      </c>
      <c r="J223" s="169"/>
      <c r="K223" s="169"/>
      <c r="L223" s="169"/>
      <c r="M223" s="163"/>
    </row>
    <row r="224" spans="1:13" ht="15.75" thickBot="1">
      <c r="A224" s="15"/>
      <c r="B224" s="16"/>
      <c r="C224" s="16"/>
      <c r="D224" s="16"/>
      <c r="E224" s="138"/>
      <c r="F224" s="38"/>
      <c r="G224" s="39"/>
      <c r="H224" s="17"/>
      <c r="I224" s="118">
        <f>SUM(I216:I223)</f>
        <v>2322.7672727272729</v>
      </c>
      <c r="J224" s="169">
        <f>I224*E223</f>
        <v>102201.76000000001</v>
      </c>
      <c r="K224" s="169">
        <f>(1881100-368378-235200)*0.08</f>
        <v>102201.76000000001</v>
      </c>
      <c r="L224" s="169">
        <f>K224-J224</f>
        <v>0</v>
      </c>
      <c r="M224" s="163"/>
    </row>
    <row r="225" spans="1:13">
      <c r="A225" s="11"/>
      <c r="B225" s="12"/>
      <c r="C225" s="12"/>
      <c r="D225" s="12"/>
      <c r="E225" s="136"/>
      <c r="F225" s="28"/>
      <c r="G225" s="19" t="s">
        <v>31</v>
      </c>
      <c r="H225" s="13"/>
      <c r="I225" s="135">
        <f>I224-I226</f>
        <v>2322.7672727272729</v>
      </c>
      <c r="J225" s="169">
        <f>I225*46</f>
        <v>106847.29454545456</v>
      </c>
      <c r="K225" s="169"/>
      <c r="L225" s="169"/>
      <c r="M225" s="163"/>
    </row>
    <row r="226" spans="1:13" ht="15.75" thickBot="1">
      <c r="A226" s="15"/>
      <c r="B226" s="16"/>
      <c r="C226" s="16"/>
      <c r="D226" s="16"/>
      <c r="E226" s="138"/>
      <c r="F226" s="38"/>
      <c r="G226" s="39" t="s">
        <v>74</v>
      </c>
      <c r="H226" s="17"/>
      <c r="I226" s="118">
        <f>I221</f>
        <v>0</v>
      </c>
      <c r="J226" s="169">
        <f>I226*46</f>
        <v>0</v>
      </c>
      <c r="K226" s="169"/>
      <c r="L226" s="169"/>
      <c r="M226" s="163"/>
    </row>
    <row r="227" spans="1:13" ht="15.75" thickBot="1">
      <c r="I227" s="35"/>
    </row>
    <row r="228" spans="1:13" ht="45">
      <c r="A228" s="11" t="s">
        <v>58</v>
      </c>
      <c r="B228" s="58" t="s">
        <v>50</v>
      </c>
      <c r="C228" s="12" t="s">
        <v>25</v>
      </c>
      <c r="D228" s="12">
        <v>1</v>
      </c>
      <c r="E228" s="137">
        <v>116</v>
      </c>
      <c r="F228" s="28">
        <f>D228/E228</f>
        <v>8.6206896551724137E-3</v>
      </c>
      <c r="G228" s="19">
        <v>1</v>
      </c>
      <c r="H228" s="13">
        <v>12000</v>
      </c>
      <c r="I228" s="116">
        <f>F228*H228</f>
        <v>103.44827586206897</v>
      </c>
      <c r="J228" s="169"/>
      <c r="K228" s="169"/>
      <c r="L228" s="169"/>
      <c r="M228" s="163"/>
    </row>
    <row r="229" spans="1:13">
      <c r="A229" s="14"/>
      <c r="B229" s="5" t="s">
        <v>29</v>
      </c>
      <c r="C229" s="5" t="s">
        <v>25</v>
      </c>
      <c r="D229" s="5">
        <v>1</v>
      </c>
      <c r="E229" s="137">
        <v>116</v>
      </c>
      <c r="F229" s="29">
        <f>D229/E229</f>
        <v>8.6206896551724137E-3</v>
      </c>
      <c r="G229" s="18">
        <v>1</v>
      </c>
      <c r="H229" s="6">
        <v>5000</v>
      </c>
      <c r="I229" s="117">
        <f t="shared" ref="I229:I234" si="34">F229*H229</f>
        <v>43.103448275862071</v>
      </c>
      <c r="J229" s="169"/>
      <c r="K229" s="169"/>
      <c r="L229" s="169"/>
      <c r="M229" s="163"/>
    </row>
    <row r="230" spans="1:13">
      <c r="A230" s="14"/>
      <c r="B230" s="5" t="s">
        <v>20</v>
      </c>
      <c r="C230" s="5" t="s">
        <v>21</v>
      </c>
      <c r="D230" s="5">
        <v>50</v>
      </c>
      <c r="E230" s="137">
        <v>116</v>
      </c>
      <c r="F230" s="29">
        <f>D230/E230</f>
        <v>0.43103448275862066</v>
      </c>
      <c r="G230" s="18">
        <v>1</v>
      </c>
      <c r="H230" s="6">
        <v>250</v>
      </c>
      <c r="I230" s="117">
        <f t="shared" si="34"/>
        <v>107.75862068965516</v>
      </c>
      <c r="J230" s="169"/>
      <c r="K230" s="169"/>
      <c r="L230" s="169"/>
      <c r="M230" s="163"/>
    </row>
    <row r="231" spans="1:13">
      <c r="A231" s="14"/>
      <c r="B231" s="5" t="s">
        <v>65</v>
      </c>
      <c r="C231" s="5" t="s">
        <v>66</v>
      </c>
      <c r="D231" s="115">
        <v>527.904</v>
      </c>
      <c r="E231" s="137">
        <v>116</v>
      </c>
      <c r="F231" s="29">
        <f>D231/E234</f>
        <v>4.5508965517241382</v>
      </c>
      <c r="G231" s="18">
        <v>1</v>
      </c>
      <c r="H231" s="6">
        <v>350</v>
      </c>
      <c r="I231" s="117">
        <f t="shared" si="34"/>
        <v>1592.8137931034485</v>
      </c>
      <c r="J231" s="163">
        <f>I231*E231</f>
        <v>184766.40000000002</v>
      </c>
      <c r="K231" s="163">
        <f>1539720*0.12</f>
        <v>184766.4</v>
      </c>
      <c r="L231" s="163">
        <f>K231-J231</f>
        <v>0</v>
      </c>
      <c r="M231" s="163">
        <f>K231/H231</f>
        <v>527.904</v>
      </c>
    </row>
    <row r="232" spans="1:13">
      <c r="A232" s="14"/>
      <c r="B232" s="5" t="s">
        <v>67</v>
      </c>
      <c r="C232" s="5" t="s">
        <v>25</v>
      </c>
      <c r="D232" s="5">
        <v>1</v>
      </c>
      <c r="E232" s="137">
        <v>116</v>
      </c>
      <c r="F232" s="29">
        <f>D232/E234</f>
        <v>8.6206896551724137E-3</v>
      </c>
      <c r="G232" s="18">
        <v>1</v>
      </c>
      <c r="H232" s="6">
        <v>12507.48</v>
      </c>
      <c r="I232" s="117">
        <f t="shared" si="34"/>
        <v>107.82310344827586</v>
      </c>
      <c r="J232" s="163"/>
      <c r="K232" s="163"/>
      <c r="L232" s="163"/>
      <c r="M232" s="163"/>
    </row>
    <row r="233" spans="1:13">
      <c r="A233" s="14"/>
      <c r="B233" s="5" t="s">
        <v>52</v>
      </c>
      <c r="C233" s="5" t="s">
        <v>25</v>
      </c>
      <c r="D233" s="5">
        <v>1</v>
      </c>
      <c r="E233" s="137">
        <v>116</v>
      </c>
      <c r="F233" s="29">
        <f>D233/E233</f>
        <v>8.6206896551724137E-3</v>
      </c>
      <c r="G233" s="18">
        <v>1</v>
      </c>
      <c r="H233" s="6">
        <v>5000</v>
      </c>
      <c r="I233" s="117">
        <f t="shared" si="34"/>
        <v>43.103448275862071</v>
      </c>
      <c r="J233" s="169"/>
      <c r="K233" s="169"/>
      <c r="L233" s="169"/>
      <c r="M233" s="163"/>
    </row>
    <row r="234" spans="1:13">
      <c r="A234" s="14"/>
      <c r="B234" s="5" t="s">
        <v>55</v>
      </c>
      <c r="C234" s="5" t="s">
        <v>25</v>
      </c>
      <c r="D234" s="5">
        <v>1</v>
      </c>
      <c r="E234" s="137">
        <v>116</v>
      </c>
      <c r="F234" s="29">
        <f>D234/E234</f>
        <v>8.6206896551724137E-3</v>
      </c>
      <c r="G234" s="18">
        <v>1</v>
      </c>
      <c r="H234" s="6">
        <v>15000</v>
      </c>
      <c r="I234" s="117">
        <f t="shared" si="34"/>
        <v>129.31034482758619</v>
      </c>
      <c r="J234" s="169"/>
      <c r="K234" s="169"/>
      <c r="L234" s="169"/>
      <c r="M234" s="163"/>
    </row>
    <row r="235" spans="1:13" ht="15.75" thickBot="1">
      <c r="A235" s="15"/>
      <c r="B235" s="16"/>
      <c r="C235" s="16"/>
      <c r="D235" s="16"/>
      <c r="E235" s="138"/>
      <c r="F235" s="38"/>
      <c r="G235" s="39"/>
      <c r="H235" s="17"/>
      <c r="I235" s="118">
        <f>SUM(I228:I234)</f>
        <v>2127.3610344827589</v>
      </c>
      <c r="J235" s="169">
        <f>I235*E234</f>
        <v>246773.88000000003</v>
      </c>
      <c r="K235" s="169">
        <f>(3091800-917351-118000)*0.12</f>
        <v>246773.88</v>
      </c>
      <c r="L235" s="169">
        <f>K235-J235</f>
        <v>0</v>
      </c>
      <c r="M235" s="163"/>
    </row>
    <row r="236" spans="1:13" ht="15.75" thickBot="1">
      <c r="I236" s="35"/>
      <c r="J236" s="59"/>
      <c r="K236" s="59"/>
      <c r="L236" s="59"/>
    </row>
    <row r="237" spans="1:13" ht="45">
      <c r="A237" s="11" t="s">
        <v>38</v>
      </c>
      <c r="B237" s="58" t="s">
        <v>50</v>
      </c>
      <c r="C237" s="12" t="s">
        <v>25</v>
      </c>
      <c r="D237" s="12">
        <v>1</v>
      </c>
      <c r="E237" s="137">
        <v>34</v>
      </c>
      <c r="F237" s="28">
        <f>D237/E237</f>
        <v>2.9411764705882353E-2</v>
      </c>
      <c r="G237" s="19">
        <v>1</v>
      </c>
      <c r="H237" s="13">
        <v>23966.935000000001</v>
      </c>
      <c r="I237" s="116">
        <f>F237*H237</f>
        <v>704.9098529411765</v>
      </c>
      <c r="J237" s="169"/>
      <c r="K237" s="169"/>
      <c r="L237" s="169"/>
      <c r="M237" s="163"/>
    </row>
    <row r="238" spans="1:13">
      <c r="A238" s="14"/>
      <c r="B238" s="5" t="s">
        <v>29</v>
      </c>
      <c r="C238" s="5" t="s">
        <v>25</v>
      </c>
      <c r="D238" s="5">
        <v>1</v>
      </c>
      <c r="E238" s="137">
        <v>34</v>
      </c>
      <c r="F238" s="29">
        <f>D238/E238</f>
        <v>2.9411764705882353E-2</v>
      </c>
      <c r="G238" s="18">
        <v>1</v>
      </c>
      <c r="H238" s="6">
        <v>1000</v>
      </c>
      <c r="I238" s="117">
        <f t="shared" ref="I238:I242" si="35">F238*H238</f>
        <v>29.411764705882351</v>
      </c>
      <c r="J238" s="169"/>
      <c r="K238" s="169"/>
      <c r="L238" s="169"/>
      <c r="M238" s="163"/>
    </row>
    <row r="239" spans="1:13">
      <c r="A239" s="14"/>
      <c r="B239" s="5" t="s">
        <v>20</v>
      </c>
      <c r="C239" s="5" t="s">
        <v>21</v>
      </c>
      <c r="D239" s="5">
        <v>100</v>
      </c>
      <c r="E239" s="137">
        <v>34</v>
      </c>
      <c r="F239" s="29">
        <f>D239/E239</f>
        <v>2.9411764705882355</v>
      </c>
      <c r="G239" s="18">
        <v>1</v>
      </c>
      <c r="H239" s="6">
        <v>250</v>
      </c>
      <c r="I239" s="117">
        <f t="shared" si="35"/>
        <v>735.2941176470589</v>
      </c>
      <c r="J239" s="169"/>
      <c r="K239" s="163"/>
      <c r="L239" s="169"/>
      <c r="M239" s="163"/>
    </row>
    <row r="240" spans="1:13">
      <c r="A240" s="14"/>
      <c r="B240" s="5" t="s">
        <v>65</v>
      </c>
      <c r="C240" s="5" t="s">
        <v>66</v>
      </c>
      <c r="D240" s="115">
        <v>147.59309999999999</v>
      </c>
      <c r="E240" s="137">
        <v>34</v>
      </c>
      <c r="F240" s="29">
        <f>D240/E242</f>
        <v>4.3409735294117642</v>
      </c>
      <c r="G240" s="18">
        <v>1</v>
      </c>
      <c r="H240" s="6">
        <v>350</v>
      </c>
      <c r="I240" s="117">
        <f t="shared" si="35"/>
        <v>1519.3407352941174</v>
      </c>
      <c r="J240" s="163">
        <f>I240*E240</f>
        <v>51657.584999999992</v>
      </c>
      <c r="K240" s="163">
        <f>430480*0.12</f>
        <v>51657.599999999999</v>
      </c>
      <c r="L240" s="163">
        <f>K240-J240</f>
        <v>1.5000000006693881E-2</v>
      </c>
      <c r="M240" s="163">
        <f>K240/H240</f>
        <v>147.59314285714285</v>
      </c>
    </row>
    <row r="241" spans="1:14">
      <c r="A241" s="14"/>
      <c r="B241" s="5" t="s">
        <v>52</v>
      </c>
      <c r="C241" s="5" t="s">
        <v>25</v>
      </c>
      <c r="D241" s="5">
        <v>1</v>
      </c>
      <c r="E241" s="137">
        <v>34</v>
      </c>
      <c r="F241" s="29">
        <f>D241/E241</f>
        <v>2.9411764705882353E-2</v>
      </c>
      <c r="G241" s="18">
        <v>1</v>
      </c>
      <c r="H241" s="6">
        <v>3000</v>
      </c>
      <c r="I241" s="117">
        <f t="shared" si="35"/>
        <v>88.235294117647058</v>
      </c>
      <c r="J241" s="169"/>
      <c r="K241" s="169"/>
      <c r="L241" s="169"/>
      <c r="M241" s="163"/>
    </row>
    <row r="242" spans="1:14">
      <c r="A242" s="14"/>
      <c r="B242" s="5" t="s">
        <v>55</v>
      </c>
      <c r="C242" s="5" t="s">
        <v>25</v>
      </c>
      <c r="D242" s="5">
        <v>1</v>
      </c>
      <c r="E242" s="137">
        <v>34</v>
      </c>
      <c r="F242" s="29">
        <f>D242/E242</f>
        <v>2.9411764705882353E-2</v>
      </c>
      <c r="G242" s="18">
        <v>1</v>
      </c>
      <c r="H242" s="6">
        <v>3000</v>
      </c>
      <c r="I242" s="117">
        <f t="shared" si="35"/>
        <v>88.235294117647058</v>
      </c>
      <c r="J242" s="169"/>
      <c r="K242" s="169"/>
      <c r="L242" s="169"/>
      <c r="M242" s="163"/>
    </row>
    <row r="243" spans="1:14" ht="15.75" thickBot="1">
      <c r="A243" s="15"/>
      <c r="B243" s="16"/>
      <c r="C243" s="16"/>
      <c r="D243" s="16"/>
      <c r="E243" s="138"/>
      <c r="F243" s="38"/>
      <c r="G243" s="39"/>
      <c r="H243" s="17"/>
      <c r="I243" s="118">
        <f>SUM(I237:I242)</f>
        <v>3165.4270588235286</v>
      </c>
      <c r="J243" s="169">
        <f>I243*E242</f>
        <v>107624.51999999997</v>
      </c>
      <c r="K243" s="169">
        <f>(1042000-126749-18380)*0.12</f>
        <v>107624.51999999999</v>
      </c>
      <c r="L243" s="169">
        <f>K243-J243</f>
        <v>0</v>
      </c>
      <c r="M243" s="163"/>
    </row>
    <row r="244" spans="1:14" ht="45">
      <c r="A244" s="11" t="s">
        <v>42</v>
      </c>
      <c r="B244" s="58" t="s">
        <v>50</v>
      </c>
      <c r="C244" s="12" t="s">
        <v>25</v>
      </c>
      <c r="D244" s="12">
        <v>1</v>
      </c>
      <c r="E244" s="136"/>
      <c r="F244" s="28" t="e">
        <f>D244/E244</f>
        <v>#DIV/0!</v>
      </c>
      <c r="G244" s="19">
        <v>1</v>
      </c>
      <c r="H244" s="13"/>
      <c r="I244" s="116" t="e">
        <f>F244*H244</f>
        <v>#DIV/0!</v>
      </c>
      <c r="J244" s="59"/>
      <c r="K244" s="59"/>
      <c r="L244" s="59"/>
    </row>
    <row r="245" spans="1:14">
      <c r="A245" s="14"/>
      <c r="B245" s="5" t="s">
        <v>29</v>
      </c>
      <c r="C245" s="5" t="s">
        <v>25</v>
      </c>
      <c r="D245" s="5">
        <v>1</v>
      </c>
      <c r="E245" s="137"/>
      <c r="F245" s="29" t="e">
        <f>D245/E245</f>
        <v>#DIV/0!</v>
      </c>
      <c r="G245" s="18">
        <v>1</v>
      </c>
      <c r="H245" s="6"/>
      <c r="I245" s="117" t="e">
        <f t="shared" ref="I245:I248" si="36">F245*H245</f>
        <v>#DIV/0!</v>
      </c>
      <c r="J245" s="59"/>
      <c r="K245" s="59"/>
      <c r="L245" s="59"/>
    </row>
    <row r="246" spans="1:14">
      <c r="A246" s="14"/>
      <c r="B246" s="5" t="s">
        <v>20</v>
      </c>
      <c r="C246" s="5" t="s">
        <v>21</v>
      </c>
      <c r="D246" s="5">
        <v>20</v>
      </c>
      <c r="E246" s="137"/>
      <c r="F246" s="29" t="e">
        <f>D246/E246</f>
        <v>#DIV/0!</v>
      </c>
      <c r="G246" s="18">
        <v>1</v>
      </c>
      <c r="H246" s="6"/>
      <c r="I246" s="117" t="e">
        <f t="shared" si="36"/>
        <v>#DIV/0!</v>
      </c>
      <c r="J246" s="59"/>
      <c r="K246" s="59"/>
      <c r="L246" s="59"/>
    </row>
    <row r="247" spans="1:14">
      <c r="A247" s="14"/>
      <c r="B247" s="5" t="s">
        <v>52</v>
      </c>
      <c r="C247" s="5" t="s">
        <v>25</v>
      </c>
      <c r="D247" s="5">
        <v>1</v>
      </c>
      <c r="E247" s="137"/>
      <c r="F247" s="29" t="e">
        <f>D247/E247</f>
        <v>#DIV/0!</v>
      </c>
      <c r="G247" s="18">
        <v>1</v>
      </c>
      <c r="H247" s="6"/>
      <c r="I247" s="117" t="e">
        <f t="shared" si="36"/>
        <v>#DIV/0!</v>
      </c>
      <c r="J247" s="59"/>
      <c r="K247" s="59"/>
      <c r="L247" s="59"/>
    </row>
    <row r="248" spans="1:14">
      <c r="A248" s="14"/>
      <c r="B248" s="5" t="s">
        <v>51</v>
      </c>
      <c r="C248" s="5" t="s">
        <v>25</v>
      </c>
      <c r="D248" s="5">
        <v>1</v>
      </c>
      <c r="E248" s="137"/>
      <c r="F248" s="29" t="e">
        <f>D248/E248</f>
        <v>#DIV/0!</v>
      </c>
      <c r="G248" s="18">
        <v>1</v>
      </c>
      <c r="H248" s="6"/>
      <c r="I248" s="117" t="e">
        <f t="shared" si="36"/>
        <v>#DIV/0!</v>
      </c>
      <c r="J248" s="59"/>
      <c r="K248" s="59"/>
      <c r="L248" s="59"/>
    </row>
    <row r="249" spans="1:14" ht="15.75" thickBot="1">
      <c r="A249" s="15"/>
      <c r="B249" s="16"/>
      <c r="C249" s="16"/>
      <c r="D249" s="16"/>
      <c r="E249" s="138"/>
      <c r="F249" s="38"/>
      <c r="G249" s="39"/>
      <c r="H249" s="17"/>
      <c r="I249" s="120" t="e">
        <f>SUM(I244:I248)</f>
        <v>#DIV/0!</v>
      </c>
      <c r="J249" s="59">
        <v>0</v>
      </c>
      <c r="K249" s="59">
        <v>0</v>
      </c>
      <c r="L249" s="59">
        <f>K249-J249</f>
        <v>0</v>
      </c>
    </row>
    <row r="251" spans="1:14">
      <c r="J251" s="1" t="s">
        <v>64</v>
      </c>
      <c r="K251" s="1" t="s">
        <v>63</v>
      </c>
      <c r="M251" s="1" t="s">
        <v>60</v>
      </c>
    </row>
    <row r="252" spans="1:14">
      <c r="I252" s="1">
        <v>1</v>
      </c>
      <c r="J252" s="140">
        <f>J13+J97+J182</f>
        <v>1152138</v>
      </c>
      <c r="K252" s="140">
        <f>K13+K97+K182</f>
        <v>1152138</v>
      </c>
      <c r="L252" s="169">
        <f>K252-J252</f>
        <v>0</v>
      </c>
      <c r="M252" s="163">
        <f>1484300-285367-46795</f>
        <v>1152138</v>
      </c>
      <c r="N252" s="140">
        <f>M252-K252</f>
        <v>0</v>
      </c>
    </row>
    <row r="253" spans="1:14">
      <c r="I253" s="1">
        <v>2</v>
      </c>
      <c r="J253" s="140">
        <f>J21+J105+J189</f>
        <v>1798565</v>
      </c>
      <c r="K253" s="140">
        <f>K21+K105+K189</f>
        <v>1798565</v>
      </c>
      <c r="L253" s="169">
        <f t="shared" ref="L253:L260" si="37">K253-J253</f>
        <v>0</v>
      </c>
      <c r="M253" s="163">
        <f>2119900-273335-48000</f>
        <v>1798565</v>
      </c>
      <c r="N253" s="140">
        <f t="shared" ref="N253:N260" si="38">M253-K253</f>
        <v>0</v>
      </c>
    </row>
    <row r="254" spans="1:14">
      <c r="I254" s="1">
        <v>3</v>
      </c>
      <c r="J254" s="140">
        <f>J29+J113+J196</f>
        <v>1657831</v>
      </c>
      <c r="K254" s="140">
        <f>K29+K113+K196</f>
        <v>1657831</v>
      </c>
      <c r="L254" s="169">
        <f t="shared" si="37"/>
        <v>0</v>
      </c>
      <c r="M254" s="163">
        <f>1955200-228369-69000</f>
        <v>1657831</v>
      </c>
      <c r="N254" s="140">
        <f t="shared" si="38"/>
        <v>0</v>
      </c>
    </row>
    <row r="255" spans="1:14">
      <c r="I255" s="1">
        <v>7</v>
      </c>
      <c r="J255" s="140">
        <f>J37+J121+J204</f>
        <v>2207281.0000000005</v>
      </c>
      <c r="K255" s="140">
        <f>K37+K121+K204</f>
        <v>2207281</v>
      </c>
      <c r="L255" s="169">
        <f t="shared" si="37"/>
        <v>0</v>
      </c>
      <c r="M255" s="163">
        <f>2923400-646119-70000</f>
        <v>2207281</v>
      </c>
      <c r="N255" s="140">
        <f t="shared" si="38"/>
        <v>0</v>
      </c>
    </row>
    <row r="256" spans="1:14">
      <c r="I256" s="1">
        <v>9</v>
      </c>
      <c r="J256" s="140">
        <f>J46+J130+J213</f>
        <v>2310193</v>
      </c>
      <c r="K256" s="140">
        <f>K46+K130+K213</f>
        <v>2310193</v>
      </c>
      <c r="L256" s="169">
        <f>K256-J256</f>
        <v>0</v>
      </c>
      <c r="M256" s="163">
        <f>2949400-544882-94325</f>
        <v>2310193</v>
      </c>
      <c r="N256" s="140">
        <f t="shared" si="38"/>
        <v>0</v>
      </c>
    </row>
    <row r="257" spans="9:14">
      <c r="I257" s="1">
        <v>14</v>
      </c>
      <c r="J257" s="140">
        <f>J224+J141+J57</f>
        <v>1277522</v>
      </c>
      <c r="K257" s="140">
        <f>K224+K141+K57</f>
        <v>1277522</v>
      </c>
      <c r="L257" s="169">
        <f t="shared" si="37"/>
        <v>0</v>
      </c>
      <c r="M257" s="163">
        <f>1881100-368378-235200</f>
        <v>1277522</v>
      </c>
      <c r="N257" s="140">
        <f t="shared" si="38"/>
        <v>0</v>
      </c>
    </row>
    <row r="258" spans="9:14">
      <c r="I258" s="1">
        <v>8</v>
      </c>
      <c r="J258" s="140">
        <f>J235+J152+J68</f>
        <v>2056449</v>
      </c>
      <c r="K258" s="140">
        <f>K235+K152+K68</f>
        <v>2056449</v>
      </c>
      <c r="L258" s="169">
        <f t="shared" si="37"/>
        <v>0</v>
      </c>
      <c r="M258" s="163">
        <f>3091800-917351-118000</f>
        <v>2056449</v>
      </c>
      <c r="N258" s="140">
        <f t="shared" si="38"/>
        <v>0</v>
      </c>
    </row>
    <row r="259" spans="9:14">
      <c r="I259" s="1">
        <v>4</v>
      </c>
      <c r="J259" s="140">
        <f>J243+J161+J77</f>
        <v>896870.99999999988</v>
      </c>
      <c r="K259" s="140">
        <f>K243+K161+K77</f>
        <v>896871</v>
      </c>
      <c r="L259" s="169">
        <f t="shared" si="37"/>
        <v>0</v>
      </c>
      <c r="M259" s="163">
        <f>1042000-126749-18380</f>
        <v>896871</v>
      </c>
      <c r="N259" s="140">
        <f t="shared" si="38"/>
        <v>0</v>
      </c>
    </row>
    <row r="260" spans="9:14">
      <c r="I260" s="1">
        <v>11</v>
      </c>
      <c r="J260" s="140">
        <f>J249+J169+J85</f>
        <v>624849.99999999988</v>
      </c>
      <c r="K260" s="140">
        <f>K249+K169+K85</f>
        <v>624850</v>
      </c>
      <c r="L260" s="169">
        <f t="shared" si="37"/>
        <v>0</v>
      </c>
      <c r="M260" s="163">
        <f>826000-166150-35000</f>
        <v>624850</v>
      </c>
      <c r="N260" s="140">
        <f t="shared" si="38"/>
        <v>0</v>
      </c>
    </row>
    <row r="261" spans="9:14">
      <c r="J261" s="114"/>
      <c r="K261" s="114"/>
    </row>
  </sheetData>
  <autoFilter ref="A1:A260"/>
  <mergeCells count="1">
    <mergeCell ref="A1:I1"/>
  </mergeCells>
  <pageMargins left="0.31496062992125984" right="0" top="0.35433070866141736" bottom="0" header="0.31496062992125984" footer="0.31496062992125984"/>
  <pageSetup paperSize="9" scale="8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79998168889431442"/>
  </sheetPr>
  <dimension ref="A1:T238"/>
  <sheetViews>
    <sheetView tabSelected="1" workbookViewId="0">
      <pane xSplit="1" ySplit="6" topLeftCell="B193" activePane="bottomRight" state="frozen"/>
      <selection pane="topRight" activeCell="B1" sqref="B1"/>
      <selection pane="bottomLeft" activeCell="A7" sqref="A7"/>
      <selection pane="bottomRight" activeCell="A212" sqref="A212:XFD212"/>
    </sheetView>
  </sheetViews>
  <sheetFormatPr defaultRowHeight="15" outlineLevelRow="1"/>
  <cols>
    <col min="1" max="1" width="16.7109375" customWidth="1"/>
    <col min="2" max="2" width="20.140625" style="1" customWidth="1"/>
    <col min="3" max="3" width="13.42578125" style="1" customWidth="1"/>
    <col min="4" max="4" width="15" style="1" customWidth="1"/>
    <col min="5" max="5" width="11.42578125" style="1" customWidth="1"/>
    <col min="6" max="6" width="18.28515625" style="1" customWidth="1"/>
    <col min="7" max="7" width="14.5703125" customWidth="1"/>
    <col min="8" max="8" width="13.85546875" style="1" customWidth="1"/>
    <col min="9" max="10" width="11.85546875" style="163" customWidth="1"/>
    <col min="11" max="11" width="8" style="1" customWidth="1"/>
    <col min="12" max="12" width="7" style="1" customWidth="1"/>
    <col min="13" max="18" width="9.140625" style="1"/>
  </cols>
  <sheetData>
    <row r="1" spans="1:20" ht="18.75">
      <c r="A1" s="179" t="s">
        <v>32</v>
      </c>
      <c r="B1" s="179"/>
      <c r="C1" s="179"/>
      <c r="D1" s="179"/>
      <c r="E1" s="179"/>
      <c r="F1" s="179"/>
      <c r="G1" s="179"/>
      <c r="H1" s="179"/>
    </row>
    <row r="2" spans="1:20" ht="18.75">
      <c r="A2" s="52"/>
      <c r="B2" s="52"/>
      <c r="C2" s="52"/>
      <c r="D2" s="52"/>
      <c r="E2" s="52"/>
      <c r="F2" s="52"/>
      <c r="G2" s="52"/>
      <c r="H2" s="52"/>
    </row>
    <row r="3" spans="1:20" ht="18.75">
      <c r="A3" s="31" t="s">
        <v>34</v>
      </c>
      <c r="H3"/>
      <c r="S3" s="1"/>
      <c r="T3" s="1"/>
    </row>
    <row r="4" spans="1:20" ht="15.75" thickBot="1">
      <c r="G4" s="50" t="s">
        <v>31</v>
      </c>
    </row>
    <row r="5" spans="1:20" ht="45">
      <c r="A5" s="21" t="s">
        <v>3</v>
      </c>
      <c r="B5" s="22" t="s">
        <v>22</v>
      </c>
      <c r="C5" s="22" t="s">
        <v>18</v>
      </c>
      <c r="D5" s="22" t="s">
        <v>23</v>
      </c>
      <c r="E5" s="22" t="s">
        <v>53</v>
      </c>
      <c r="F5" s="22" t="s">
        <v>54</v>
      </c>
      <c r="G5" s="22" t="s">
        <v>26</v>
      </c>
      <c r="H5" s="23" t="s">
        <v>10</v>
      </c>
      <c r="I5" s="168" t="s">
        <v>45</v>
      </c>
      <c r="J5" s="168" t="s">
        <v>56</v>
      </c>
      <c r="K5" s="2"/>
    </row>
    <row r="6" spans="1:20" ht="15.75" thickBot="1">
      <c r="A6" s="24">
        <v>1</v>
      </c>
      <c r="B6" s="25">
        <v>2</v>
      </c>
      <c r="C6" s="25">
        <v>3</v>
      </c>
      <c r="D6" s="25">
        <v>4</v>
      </c>
      <c r="E6" s="25">
        <v>5</v>
      </c>
      <c r="F6" s="25" t="s">
        <v>17</v>
      </c>
      <c r="G6" s="26">
        <v>7</v>
      </c>
      <c r="H6" s="27" t="s">
        <v>72</v>
      </c>
    </row>
    <row r="7" spans="1:20">
      <c r="A7" s="11" t="s">
        <v>35</v>
      </c>
      <c r="B7" s="12" t="s">
        <v>24</v>
      </c>
      <c r="C7" s="12" t="s">
        <v>25</v>
      </c>
      <c r="D7" s="12">
        <v>1</v>
      </c>
      <c r="E7" s="136">
        <f>материалы!E6</f>
        <v>182</v>
      </c>
      <c r="F7" s="30">
        <f>D7/E7</f>
        <v>5.4945054945054949E-3</v>
      </c>
      <c r="G7" s="13">
        <f>(32406+117841)*0.42</f>
        <v>63103.74</v>
      </c>
      <c r="H7" s="116">
        <f>F7*G7</f>
        <v>346.72384615384618</v>
      </c>
      <c r="I7" s="169">
        <f>H7*E7</f>
        <v>63103.740000000005</v>
      </c>
      <c r="J7" s="169"/>
    </row>
    <row r="8" spans="1:20" s="1" customFormat="1">
      <c r="A8" s="14"/>
      <c r="B8" s="5" t="s">
        <v>27</v>
      </c>
      <c r="C8" s="5"/>
      <c r="D8" s="5">
        <v>14</v>
      </c>
      <c r="E8" s="166">
        <f>E7</f>
        <v>182</v>
      </c>
      <c r="F8" s="29">
        <f>D8/E8</f>
        <v>7.6923076923076927E-2</v>
      </c>
      <c r="G8" s="6">
        <f>(100320)*0.42/14</f>
        <v>3009.6</v>
      </c>
      <c r="H8" s="117">
        <f>F8*G8</f>
        <v>231.50769230769231</v>
      </c>
      <c r="I8" s="169">
        <f>H8*E8</f>
        <v>42134.400000000001</v>
      </c>
      <c r="J8" s="169">
        <f>285367*0.42</f>
        <v>119854.14</v>
      </c>
      <c r="K8" s="59"/>
    </row>
    <row r="9" spans="1:20" s="1" customFormat="1">
      <c r="A9" s="14"/>
      <c r="B9" s="5" t="s">
        <v>59</v>
      </c>
      <c r="C9" s="10" t="s">
        <v>25</v>
      </c>
      <c r="D9" s="5">
        <v>1</v>
      </c>
      <c r="E9" s="166">
        <f>E7</f>
        <v>182</v>
      </c>
      <c r="F9" s="29">
        <f t="shared" ref="F9" si="0">D9/E9</f>
        <v>5.4945054945054949E-3</v>
      </c>
      <c r="G9" s="6">
        <f>34800*0.42</f>
        <v>14616</v>
      </c>
      <c r="H9" s="117">
        <f>F9*G9</f>
        <v>80.307692307692321</v>
      </c>
      <c r="I9" s="169">
        <f t="shared" ref="I9" si="1">H9*E9</f>
        <v>14616.000000000002</v>
      </c>
      <c r="J9" s="169"/>
    </row>
    <row r="10" spans="1:20" s="1" customFormat="1" ht="15.75" thickBot="1">
      <c r="A10" s="15"/>
      <c r="B10" s="16"/>
      <c r="C10" s="16"/>
      <c r="D10" s="16"/>
      <c r="E10" s="138"/>
      <c r="F10" s="16"/>
      <c r="G10" s="20"/>
      <c r="H10" s="118">
        <f>SUM(H7:H9)</f>
        <v>658.53923076923093</v>
      </c>
      <c r="I10" s="169">
        <f>H10*E9</f>
        <v>119854.14000000003</v>
      </c>
      <c r="J10" s="169"/>
    </row>
    <row r="11" spans="1:20">
      <c r="A11" s="11" t="s">
        <v>36</v>
      </c>
      <c r="B11" s="12" t="s">
        <v>24</v>
      </c>
      <c r="C11" s="12" t="s">
        <v>25</v>
      </c>
      <c r="D11" s="12">
        <v>1</v>
      </c>
      <c r="E11" s="136">
        <f>материалы!E14</f>
        <v>306</v>
      </c>
      <c r="F11" s="30">
        <f>D11/E11</f>
        <v>3.2679738562091504E-3</v>
      </c>
      <c r="G11" s="13">
        <f>(136699+37036)*0.44</f>
        <v>76443.399999999994</v>
      </c>
      <c r="H11" s="116">
        <f>F11*G11</f>
        <v>249.81503267973855</v>
      </c>
      <c r="I11" s="169">
        <f>H11*E11</f>
        <v>76443.399999999994</v>
      </c>
      <c r="J11" s="169"/>
    </row>
    <row r="12" spans="1:20" s="1" customFormat="1">
      <c r="A12" s="14"/>
      <c r="B12" s="5" t="s">
        <v>27</v>
      </c>
      <c r="C12" s="5"/>
      <c r="D12" s="5">
        <v>27</v>
      </c>
      <c r="E12" s="166">
        <f>E11</f>
        <v>306</v>
      </c>
      <c r="F12" s="29">
        <f t="shared" ref="F12:F13" si="2">D12/E12</f>
        <v>8.8235294117647065E-2</v>
      </c>
      <c r="G12" s="6">
        <f>55200*0.44/27</f>
        <v>899.55555555555554</v>
      </c>
      <c r="H12" s="117">
        <f>F12*G12</f>
        <v>79.372549019607845</v>
      </c>
      <c r="I12" s="169">
        <f t="shared" ref="I12:I13" si="3">H12*E12</f>
        <v>24288</v>
      </c>
      <c r="J12" s="169">
        <f>273335*0.44</f>
        <v>120267.4</v>
      </c>
    </row>
    <row r="13" spans="1:20" s="1" customFormat="1">
      <c r="A13" s="14"/>
      <c r="B13" s="5" t="s">
        <v>59</v>
      </c>
      <c r="C13" s="10" t="s">
        <v>25</v>
      </c>
      <c r="D13" s="5">
        <v>1</v>
      </c>
      <c r="E13" s="166">
        <f>E11</f>
        <v>306</v>
      </c>
      <c r="F13" s="29">
        <f t="shared" si="2"/>
        <v>3.2679738562091504E-3</v>
      </c>
      <c r="G13" s="6">
        <f>44400*0.44</f>
        <v>19536</v>
      </c>
      <c r="H13" s="117">
        <f>F13*G13</f>
        <v>63.843137254901961</v>
      </c>
      <c r="I13" s="169">
        <f t="shared" si="3"/>
        <v>19536</v>
      </c>
      <c r="J13" s="169"/>
    </row>
    <row r="14" spans="1:20" s="1" customFormat="1" ht="15.75" thickBot="1">
      <c r="A14" s="15"/>
      <c r="B14" s="16"/>
      <c r="C14" s="16"/>
      <c r="D14" s="16"/>
      <c r="E14" s="138"/>
      <c r="F14" s="16"/>
      <c r="G14" s="20"/>
      <c r="H14" s="118">
        <f>SUM(H11:H13)</f>
        <v>393.03071895424841</v>
      </c>
      <c r="I14" s="169">
        <f>H14*E13</f>
        <v>120267.40000000001</v>
      </c>
      <c r="J14" s="169"/>
    </row>
    <row r="15" spans="1:20">
      <c r="A15" s="11" t="s">
        <v>37</v>
      </c>
      <c r="B15" s="12" t="s">
        <v>24</v>
      </c>
      <c r="C15" s="12" t="s">
        <v>25</v>
      </c>
      <c r="D15" s="12">
        <v>1</v>
      </c>
      <c r="E15" s="136">
        <f>материалы!E22</f>
        <v>252</v>
      </c>
      <c r="F15" s="30">
        <f>D15/E15</f>
        <v>3.968253968253968E-3</v>
      </c>
      <c r="G15" s="13">
        <f>(117500+31249)*0.44</f>
        <v>65449.56</v>
      </c>
      <c r="H15" s="116">
        <f>F15*G15</f>
        <v>259.72047619047618</v>
      </c>
      <c r="I15" s="169">
        <f>H15*E15</f>
        <v>65449.56</v>
      </c>
      <c r="J15" s="169"/>
    </row>
    <row r="16" spans="1:20" s="1" customFormat="1">
      <c r="A16" s="14"/>
      <c r="B16" s="5" t="s">
        <v>27</v>
      </c>
      <c r="C16" s="5"/>
      <c r="D16" s="5">
        <v>14</v>
      </c>
      <c r="E16" s="166">
        <f>E15</f>
        <v>252</v>
      </c>
      <c r="F16" s="29">
        <f t="shared" ref="F16:F17" si="4">D16/E16</f>
        <v>5.5555555555555552E-2</v>
      </c>
      <c r="G16" s="6">
        <f>25580*0.44/14</f>
        <v>803.94285714285718</v>
      </c>
      <c r="H16" s="117">
        <f>F16*G16</f>
        <v>44.663492063492065</v>
      </c>
      <c r="I16" s="169">
        <f t="shared" ref="I16:I17" si="5">H16*E16</f>
        <v>11255.2</v>
      </c>
      <c r="J16" s="169">
        <f>228369*0.44</f>
        <v>100482.36</v>
      </c>
    </row>
    <row r="17" spans="1:10" s="1" customFormat="1">
      <c r="A17" s="14"/>
      <c r="B17" s="5" t="s">
        <v>59</v>
      </c>
      <c r="C17" s="10" t="s">
        <v>25</v>
      </c>
      <c r="D17" s="5">
        <v>1</v>
      </c>
      <c r="E17" s="166">
        <f>E15</f>
        <v>252</v>
      </c>
      <c r="F17" s="29">
        <f t="shared" si="4"/>
        <v>3.968253968253968E-3</v>
      </c>
      <c r="G17" s="6">
        <f>54040*0.44</f>
        <v>23777.599999999999</v>
      </c>
      <c r="H17" s="117">
        <f>F17*G17</f>
        <v>94.35555555555554</v>
      </c>
      <c r="I17" s="169">
        <f t="shared" si="5"/>
        <v>23777.599999999995</v>
      </c>
      <c r="J17" s="169"/>
    </row>
    <row r="18" spans="1:10" s="1" customFormat="1" ht="15.75" thickBot="1">
      <c r="A18" s="15"/>
      <c r="B18" s="16"/>
      <c r="C18" s="16"/>
      <c r="D18" s="16"/>
      <c r="E18" s="138"/>
      <c r="F18" s="16"/>
      <c r="G18" s="20"/>
      <c r="H18" s="118">
        <f>SUM(H15:H17)</f>
        <v>398.7395238095238</v>
      </c>
      <c r="I18" s="169">
        <f>H18*E17</f>
        <v>100482.36</v>
      </c>
      <c r="J18" s="169"/>
    </row>
    <row r="19" spans="1:10">
      <c r="A19" s="11" t="s">
        <v>39</v>
      </c>
      <c r="B19" s="12" t="s">
        <v>24</v>
      </c>
      <c r="C19" s="12" t="s">
        <v>25</v>
      </c>
      <c r="D19" s="12">
        <v>1</v>
      </c>
      <c r="E19" s="136">
        <f>материалы!E30</f>
        <v>407</v>
      </c>
      <c r="F19" s="30">
        <f>D19/E19</f>
        <v>2.4570024570024569E-3</v>
      </c>
      <c r="G19" s="13">
        <f>497869*0.45</f>
        <v>224041.05000000002</v>
      </c>
      <c r="H19" s="116">
        <f>F19*G19</f>
        <v>550.46941031941037</v>
      </c>
      <c r="I19" s="169">
        <f>H19*E19</f>
        <v>224041.05000000002</v>
      </c>
      <c r="J19" s="169"/>
    </row>
    <row r="20" spans="1:10" s="1" customFormat="1">
      <c r="A20" s="14"/>
      <c r="B20" s="5" t="s">
        <v>27</v>
      </c>
      <c r="C20" s="5"/>
      <c r="D20" s="5">
        <v>35</v>
      </c>
      <c r="E20" s="166">
        <f>E19</f>
        <v>407</v>
      </c>
      <c r="F20" s="29">
        <f t="shared" ref="F20:F21" si="6">D20/E20</f>
        <v>8.5995085995085999E-2</v>
      </c>
      <c r="G20" s="6">
        <f>63250*0.45/35</f>
        <v>813.21428571428567</v>
      </c>
      <c r="H20" s="117">
        <f>F20*G20</f>
        <v>69.932432432432435</v>
      </c>
      <c r="I20" s="169">
        <f t="shared" ref="I20:I21" si="7">H20*E20</f>
        <v>28462.5</v>
      </c>
      <c r="J20" s="169">
        <f>646119*0.45</f>
        <v>290753.55</v>
      </c>
    </row>
    <row r="21" spans="1:10" s="1" customFormat="1">
      <c r="A21" s="14"/>
      <c r="B21" s="5" t="s">
        <v>59</v>
      </c>
      <c r="C21" s="10" t="s">
        <v>25</v>
      </c>
      <c r="D21" s="5">
        <v>1</v>
      </c>
      <c r="E21" s="166">
        <f>E19</f>
        <v>407</v>
      </c>
      <c r="F21" s="29">
        <f t="shared" si="6"/>
        <v>2.4570024570024569E-3</v>
      </c>
      <c r="G21" s="6">
        <f>85000*0.45</f>
        <v>38250</v>
      </c>
      <c r="H21" s="117">
        <f>F21*G21</f>
        <v>93.980343980343974</v>
      </c>
      <c r="I21" s="169">
        <f t="shared" si="7"/>
        <v>38250</v>
      </c>
      <c r="J21" s="169"/>
    </row>
    <row r="22" spans="1:10" s="1" customFormat="1" ht="15.75" thickBot="1">
      <c r="A22" s="15"/>
      <c r="B22" s="16"/>
      <c r="C22" s="16"/>
      <c r="D22" s="16"/>
      <c r="E22" s="138"/>
      <c r="F22" s="16"/>
      <c r="G22" s="20"/>
      <c r="H22" s="118">
        <f>SUM(H19:H21)</f>
        <v>714.38218673218671</v>
      </c>
      <c r="I22" s="169">
        <f>H22*E21</f>
        <v>290753.55</v>
      </c>
      <c r="J22" s="169"/>
    </row>
    <row r="23" spans="1:10">
      <c r="A23" s="11" t="s">
        <v>40</v>
      </c>
      <c r="B23" s="12" t="s">
        <v>24</v>
      </c>
      <c r="C23" s="12" t="s">
        <v>25</v>
      </c>
      <c r="D23" s="12">
        <v>1</v>
      </c>
      <c r="E23" s="136">
        <f>материалы!E38</f>
        <v>403</v>
      </c>
      <c r="F23" s="30">
        <f>D23/E23</f>
        <v>2.4813895781637717E-3</v>
      </c>
      <c r="G23" s="13">
        <f>(257159+60183)*0.42</f>
        <v>133283.63999999998</v>
      </c>
      <c r="H23" s="116">
        <f>F23*G23</f>
        <v>330.72863523573199</v>
      </c>
      <c r="I23" s="169">
        <f>H23*E23</f>
        <v>133283.63999999998</v>
      </c>
      <c r="J23" s="169"/>
    </row>
    <row r="24" spans="1:10" s="1" customFormat="1">
      <c r="A24" s="14"/>
      <c r="B24" s="5" t="s">
        <v>27</v>
      </c>
      <c r="C24" s="5"/>
      <c r="D24" s="5">
        <v>57</v>
      </c>
      <c r="E24" s="166">
        <f>E23</f>
        <v>403</v>
      </c>
      <c r="F24" s="29">
        <f t="shared" ref="F24:F25" si="8">D24/E24</f>
        <v>0.14143920595533499</v>
      </c>
      <c r="G24" s="6">
        <f>164780*0.42/57</f>
        <v>1214.1684210526314</v>
      </c>
      <c r="H24" s="117">
        <f>F24*G24</f>
        <v>171.73101736972703</v>
      </c>
      <c r="I24" s="169">
        <f t="shared" ref="I24:I25" si="9">H24*E24</f>
        <v>69207.599999999991</v>
      </c>
      <c r="J24" s="169">
        <f>544882*0.42</f>
        <v>228850.44</v>
      </c>
    </row>
    <row r="25" spans="1:10" s="1" customFormat="1">
      <c r="A25" s="14"/>
      <c r="B25" s="5" t="s">
        <v>59</v>
      </c>
      <c r="C25" s="10" t="s">
        <v>25</v>
      </c>
      <c r="D25" s="5">
        <v>1</v>
      </c>
      <c r="E25" s="166">
        <f>E23</f>
        <v>403</v>
      </c>
      <c r="F25" s="29">
        <f t="shared" si="8"/>
        <v>2.4813895781637717E-3</v>
      </c>
      <c r="G25" s="6">
        <f>62760*0.42</f>
        <v>26359.200000000001</v>
      </c>
      <c r="H25" s="117">
        <f>F25*G25</f>
        <v>65.4074441687345</v>
      </c>
      <c r="I25" s="169">
        <f t="shared" si="9"/>
        <v>26359.200000000004</v>
      </c>
      <c r="J25" s="169"/>
    </row>
    <row r="26" spans="1:10" s="1" customFormat="1" ht="15.75" thickBot="1">
      <c r="A26" s="15"/>
      <c r="B26" s="16"/>
      <c r="C26" s="16"/>
      <c r="D26" s="16"/>
      <c r="E26" s="138"/>
      <c r="F26" s="16"/>
      <c r="G26" s="20"/>
      <c r="H26" s="118">
        <f>SUM(H23:H25)</f>
        <v>567.86709677419356</v>
      </c>
      <c r="I26" s="169">
        <f>H26*E25</f>
        <v>228850.44</v>
      </c>
      <c r="J26" s="169"/>
    </row>
    <row r="27" spans="1:10">
      <c r="A27" s="11" t="s">
        <v>41</v>
      </c>
      <c r="B27" s="12" t="s">
        <v>24</v>
      </c>
      <c r="C27" s="12" t="s">
        <v>25</v>
      </c>
      <c r="D27" s="12">
        <v>1</v>
      </c>
      <c r="E27" s="136">
        <f>материалы!E49</f>
        <v>267</v>
      </c>
      <c r="F27" s="30">
        <f>D27/E27</f>
        <v>3.7453183520599251E-3</v>
      </c>
      <c r="G27" s="13">
        <f>(41665+175353)*0.44</f>
        <v>95487.92</v>
      </c>
      <c r="H27" s="116">
        <f>F27*G27</f>
        <v>357.63265917602996</v>
      </c>
      <c r="I27" s="169">
        <f>H27*E27</f>
        <v>95487.92</v>
      </c>
      <c r="J27" s="169"/>
    </row>
    <row r="28" spans="1:10" s="1" customFormat="1">
      <c r="A28" s="14"/>
      <c r="B28" s="5" t="s">
        <v>27</v>
      </c>
      <c r="C28" s="5"/>
      <c r="D28" s="5">
        <v>58</v>
      </c>
      <c r="E28" s="166">
        <f>E27</f>
        <v>267</v>
      </c>
      <c r="F28" s="29">
        <f t="shared" ref="F28:F29" si="10">D28/E28</f>
        <v>0.21722846441947566</v>
      </c>
      <c r="G28" s="6">
        <f>(68560)*0.44/58</f>
        <v>520.11034482758623</v>
      </c>
      <c r="H28" s="117">
        <f>F28*G28</f>
        <v>112.98277153558053</v>
      </c>
      <c r="I28" s="169">
        <f t="shared" ref="I28:I29" si="11">H28*E28</f>
        <v>30166.400000000001</v>
      </c>
      <c r="J28" s="169">
        <f>368378*0.44</f>
        <v>162086.32</v>
      </c>
    </row>
    <row r="29" spans="1:10" s="1" customFormat="1">
      <c r="A29" s="14"/>
      <c r="B29" s="5" t="s">
        <v>59</v>
      </c>
      <c r="C29" s="10" t="s">
        <v>25</v>
      </c>
      <c r="D29" s="5">
        <v>1</v>
      </c>
      <c r="E29" s="166">
        <f>E27</f>
        <v>267</v>
      </c>
      <c r="F29" s="29">
        <f t="shared" si="10"/>
        <v>3.7453183520599251E-3</v>
      </c>
      <c r="G29" s="6">
        <f>82800*0.44</f>
        <v>36432</v>
      </c>
      <c r="H29" s="117">
        <f>F29*G29</f>
        <v>136.44943820224719</v>
      </c>
      <c r="I29" s="169">
        <f t="shared" si="11"/>
        <v>36432</v>
      </c>
      <c r="J29" s="169"/>
    </row>
    <row r="30" spans="1:10" s="1" customFormat="1" ht="15.75" thickBot="1">
      <c r="A30" s="15"/>
      <c r="B30" s="16"/>
      <c r="C30" s="16"/>
      <c r="D30" s="16"/>
      <c r="E30" s="138"/>
      <c r="F30" s="16"/>
      <c r="G30" s="20"/>
      <c r="H30" s="118">
        <f>SUM(H27:H29)</f>
        <v>607.06486891385771</v>
      </c>
      <c r="I30" s="169">
        <f>H30*E29</f>
        <v>162086.32</v>
      </c>
      <c r="J30" s="169"/>
    </row>
    <row r="31" spans="1:10" ht="15.75" thickBot="1">
      <c r="E31" s="163"/>
      <c r="H31" s="35"/>
    </row>
    <row r="32" spans="1:10">
      <c r="A32" s="11" t="s">
        <v>58</v>
      </c>
      <c r="B32" s="12" t="s">
        <v>24</v>
      </c>
      <c r="C32" s="12" t="s">
        <v>25</v>
      </c>
      <c r="D32" s="12">
        <v>1</v>
      </c>
      <c r="E32" s="136">
        <f>материалы!E61</f>
        <v>412</v>
      </c>
      <c r="F32" s="30">
        <f>D32/E32</f>
        <v>2.4271844660194173E-3</v>
      </c>
      <c r="G32" s="13">
        <f>716881*0.42</f>
        <v>301090.01999999996</v>
      </c>
      <c r="H32" s="116">
        <f>F32*G32</f>
        <v>730.80101941747557</v>
      </c>
      <c r="I32" s="169">
        <f>H32*E32</f>
        <v>301090.01999999996</v>
      </c>
      <c r="J32" s="169"/>
    </row>
    <row r="33" spans="1:20" s="1" customFormat="1">
      <c r="A33" s="14"/>
      <c r="B33" s="5" t="s">
        <v>27</v>
      </c>
      <c r="C33" s="5"/>
      <c r="D33" s="5">
        <v>36</v>
      </c>
      <c r="E33" s="166">
        <f>E32</f>
        <v>412</v>
      </c>
      <c r="F33" s="29">
        <f t="shared" ref="F33:F34" si="12">D33/E33</f>
        <v>8.7378640776699032E-2</v>
      </c>
      <c r="G33" s="6">
        <f>91460*0.42/36</f>
        <v>1067.0333333333333</v>
      </c>
      <c r="H33" s="117">
        <f>F33*G33</f>
        <v>93.235922330097083</v>
      </c>
      <c r="I33" s="169">
        <f t="shared" ref="I33:I34" si="13">H33*E33</f>
        <v>38413.199999999997</v>
      </c>
      <c r="J33" s="169">
        <f>917351*0.42</f>
        <v>385287.42</v>
      </c>
    </row>
    <row r="34" spans="1:20" s="1" customFormat="1">
      <c r="A34" s="14"/>
      <c r="B34" s="5" t="s">
        <v>59</v>
      </c>
      <c r="C34" s="10" t="s">
        <v>25</v>
      </c>
      <c r="D34" s="5">
        <v>1</v>
      </c>
      <c r="E34" s="166">
        <f>E32</f>
        <v>412</v>
      </c>
      <c r="F34" s="29">
        <f t="shared" si="12"/>
        <v>2.4271844660194173E-3</v>
      </c>
      <c r="G34" s="6">
        <f>109010*0.42</f>
        <v>45784.2</v>
      </c>
      <c r="H34" s="117">
        <f>F34*G34</f>
        <v>111.1266990291262</v>
      </c>
      <c r="I34" s="169">
        <f t="shared" si="13"/>
        <v>45784.2</v>
      </c>
      <c r="J34" s="169"/>
    </row>
    <row r="35" spans="1:20" s="1" customFormat="1" ht="15.75" thickBot="1">
      <c r="A35" s="15"/>
      <c r="B35" s="16"/>
      <c r="C35" s="16"/>
      <c r="D35" s="16"/>
      <c r="E35" s="138"/>
      <c r="F35" s="16"/>
      <c r="G35" s="20"/>
      <c r="H35" s="118">
        <f>SUM(H32:H34)</f>
        <v>935.16364077669891</v>
      </c>
      <c r="I35" s="169">
        <f>H35*E34</f>
        <v>385287.41999999993</v>
      </c>
      <c r="J35" s="169"/>
    </row>
    <row r="36" spans="1:20" ht="15.75" thickBot="1">
      <c r="E36" s="163"/>
      <c r="H36" s="35"/>
    </row>
    <row r="37" spans="1:20">
      <c r="A37" s="11" t="s">
        <v>38</v>
      </c>
      <c r="B37" s="12" t="s">
        <v>24</v>
      </c>
      <c r="C37" s="12" t="s">
        <v>25</v>
      </c>
      <c r="D37" s="12">
        <v>1</v>
      </c>
      <c r="E37" s="136">
        <f>материалы!E70</f>
        <v>137</v>
      </c>
      <c r="F37" s="30">
        <f>D37/E37</f>
        <v>7.2992700729927005E-3</v>
      </c>
      <c r="G37" s="13">
        <f>(12881+53648)*0.46</f>
        <v>30603.34</v>
      </c>
      <c r="H37" s="116">
        <f>F37*G37</f>
        <v>223.38204379562043</v>
      </c>
      <c r="I37" s="169">
        <f>H37*E37</f>
        <v>30603.34</v>
      </c>
      <c r="J37" s="169"/>
    </row>
    <row r="38" spans="1:20" s="1" customFormat="1">
      <c r="A38" s="14"/>
      <c r="B38" s="5" t="s">
        <v>27</v>
      </c>
      <c r="C38" s="5"/>
      <c r="D38" s="5">
        <v>7</v>
      </c>
      <c r="E38" s="166">
        <f>E37</f>
        <v>137</v>
      </c>
      <c r="F38" s="29">
        <f t="shared" ref="F38:F39" si="14">D38/E38</f>
        <v>5.1094890510948905E-2</v>
      </c>
      <c r="G38" s="6">
        <f>13000*0.46/7</f>
        <v>854.28571428571433</v>
      </c>
      <c r="H38" s="117">
        <f>F38*G38</f>
        <v>43.649635036496356</v>
      </c>
      <c r="I38" s="169">
        <f t="shared" ref="I38:I39" si="15">H38*E38</f>
        <v>5980.0000000000009</v>
      </c>
      <c r="J38" s="169">
        <f>126749*0.46</f>
        <v>58304.54</v>
      </c>
    </row>
    <row r="39" spans="1:20" s="1" customFormat="1">
      <c r="A39" s="14"/>
      <c r="B39" s="5" t="s">
        <v>59</v>
      </c>
      <c r="C39" s="10" t="s">
        <v>25</v>
      </c>
      <c r="D39" s="5">
        <v>1</v>
      </c>
      <c r="E39" s="166">
        <f>E37</f>
        <v>137</v>
      </c>
      <c r="F39" s="29">
        <f t="shared" si="14"/>
        <v>7.2992700729927005E-3</v>
      </c>
      <c r="G39" s="6">
        <f>47220*0.46</f>
        <v>21721.200000000001</v>
      </c>
      <c r="H39" s="117">
        <f>F39*G39</f>
        <v>158.54890510948906</v>
      </c>
      <c r="I39" s="169">
        <f t="shared" si="15"/>
        <v>21721.200000000001</v>
      </c>
      <c r="J39" s="169"/>
    </row>
    <row r="40" spans="1:20" s="1" customFormat="1" ht="15.75" thickBot="1">
      <c r="A40" s="15"/>
      <c r="B40" s="16"/>
      <c r="C40" s="16"/>
      <c r="D40" s="16"/>
      <c r="E40" s="138"/>
      <c r="F40" s="16"/>
      <c r="G40" s="20"/>
      <c r="H40" s="121">
        <f>SUM(H37:H39)</f>
        <v>425.58058394160582</v>
      </c>
      <c r="I40" s="169">
        <f>H40*E39</f>
        <v>58304.54</v>
      </c>
      <c r="J40" s="169"/>
    </row>
    <row r="41" spans="1:20">
      <c r="A41" s="11" t="s">
        <v>42</v>
      </c>
      <c r="B41" s="12" t="s">
        <v>24</v>
      </c>
      <c r="C41" s="12" t="s">
        <v>25</v>
      </c>
      <c r="D41" s="12">
        <v>1</v>
      </c>
      <c r="E41" s="136">
        <f>материалы!E78</f>
        <v>112</v>
      </c>
      <c r="F41" s="30">
        <f>D41/E41</f>
        <v>8.9285714285714281E-3</v>
      </c>
      <c r="G41" s="13">
        <f>(23150+72500)*0.48</f>
        <v>45912</v>
      </c>
      <c r="H41" s="116">
        <f>F41*G41</f>
        <v>409.92857142857139</v>
      </c>
      <c r="I41" s="169">
        <f>H41*E41</f>
        <v>45911.999999999993</v>
      </c>
      <c r="J41" s="169"/>
    </row>
    <row r="42" spans="1:20" s="1" customFormat="1">
      <c r="A42" s="14"/>
      <c r="B42" s="5" t="s">
        <v>27</v>
      </c>
      <c r="C42" s="5"/>
      <c r="D42" s="5">
        <v>5</v>
      </c>
      <c r="E42" s="166">
        <f>E41</f>
        <v>112</v>
      </c>
      <c r="F42" s="29">
        <f t="shared" ref="F42:F43" si="16">D42/E42</f>
        <v>4.4642857142857144E-2</v>
      </c>
      <c r="G42" s="6">
        <f>40500*0.48/5</f>
        <v>3888</v>
      </c>
      <c r="H42" s="117">
        <f>F42*G42</f>
        <v>173.57142857142858</v>
      </c>
      <c r="I42" s="169">
        <f t="shared" ref="I42:I43" si="17">H42*E42</f>
        <v>19440</v>
      </c>
      <c r="J42" s="169">
        <f>166150*0.48</f>
        <v>79752</v>
      </c>
    </row>
    <row r="43" spans="1:20" s="1" customFormat="1">
      <c r="A43" s="14"/>
      <c r="B43" s="5" t="s">
        <v>59</v>
      </c>
      <c r="C43" s="10" t="s">
        <v>25</v>
      </c>
      <c r="D43" s="5">
        <v>1</v>
      </c>
      <c r="E43" s="166">
        <f>E41</f>
        <v>112</v>
      </c>
      <c r="F43" s="29">
        <f t="shared" si="16"/>
        <v>8.9285714285714281E-3</v>
      </c>
      <c r="G43" s="6">
        <f>30000*0.48</f>
        <v>14400</v>
      </c>
      <c r="H43" s="117">
        <f>F43*G43</f>
        <v>128.57142857142856</v>
      </c>
      <c r="I43" s="169">
        <f t="shared" si="17"/>
        <v>14399.999999999998</v>
      </c>
      <c r="J43" s="169"/>
    </row>
    <row r="44" spans="1:20" s="1" customFormat="1" ht="15.75" thickBot="1">
      <c r="A44" s="15"/>
      <c r="B44" s="16"/>
      <c r="C44" s="16"/>
      <c r="D44" s="16"/>
      <c r="E44" s="16"/>
      <c r="F44" s="16"/>
      <c r="G44" s="20"/>
      <c r="H44" s="118">
        <f>SUM(H41:H43)</f>
        <v>712.07142857142856</v>
      </c>
      <c r="I44" s="169">
        <f>H44*E43</f>
        <v>79752</v>
      </c>
      <c r="J44" s="169"/>
    </row>
    <row r="45" spans="1:20">
      <c r="H45" s="104"/>
    </row>
    <row r="46" spans="1:20" ht="18.75">
      <c r="A46" s="31" t="s">
        <v>43</v>
      </c>
      <c r="H46" s="108"/>
      <c r="S46" s="1"/>
      <c r="T46" s="1"/>
    </row>
    <row r="47" spans="1:20" ht="15.75" thickBot="1">
      <c r="G47" s="50" t="s">
        <v>31</v>
      </c>
      <c r="H47" s="104"/>
    </row>
    <row r="48" spans="1:20" ht="45">
      <c r="A48" s="21" t="s">
        <v>3</v>
      </c>
      <c r="B48" s="22" t="s">
        <v>22</v>
      </c>
      <c r="C48" s="22" t="s">
        <v>18</v>
      </c>
      <c r="D48" s="22" t="s">
        <v>23</v>
      </c>
      <c r="E48" s="22" t="s">
        <v>53</v>
      </c>
      <c r="F48" s="22" t="s">
        <v>54</v>
      </c>
      <c r="G48" s="22" t="s">
        <v>26</v>
      </c>
      <c r="H48" s="23" t="s">
        <v>10</v>
      </c>
      <c r="I48" s="168"/>
      <c r="J48" s="168"/>
      <c r="K48" s="2"/>
    </row>
    <row r="49" spans="1:10" ht="15.75" thickBot="1">
      <c r="A49" s="24">
        <v>1</v>
      </c>
      <c r="B49" s="25">
        <v>2</v>
      </c>
      <c r="C49" s="25">
        <v>3</v>
      </c>
      <c r="D49" s="25">
        <v>4</v>
      </c>
      <c r="E49" s="25">
        <v>5</v>
      </c>
      <c r="F49" s="25" t="s">
        <v>17</v>
      </c>
      <c r="G49" s="26">
        <v>7</v>
      </c>
      <c r="H49" s="27" t="s">
        <v>72</v>
      </c>
    </row>
    <row r="50" spans="1:10">
      <c r="A50" s="11" t="s">
        <v>35</v>
      </c>
      <c r="B50" s="12" t="s">
        <v>24</v>
      </c>
      <c r="C50" s="12" t="s">
        <v>25</v>
      </c>
      <c r="D50" s="12">
        <v>1</v>
      </c>
      <c r="E50" s="136">
        <f>материалы!E90</f>
        <v>221</v>
      </c>
      <c r="F50" s="30">
        <f>D50/E50</f>
        <v>4.5248868778280547E-3</v>
      </c>
      <c r="G50" s="13">
        <f>(32406+117841)*0.49</f>
        <v>73621.03</v>
      </c>
      <c r="H50" s="116">
        <f>F50*G50</f>
        <v>333.12683257918553</v>
      </c>
      <c r="I50" s="169">
        <f>H50*E50</f>
        <v>73621.03</v>
      </c>
      <c r="J50" s="169"/>
    </row>
    <row r="51" spans="1:10" s="1" customFormat="1">
      <c r="A51" s="14"/>
      <c r="B51" s="5" t="s">
        <v>27</v>
      </c>
      <c r="C51" s="5"/>
      <c r="D51" s="5">
        <v>16</v>
      </c>
      <c r="E51" s="166">
        <f>E50</f>
        <v>221</v>
      </c>
      <c r="F51" s="29">
        <f t="shared" ref="F51:F52" si="18">D51/E51</f>
        <v>7.2398190045248875E-2</v>
      </c>
      <c r="G51" s="6">
        <f>(100320)*0.49/16</f>
        <v>3072.2999999999997</v>
      </c>
      <c r="H51" s="117">
        <f>F51*G51</f>
        <v>222.42895927601811</v>
      </c>
      <c r="I51" s="169">
        <f>H51*E51</f>
        <v>49156.800000000003</v>
      </c>
      <c r="J51" s="169">
        <f>285367*0.49</f>
        <v>139829.82999999999</v>
      </c>
    </row>
    <row r="52" spans="1:10" s="1" customFormat="1">
      <c r="A52" s="14"/>
      <c r="B52" s="5" t="s">
        <v>59</v>
      </c>
      <c r="C52" s="10" t="s">
        <v>25</v>
      </c>
      <c r="D52" s="5">
        <v>1</v>
      </c>
      <c r="E52" s="166">
        <f>E50</f>
        <v>221</v>
      </c>
      <c r="F52" s="29">
        <f t="shared" si="18"/>
        <v>4.5248868778280547E-3</v>
      </c>
      <c r="G52" s="6">
        <f>34800*0.49</f>
        <v>17052</v>
      </c>
      <c r="H52" s="117">
        <f>F52*G52</f>
        <v>77.158371040723992</v>
      </c>
      <c r="I52" s="169">
        <f t="shared" ref="I52" si="19">H52*E52</f>
        <v>17052.000000000004</v>
      </c>
      <c r="J52" s="169"/>
    </row>
    <row r="53" spans="1:10" s="1" customFormat="1" ht="15.75" thickBot="1">
      <c r="A53" s="15"/>
      <c r="B53" s="16"/>
      <c r="C53" s="16"/>
      <c r="D53" s="16"/>
      <c r="E53" s="138"/>
      <c r="F53" s="16"/>
      <c r="G53" s="20"/>
      <c r="H53" s="121">
        <f>SUM(H50:H52)</f>
        <v>632.71416289592764</v>
      </c>
      <c r="I53" s="169">
        <f>H53*E52</f>
        <v>139829.83000000002</v>
      </c>
      <c r="J53" s="169"/>
    </row>
    <row r="54" spans="1:10">
      <c r="A54" s="11" t="s">
        <v>36</v>
      </c>
      <c r="B54" s="12" t="s">
        <v>24</v>
      </c>
      <c r="C54" s="12" t="s">
        <v>25</v>
      </c>
      <c r="D54" s="12">
        <v>1</v>
      </c>
      <c r="E54" s="136">
        <f>материалы!E98</f>
        <v>328</v>
      </c>
      <c r="F54" s="30">
        <f>D54/E54</f>
        <v>3.0487804878048782E-3</v>
      </c>
      <c r="G54" s="13">
        <f>(136699+37036)*0.48</f>
        <v>83392.800000000003</v>
      </c>
      <c r="H54" s="116">
        <f>F54*G54</f>
        <v>254.24634146341467</v>
      </c>
      <c r="I54" s="169">
        <f>H54*E54</f>
        <v>83392.800000000017</v>
      </c>
      <c r="J54" s="169"/>
    </row>
    <row r="55" spans="1:10" s="1" customFormat="1">
      <c r="A55" s="14"/>
      <c r="B55" s="5" t="s">
        <v>27</v>
      </c>
      <c r="C55" s="5"/>
      <c r="D55" s="5">
        <v>20</v>
      </c>
      <c r="E55" s="166">
        <f>E54</f>
        <v>328</v>
      </c>
      <c r="F55" s="29">
        <f t="shared" ref="F55:F56" si="20">D55/E55</f>
        <v>6.097560975609756E-2</v>
      </c>
      <c r="G55" s="6">
        <f>55200*0.48/20</f>
        <v>1324.8</v>
      </c>
      <c r="H55" s="117">
        <f>F55*G55</f>
        <v>80.780487804878049</v>
      </c>
      <c r="I55" s="169">
        <f t="shared" ref="I55:I56" si="21">H55*E55</f>
        <v>26496</v>
      </c>
      <c r="J55" s="169">
        <f>273335*0.48</f>
        <v>131200.79999999999</v>
      </c>
    </row>
    <row r="56" spans="1:10" s="1" customFormat="1">
      <c r="A56" s="14"/>
      <c r="B56" s="5" t="s">
        <v>59</v>
      </c>
      <c r="C56" s="10" t="s">
        <v>25</v>
      </c>
      <c r="D56" s="5">
        <v>1</v>
      </c>
      <c r="E56" s="166">
        <f>E54</f>
        <v>328</v>
      </c>
      <c r="F56" s="29">
        <f t="shared" si="20"/>
        <v>3.0487804878048782E-3</v>
      </c>
      <c r="G56" s="6">
        <f>44400*0.48</f>
        <v>21312</v>
      </c>
      <c r="H56" s="117">
        <f>F56*G56</f>
        <v>64.975609756097569</v>
      </c>
      <c r="I56" s="169">
        <f t="shared" si="21"/>
        <v>21312.000000000004</v>
      </c>
      <c r="J56" s="169"/>
    </row>
    <row r="57" spans="1:10" s="1" customFormat="1" ht="15.75" thickBot="1">
      <c r="A57" s="15"/>
      <c r="B57" s="16"/>
      <c r="C57" s="16"/>
      <c r="D57" s="16"/>
      <c r="E57" s="138"/>
      <c r="F57" s="16"/>
      <c r="G57" s="20"/>
      <c r="H57" s="118">
        <f>SUM(H54:H56)</f>
        <v>400.0024390243903</v>
      </c>
      <c r="I57" s="169">
        <f>H57*E56</f>
        <v>131200.80000000002</v>
      </c>
      <c r="J57" s="169"/>
    </row>
    <row r="58" spans="1:10">
      <c r="A58" s="11" t="s">
        <v>37</v>
      </c>
      <c r="B58" s="12" t="s">
        <v>24</v>
      </c>
      <c r="C58" s="12" t="s">
        <v>25</v>
      </c>
      <c r="D58" s="12">
        <v>1</v>
      </c>
      <c r="E58" s="136">
        <f>материалы!E106</f>
        <v>285</v>
      </c>
      <c r="F58" s="30">
        <f>D58/E58</f>
        <v>3.5087719298245615E-3</v>
      </c>
      <c r="G58" s="13">
        <f>(117500+31249)*0.48</f>
        <v>71399.520000000004</v>
      </c>
      <c r="H58" s="116">
        <f>F58*G58</f>
        <v>250.52463157894738</v>
      </c>
      <c r="I58" s="169">
        <f>H58*E58</f>
        <v>71399.520000000004</v>
      </c>
      <c r="J58" s="169"/>
    </row>
    <row r="59" spans="1:10" s="1" customFormat="1">
      <c r="A59" s="14"/>
      <c r="B59" s="5" t="s">
        <v>27</v>
      </c>
      <c r="C59" s="5"/>
      <c r="D59" s="5">
        <v>17</v>
      </c>
      <c r="E59" s="166">
        <f>E58</f>
        <v>285</v>
      </c>
      <c r="F59" s="29">
        <f t="shared" ref="F59:F60" si="22">D59/E59</f>
        <v>5.9649122807017542E-2</v>
      </c>
      <c r="G59" s="6">
        <f>25580*0.48/17</f>
        <v>722.25882352941176</v>
      </c>
      <c r="H59" s="117">
        <f>F59*G59</f>
        <v>43.082105263157892</v>
      </c>
      <c r="I59" s="169">
        <f t="shared" ref="I59:I60" si="23">H59*E59</f>
        <v>12278.4</v>
      </c>
      <c r="J59" s="169">
        <f>228369*0.48</f>
        <v>109617.12</v>
      </c>
    </row>
    <row r="60" spans="1:10" s="1" customFormat="1">
      <c r="A60" s="14"/>
      <c r="B60" s="5" t="s">
        <v>59</v>
      </c>
      <c r="C60" s="10" t="s">
        <v>25</v>
      </c>
      <c r="D60" s="5">
        <v>1</v>
      </c>
      <c r="E60" s="166">
        <f>E58</f>
        <v>285</v>
      </c>
      <c r="F60" s="29">
        <f t="shared" si="22"/>
        <v>3.5087719298245615E-3</v>
      </c>
      <c r="G60" s="6">
        <f>54040*0.48</f>
        <v>25939.200000000001</v>
      </c>
      <c r="H60" s="117">
        <f>F60*G60</f>
        <v>91.014736842105265</v>
      </c>
      <c r="I60" s="169">
        <f t="shared" si="23"/>
        <v>25939.200000000001</v>
      </c>
      <c r="J60" s="169"/>
    </row>
    <row r="61" spans="1:10" s="1" customFormat="1" ht="15.75" thickBot="1">
      <c r="A61" s="15"/>
      <c r="B61" s="16"/>
      <c r="C61" s="16"/>
      <c r="D61" s="16"/>
      <c r="E61" s="138"/>
      <c r="F61" s="16"/>
      <c r="G61" s="20"/>
      <c r="H61" s="118">
        <f>SUM(H58:H60)</f>
        <v>384.62147368421051</v>
      </c>
      <c r="I61" s="169">
        <f>H61*E60</f>
        <v>109617.12</v>
      </c>
      <c r="J61" s="169"/>
    </row>
    <row r="62" spans="1:10">
      <c r="A62" s="11" t="s">
        <v>39</v>
      </c>
      <c r="B62" s="12" t="s">
        <v>24</v>
      </c>
      <c r="C62" s="12" t="s">
        <v>25</v>
      </c>
      <c r="D62" s="12">
        <v>1</v>
      </c>
      <c r="E62" s="136">
        <f>материалы!E114</f>
        <v>418</v>
      </c>
      <c r="F62" s="30">
        <f>D62/E62</f>
        <v>2.3923444976076554E-3</v>
      </c>
      <c r="G62" s="13">
        <f>497869*0.44</f>
        <v>219062.36000000002</v>
      </c>
      <c r="H62" s="116">
        <f>F62*G62</f>
        <v>524.07263157894738</v>
      </c>
      <c r="I62" s="169">
        <f>H62*E62</f>
        <v>219062.36000000002</v>
      </c>
      <c r="J62" s="169"/>
    </row>
    <row r="63" spans="1:10" s="1" customFormat="1">
      <c r="A63" s="14"/>
      <c r="B63" s="5" t="s">
        <v>27</v>
      </c>
      <c r="C63" s="5"/>
      <c r="D63" s="5">
        <v>37</v>
      </c>
      <c r="E63" s="166">
        <f>E62</f>
        <v>418</v>
      </c>
      <c r="F63" s="29">
        <f t="shared" ref="F63:F64" si="24">D63/E63</f>
        <v>8.8516746411483258E-2</v>
      </c>
      <c r="G63" s="6">
        <f>63250*0.44/37</f>
        <v>752.16216216216219</v>
      </c>
      <c r="H63" s="117">
        <f>F63*G63</f>
        <v>66.578947368421055</v>
      </c>
      <c r="I63" s="169">
        <f t="shared" ref="I63:I64" si="25">H63*E63</f>
        <v>27830</v>
      </c>
      <c r="J63" s="169">
        <f>646119*0.44</f>
        <v>284292.36</v>
      </c>
    </row>
    <row r="64" spans="1:10" s="1" customFormat="1">
      <c r="A64" s="14"/>
      <c r="B64" s="5" t="s">
        <v>59</v>
      </c>
      <c r="C64" s="10" t="s">
        <v>25</v>
      </c>
      <c r="D64" s="5">
        <v>1</v>
      </c>
      <c r="E64" s="166">
        <f>E62</f>
        <v>418</v>
      </c>
      <c r="F64" s="29">
        <f t="shared" si="24"/>
        <v>2.3923444976076554E-3</v>
      </c>
      <c r="G64" s="6">
        <f>85000*0.44</f>
        <v>37400</v>
      </c>
      <c r="H64" s="117">
        <f>F64*G64</f>
        <v>89.473684210526315</v>
      </c>
      <c r="I64" s="169">
        <f t="shared" si="25"/>
        <v>37400</v>
      </c>
      <c r="J64" s="169"/>
    </row>
    <row r="65" spans="1:10" s="1" customFormat="1" ht="15.75" thickBot="1">
      <c r="A65" s="15"/>
      <c r="B65" s="16"/>
      <c r="C65" s="16"/>
      <c r="D65" s="16"/>
      <c r="E65" s="138"/>
      <c r="F65" s="16"/>
      <c r="G65" s="20"/>
      <c r="H65" s="118">
        <f>SUM(H62:H64)</f>
        <v>680.12526315789478</v>
      </c>
      <c r="I65" s="169">
        <f>H65*E64</f>
        <v>284292.36000000004</v>
      </c>
      <c r="J65" s="169"/>
    </row>
    <row r="66" spans="1:10">
      <c r="A66" s="11" t="s">
        <v>40</v>
      </c>
      <c r="B66" s="12" t="s">
        <v>24</v>
      </c>
      <c r="C66" s="12" t="s">
        <v>25</v>
      </c>
      <c r="D66" s="12">
        <v>1</v>
      </c>
      <c r="E66" s="136">
        <f>материалы!E122</f>
        <v>481</v>
      </c>
      <c r="F66" s="30">
        <f>D66/E66</f>
        <v>2.0790020790020791E-3</v>
      </c>
      <c r="G66" s="13">
        <f>(257159+60183)*0.48</f>
        <v>152324.16</v>
      </c>
      <c r="H66" s="116">
        <f>F66*G66</f>
        <v>316.68224532224536</v>
      </c>
      <c r="I66" s="169">
        <f>H66*E66</f>
        <v>152324.16000000003</v>
      </c>
      <c r="J66" s="169"/>
    </row>
    <row r="67" spans="1:10" s="1" customFormat="1">
      <c r="A67" s="14"/>
      <c r="B67" s="5" t="s">
        <v>27</v>
      </c>
      <c r="C67" s="5"/>
      <c r="D67" s="5">
        <v>53</v>
      </c>
      <c r="E67" s="166">
        <f>E66</f>
        <v>481</v>
      </c>
      <c r="F67" s="29">
        <f t="shared" ref="F67:F68" si="26">D67/E67</f>
        <v>0.11018711018711019</v>
      </c>
      <c r="G67" s="6">
        <f>164780*0.48/53</f>
        <v>1492.3471698113206</v>
      </c>
      <c r="H67" s="117">
        <f>F67*G67</f>
        <v>164.43742203742204</v>
      </c>
      <c r="I67" s="169">
        <f t="shared" ref="I67:I68" si="27">H67*E67</f>
        <v>79094.399999999994</v>
      </c>
      <c r="J67" s="169">
        <f>544882*0.48</f>
        <v>261543.36</v>
      </c>
    </row>
    <row r="68" spans="1:10" s="1" customFormat="1">
      <c r="A68" s="14"/>
      <c r="B68" s="5" t="s">
        <v>59</v>
      </c>
      <c r="C68" s="10" t="s">
        <v>25</v>
      </c>
      <c r="D68" s="5">
        <v>1</v>
      </c>
      <c r="E68" s="166">
        <f>E66</f>
        <v>481</v>
      </c>
      <c r="F68" s="29">
        <f t="shared" si="26"/>
        <v>2.0790020790020791E-3</v>
      </c>
      <c r="G68" s="6">
        <f>62760*0.48</f>
        <v>30124.799999999999</v>
      </c>
      <c r="H68" s="117">
        <f>F68*G68</f>
        <v>62.629521829521835</v>
      </c>
      <c r="I68" s="169">
        <f t="shared" si="27"/>
        <v>30124.800000000003</v>
      </c>
      <c r="J68" s="169"/>
    </row>
    <row r="69" spans="1:10" s="1" customFormat="1" ht="15.75" thickBot="1">
      <c r="A69" s="15"/>
      <c r="B69" s="16"/>
      <c r="C69" s="16"/>
      <c r="D69" s="16"/>
      <c r="E69" s="138"/>
      <c r="F69" s="16"/>
      <c r="G69" s="20"/>
      <c r="H69" s="118">
        <f>SUM(H66:H68)</f>
        <v>543.74918918918922</v>
      </c>
      <c r="I69" s="169">
        <f>H69*E68</f>
        <v>261543.36000000002</v>
      </c>
      <c r="J69" s="169"/>
    </row>
    <row r="70" spans="1:10">
      <c r="A70" s="11" t="s">
        <v>41</v>
      </c>
      <c r="B70" s="12" t="s">
        <v>24</v>
      </c>
      <c r="C70" s="12" t="s">
        <v>25</v>
      </c>
      <c r="D70" s="12">
        <v>1</v>
      </c>
      <c r="E70" s="136">
        <f>материалы!E133</f>
        <v>302</v>
      </c>
      <c r="F70" s="30">
        <f>D70/E70</f>
        <v>3.3112582781456954E-3</v>
      </c>
      <c r="G70" s="13">
        <f>(41665+175353)*0.48</f>
        <v>104168.64</v>
      </c>
      <c r="H70" s="116">
        <f>F70*G70</f>
        <v>344.92927152317878</v>
      </c>
      <c r="I70" s="169">
        <f>H70*E70</f>
        <v>104168.64</v>
      </c>
      <c r="J70" s="169"/>
    </row>
    <row r="71" spans="1:10" s="1" customFormat="1">
      <c r="A71" s="14"/>
      <c r="B71" s="5" t="s">
        <v>27</v>
      </c>
      <c r="C71" s="5"/>
      <c r="D71" s="5">
        <v>53</v>
      </c>
      <c r="E71" s="166">
        <f>E70</f>
        <v>302</v>
      </c>
      <c r="F71" s="29">
        <f t="shared" ref="F71:F72" si="28">D71/E71</f>
        <v>0.17549668874172186</v>
      </c>
      <c r="G71" s="6">
        <f>(68560)*0.48/53</f>
        <v>620.92075471698104</v>
      </c>
      <c r="H71" s="117">
        <f>F71*G71</f>
        <v>108.96953642384105</v>
      </c>
      <c r="I71" s="169">
        <f t="shared" ref="I71:I72" si="29">H71*E71</f>
        <v>32908.799999999996</v>
      </c>
      <c r="J71" s="169">
        <f>368378*0.48</f>
        <v>176821.44</v>
      </c>
    </row>
    <row r="72" spans="1:10" s="1" customFormat="1">
      <c r="A72" s="14"/>
      <c r="B72" s="5" t="s">
        <v>59</v>
      </c>
      <c r="C72" s="10" t="s">
        <v>25</v>
      </c>
      <c r="D72" s="5">
        <v>1</v>
      </c>
      <c r="E72" s="166">
        <f>E70</f>
        <v>302</v>
      </c>
      <c r="F72" s="29">
        <f t="shared" si="28"/>
        <v>3.3112582781456954E-3</v>
      </c>
      <c r="G72" s="6">
        <f>82800*0.48</f>
        <v>39744</v>
      </c>
      <c r="H72" s="117">
        <f>F72*G72</f>
        <v>131.60264900662253</v>
      </c>
      <c r="I72" s="169">
        <f t="shared" si="29"/>
        <v>39744</v>
      </c>
      <c r="J72" s="169"/>
    </row>
    <row r="73" spans="1:10" s="1" customFormat="1" ht="15.75" thickBot="1">
      <c r="A73" s="15"/>
      <c r="B73" s="16"/>
      <c r="C73" s="16"/>
      <c r="D73" s="16"/>
      <c r="E73" s="138"/>
      <c r="F73" s="16"/>
      <c r="G73" s="20"/>
      <c r="H73" s="118">
        <f>SUM(H70:H72)</f>
        <v>585.50145695364233</v>
      </c>
      <c r="I73" s="169">
        <f>H73*E72</f>
        <v>176821.43999999997</v>
      </c>
      <c r="J73" s="169"/>
    </row>
    <row r="74" spans="1:10" ht="15.75" thickBot="1">
      <c r="E74" s="163"/>
      <c r="H74" s="35"/>
    </row>
    <row r="75" spans="1:10">
      <c r="A75" s="11" t="s">
        <v>58</v>
      </c>
      <c r="B75" s="12" t="s">
        <v>24</v>
      </c>
      <c r="C75" s="12" t="s">
        <v>25</v>
      </c>
      <c r="D75" s="12">
        <v>1</v>
      </c>
      <c r="E75" s="136">
        <f>материалы!E145</f>
        <v>464</v>
      </c>
      <c r="F75" s="30">
        <f>D75/E75</f>
        <v>2.1551724137931034E-3</v>
      </c>
      <c r="G75" s="13">
        <f>716881*0.45</f>
        <v>322596.45</v>
      </c>
      <c r="H75" s="116">
        <f>F75*G75</f>
        <v>695.25096982758623</v>
      </c>
      <c r="I75" s="169">
        <f>H75*E75</f>
        <v>322596.45</v>
      </c>
      <c r="J75" s="169"/>
    </row>
    <row r="76" spans="1:10" s="1" customFormat="1">
      <c r="A76" s="14"/>
      <c r="B76" s="5" t="s">
        <v>27</v>
      </c>
      <c r="C76" s="5"/>
      <c r="D76" s="5">
        <v>45</v>
      </c>
      <c r="E76" s="166">
        <f>E75</f>
        <v>464</v>
      </c>
      <c r="F76" s="29">
        <f t="shared" ref="F76:F77" si="30">D76/E76</f>
        <v>9.6982758620689655E-2</v>
      </c>
      <c r="G76" s="6">
        <f>91460*0.45/45</f>
        <v>914.6</v>
      </c>
      <c r="H76" s="117">
        <f>F76*G76</f>
        <v>88.700431034482762</v>
      </c>
      <c r="I76" s="169">
        <f t="shared" ref="I76:I77" si="31">H76*E76</f>
        <v>41157</v>
      </c>
      <c r="J76" s="169">
        <f>917351*0.45</f>
        <v>412807.95</v>
      </c>
    </row>
    <row r="77" spans="1:10" s="1" customFormat="1">
      <c r="A77" s="14"/>
      <c r="B77" s="5" t="s">
        <v>59</v>
      </c>
      <c r="C77" s="10" t="s">
        <v>25</v>
      </c>
      <c r="D77" s="5">
        <v>1</v>
      </c>
      <c r="E77" s="166">
        <f>E75</f>
        <v>464</v>
      </c>
      <c r="F77" s="29">
        <f t="shared" si="30"/>
        <v>2.1551724137931034E-3</v>
      </c>
      <c r="G77" s="6">
        <f>109010*0.45</f>
        <v>49054.5</v>
      </c>
      <c r="H77" s="117">
        <f>F77*G77</f>
        <v>105.72090517241379</v>
      </c>
      <c r="I77" s="169">
        <f t="shared" si="31"/>
        <v>49054.5</v>
      </c>
      <c r="J77" s="169"/>
    </row>
    <row r="78" spans="1:10" s="1" customFormat="1" ht="15.75" thickBot="1">
      <c r="A78" s="15"/>
      <c r="B78" s="16"/>
      <c r="C78" s="16"/>
      <c r="D78" s="16"/>
      <c r="E78" s="138"/>
      <c r="F78" s="16"/>
      <c r="G78" s="20"/>
      <c r="H78" s="118">
        <f>SUM(H75:H77)</f>
        <v>889.67230603448286</v>
      </c>
      <c r="I78" s="169">
        <f>H78*E77</f>
        <v>412807.95000000007</v>
      </c>
      <c r="J78" s="169"/>
    </row>
    <row r="79" spans="1:10" ht="15.75" thickBot="1">
      <c r="E79" s="163"/>
      <c r="H79" s="35"/>
    </row>
    <row r="80" spans="1:10">
      <c r="A80" s="11" t="s">
        <v>38</v>
      </c>
      <c r="B80" s="12" t="s">
        <v>24</v>
      </c>
      <c r="C80" s="12" t="s">
        <v>25</v>
      </c>
      <c r="D80" s="12">
        <v>1</v>
      </c>
      <c r="E80" s="136">
        <f>материалы!E154</f>
        <v>118</v>
      </c>
      <c r="F80" s="30">
        <f>D80/E80</f>
        <v>8.4745762711864406E-3</v>
      </c>
      <c r="G80" s="13">
        <f>(12881+53648)*0.41</f>
        <v>27276.89</v>
      </c>
      <c r="H80" s="116">
        <f>F80*G80</f>
        <v>231.1600847457627</v>
      </c>
      <c r="I80" s="169">
        <f>H80*E80</f>
        <v>27276.89</v>
      </c>
      <c r="J80" s="169"/>
    </row>
    <row r="81" spans="1:20" s="1" customFormat="1">
      <c r="A81" s="14"/>
      <c r="B81" s="5" t="s">
        <v>27</v>
      </c>
      <c r="C81" s="5"/>
      <c r="D81" s="5">
        <v>8</v>
      </c>
      <c r="E81" s="166">
        <f>E80</f>
        <v>118</v>
      </c>
      <c r="F81" s="29">
        <f t="shared" ref="F81:F82" si="32">D81/E81</f>
        <v>6.7796610169491525E-2</v>
      </c>
      <c r="G81" s="6">
        <f>13000*0.41/8</f>
        <v>666.25</v>
      </c>
      <c r="H81" s="117">
        <f>F81*G81</f>
        <v>45.16949152542373</v>
      </c>
      <c r="I81" s="169">
        <f t="shared" ref="I81:I82" si="33">H81*E81</f>
        <v>5330</v>
      </c>
      <c r="J81" s="169">
        <f>126749*0.41</f>
        <v>51967.09</v>
      </c>
    </row>
    <row r="82" spans="1:20" s="1" customFormat="1">
      <c r="A82" s="14"/>
      <c r="B82" s="5" t="s">
        <v>59</v>
      </c>
      <c r="C82" s="10" t="s">
        <v>25</v>
      </c>
      <c r="D82" s="5">
        <v>1</v>
      </c>
      <c r="E82" s="166">
        <f>E80</f>
        <v>118</v>
      </c>
      <c r="F82" s="29">
        <f t="shared" si="32"/>
        <v>8.4745762711864406E-3</v>
      </c>
      <c r="G82" s="6">
        <f>47220*0.41</f>
        <v>19360.199999999997</v>
      </c>
      <c r="H82" s="117">
        <f>F82*G82</f>
        <v>164.0694915254237</v>
      </c>
      <c r="I82" s="169">
        <f t="shared" si="33"/>
        <v>19360.199999999997</v>
      </c>
      <c r="J82" s="169"/>
    </row>
    <row r="83" spans="1:20" s="1" customFormat="1" ht="15.75" thickBot="1">
      <c r="A83" s="15"/>
      <c r="B83" s="16"/>
      <c r="C83" s="16"/>
      <c r="D83" s="16"/>
      <c r="E83" s="138"/>
      <c r="F83" s="16"/>
      <c r="G83" s="20"/>
      <c r="H83" s="118">
        <f>SUM(H80:H82)</f>
        <v>440.39906779661015</v>
      </c>
      <c r="I83" s="169">
        <f>H83*E82</f>
        <v>51967.09</v>
      </c>
      <c r="J83" s="169"/>
    </row>
    <row r="84" spans="1:20">
      <c r="A84" s="11" t="s">
        <v>42</v>
      </c>
      <c r="B84" s="12" t="s">
        <v>24</v>
      </c>
      <c r="C84" s="12" t="s">
        <v>25</v>
      </c>
      <c r="D84" s="12">
        <v>1</v>
      </c>
      <c r="E84" s="136">
        <f>материалы!E162</f>
        <v>134</v>
      </c>
      <c r="F84" s="30">
        <f>D84/E84</f>
        <v>7.462686567164179E-3</v>
      </c>
      <c r="G84" s="13">
        <f>(23150+72500)*0.52</f>
        <v>49738</v>
      </c>
      <c r="H84" s="116">
        <f>F84*G84</f>
        <v>371.17910447761193</v>
      </c>
      <c r="I84" s="169">
        <f>H84*E84</f>
        <v>49738</v>
      </c>
      <c r="J84" s="169"/>
    </row>
    <row r="85" spans="1:20" s="1" customFormat="1">
      <c r="A85" s="14"/>
      <c r="B85" s="5" t="s">
        <v>27</v>
      </c>
      <c r="C85" s="5"/>
      <c r="D85" s="5">
        <v>5</v>
      </c>
      <c r="E85" s="166">
        <f>E84</f>
        <v>134</v>
      </c>
      <c r="F85" s="29">
        <f t="shared" ref="F85:F86" si="34">D85/E85</f>
        <v>3.7313432835820892E-2</v>
      </c>
      <c r="G85" s="6">
        <f>40500*0.52/5</f>
        <v>4212</v>
      </c>
      <c r="H85" s="117">
        <f>F85*G85</f>
        <v>157.1641791044776</v>
      </c>
      <c r="I85" s="169">
        <f t="shared" ref="I85:I86" si="35">H85*E85</f>
        <v>21059.999999999996</v>
      </c>
      <c r="J85" s="169">
        <f>166150*0.52</f>
        <v>86398</v>
      </c>
    </row>
    <row r="86" spans="1:20" s="1" customFormat="1">
      <c r="A86" s="14"/>
      <c r="B86" s="5" t="s">
        <v>59</v>
      </c>
      <c r="C86" s="10" t="s">
        <v>25</v>
      </c>
      <c r="D86" s="5">
        <v>1</v>
      </c>
      <c r="E86" s="166">
        <f>E84</f>
        <v>134</v>
      </c>
      <c r="F86" s="29">
        <f t="shared" si="34"/>
        <v>7.462686567164179E-3</v>
      </c>
      <c r="G86" s="6">
        <f>30000*0.52</f>
        <v>15600</v>
      </c>
      <c r="H86" s="117">
        <f>F86*G86</f>
        <v>116.41791044776119</v>
      </c>
      <c r="I86" s="169">
        <f t="shared" si="35"/>
        <v>15600</v>
      </c>
      <c r="J86" s="169"/>
    </row>
    <row r="87" spans="1:20" s="1" customFormat="1" ht="15.75" thickBot="1">
      <c r="A87" s="15"/>
      <c r="B87" s="16"/>
      <c r="C87" s="16"/>
      <c r="D87" s="16"/>
      <c r="E87" s="16"/>
      <c r="F87" s="16"/>
      <c r="G87" s="20"/>
      <c r="H87" s="118">
        <f>SUM(H84:H86)</f>
        <v>644.76119402985069</v>
      </c>
      <c r="I87" s="169">
        <f>H87*E86</f>
        <v>86397.999999999985</v>
      </c>
      <c r="J87" s="169"/>
    </row>
    <row r="88" spans="1:20">
      <c r="H88" s="104"/>
    </row>
    <row r="89" spans="1:20" ht="18.75">
      <c r="A89" s="31" t="s">
        <v>44</v>
      </c>
      <c r="H89" s="108"/>
      <c r="S89" s="1"/>
      <c r="T89" s="1"/>
    </row>
    <row r="90" spans="1:20" ht="15.75" thickBot="1">
      <c r="G90" s="50" t="s">
        <v>31</v>
      </c>
      <c r="H90" s="104"/>
    </row>
    <row r="91" spans="1:20" ht="45">
      <c r="A91" s="21" t="s">
        <v>3</v>
      </c>
      <c r="B91" s="22" t="s">
        <v>22</v>
      </c>
      <c r="C91" s="22" t="s">
        <v>18</v>
      </c>
      <c r="D91" s="22" t="s">
        <v>23</v>
      </c>
      <c r="E91" s="22" t="s">
        <v>53</v>
      </c>
      <c r="F91" s="22" t="s">
        <v>54</v>
      </c>
      <c r="G91" s="22" t="s">
        <v>26</v>
      </c>
      <c r="H91" s="23" t="s">
        <v>10</v>
      </c>
      <c r="I91" s="168"/>
      <c r="J91" s="168"/>
      <c r="K91" s="2"/>
    </row>
    <row r="92" spans="1:20" ht="15.75" thickBot="1">
      <c r="A92" s="24">
        <v>1</v>
      </c>
      <c r="B92" s="25">
        <v>2</v>
      </c>
      <c r="C92" s="25">
        <v>3</v>
      </c>
      <c r="D92" s="25">
        <v>4</v>
      </c>
      <c r="E92" s="25">
        <v>5</v>
      </c>
      <c r="F92" s="25" t="s">
        <v>17</v>
      </c>
      <c r="G92" s="26">
        <v>7</v>
      </c>
      <c r="H92" s="27" t="s">
        <v>72</v>
      </c>
    </row>
    <row r="93" spans="1:20">
      <c r="A93" s="11" t="s">
        <v>35</v>
      </c>
      <c r="B93" s="12" t="s">
        <v>24</v>
      </c>
      <c r="C93" s="12" t="s">
        <v>25</v>
      </c>
      <c r="D93" s="12">
        <v>1</v>
      </c>
      <c r="E93" s="136">
        <f>материалы!E174</f>
        <v>50</v>
      </c>
      <c r="F93" s="30">
        <f>D93/E93</f>
        <v>0.02</v>
      </c>
      <c r="G93" s="13">
        <f>(32406+117841)*0.09</f>
        <v>13522.23</v>
      </c>
      <c r="H93" s="116">
        <f>F93*G93</f>
        <v>270.44459999999998</v>
      </c>
      <c r="I93" s="169">
        <f>H93*E93</f>
        <v>13522.23</v>
      </c>
      <c r="J93" s="169"/>
    </row>
    <row r="94" spans="1:20" s="1" customFormat="1">
      <c r="A94" s="14"/>
      <c r="B94" s="5" t="s">
        <v>27</v>
      </c>
      <c r="C94" s="5"/>
      <c r="D94" s="5">
        <v>5</v>
      </c>
      <c r="E94" s="166">
        <f>E93</f>
        <v>50</v>
      </c>
      <c r="F94" s="29">
        <f t="shared" ref="F94:F95" si="36">D94/E94</f>
        <v>0.1</v>
      </c>
      <c r="G94" s="6">
        <f>(100320)*0.09/5</f>
        <v>1805.7599999999998</v>
      </c>
      <c r="H94" s="117">
        <f>F94*G94</f>
        <v>180.57599999999999</v>
      </c>
      <c r="I94" s="169">
        <f>H94*E94</f>
        <v>9028.7999999999993</v>
      </c>
      <c r="J94" s="169">
        <f>285367*0.09</f>
        <v>25683.03</v>
      </c>
    </row>
    <row r="95" spans="1:20" s="1" customFormat="1">
      <c r="A95" s="14"/>
      <c r="B95" s="5" t="s">
        <v>59</v>
      </c>
      <c r="C95" s="10" t="s">
        <v>25</v>
      </c>
      <c r="D95" s="5">
        <v>1</v>
      </c>
      <c r="E95" s="166">
        <f>E93</f>
        <v>50</v>
      </c>
      <c r="F95" s="29">
        <f t="shared" si="36"/>
        <v>0.02</v>
      </c>
      <c r="G95" s="6">
        <f>34800*0.09</f>
        <v>3132</v>
      </c>
      <c r="H95" s="117">
        <f>F95*G95</f>
        <v>62.64</v>
      </c>
      <c r="I95" s="169">
        <f t="shared" ref="I95" si="37">H95*E95</f>
        <v>3132</v>
      </c>
      <c r="J95" s="169"/>
    </row>
    <row r="96" spans="1:20" s="1" customFormat="1" ht="15.75" thickBot="1">
      <c r="A96" s="15"/>
      <c r="B96" s="16"/>
      <c r="C96" s="16"/>
      <c r="D96" s="16"/>
      <c r="E96" s="138"/>
      <c r="F96" s="16"/>
      <c r="G96" s="20"/>
      <c r="H96" s="118">
        <f>SUM(H93:H95)</f>
        <v>513.66059999999993</v>
      </c>
      <c r="I96" s="169">
        <f>H96*E95</f>
        <v>25683.029999999995</v>
      </c>
      <c r="J96" s="169"/>
    </row>
    <row r="97" spans="1:10">
      <c r="A97" s="11" t="s">
        <v>36</v>
      </c>
      <c r="B97" s="12" t="s">
        <v>24</v>
      </c>
      <c r="C97" s="12" t="s">
        <v>25</v>
      </c>
      <c r="D97" s="12">
        <v>1</v>
      </c>
      <c r="E97" s="136">
        <f>материалы!E183</f>
        <v>38</v>
      </c>
      <c r="F97" s="30">
        <f>D97/E97</f>
        <v>2.6315789473684209E-2</v>
      </c>
      <c r="G97" s="13">
        <f>(136699+37036)*0.08</f>
        <v>13898.800000000001</v>
      </c>
      <c r="H97" s="116">
        <f>F97*G97</f>
        <v>365.7578947368421</v>
      </c>
      <c r="I97" s="169">
        <f>H97*E97</f>
        <v>13898.8</v>
      </c>
      <c r="J97" s="169"/>
    </row>
    <row r="98" spans="1:10" s="1" customFormat="1">
      <c r="A98" s="14"/>
      <c r="B98" s="5" t="s">
        <v>27</v>
      </c>
      <c r="C98" s="5"/>
      <c r="D98" s="5">
        <v>3</v>
      </c>
      <c r="E98" s="166">
        <f>E97</f>
        <v>38</v>
      </c>
      <c r="F98" s="29">
        <f t="shared" ref="F98:F99" si="38">D98/E98</f>
        <v>7.8947368421052627E-2</v>
      </c>
      <c r="G98" s="6">
        <f>55200*0.08/3</f>
        <v>1472</v>
      </c>
      <c r="H98" s="117">
        <f>F98*G98</f>
        <v>116.21052631578947</v>
      </c>
      <c r="I98" s="169">
        <f t="shared" ref="I98:I99" si="39">H98*E98</f>
        <v>4416</v>
      </c>
      <c r="J98" s="169">
        <f>273335*0.08</f>
        <v>21866.799999999999</v>
      </c>
    </row>
    <row r="99" spans="1:10" s="1" customFormat="1">
      <c r="A99" s="14"/>
      <c r="B99" s="5" t="s">
        <v>59</v>
      </c>
      <c r="C99" s="10" t="s">
        <v>25</v>
      </c>
      <c r="D99" s="5">
        <v>1</v>
      </c>
      <c r="E99" s="166">
        <f>E97</f>
        <v>38</v>
      </c>
      <c r="F99" s="29">
        <f t="shared" si="38"/>
        <v>2.6315789473684209E-2</v>
      </c>
      <c r="G99" s="6">
        <f>44400*0.08</f>
        <v>3552</v>
      </c>
      <c r="H99" s="117">
        <f>F99*G99</f>
        <v>93.473684210526315</v>
      </c>
      <c r="I99" s="169">
        <f t="shared" si="39"/>
        <v>3552</v>
      </c>
      <c r="J99" s="169"/>
    </row>
    <row r="100" spans="1:10" s="1" customFormat="1" ht="15.75" thickBot="1">
      <c r="A100" s="15"/>
      <c r="B100" s="16"/>
      <c r="C100" s="16"/>
      <c r="D100" s="16"/>
      <c r="E100" s="138"/>
      <c r="F100" s="16"/>
      <c r="G100" s="20"/>
      <c r="H100" s="118">
        <f>SUM(H97:H99)</f>
        <v>575.44210526315794</v>
      </c>
      <c r="I100" s="169">
        <f>H100*E99</f>
        <v>21866.800000000003</v>
      </c>
      <c r="J100" s="169"/>
    </row>
    <row r="101" spans="1:10">
      <c r="A101" s="11" t="s">
        <v>37</v>
      </c>
      <c r="B101" s="12" t="s">
        <v>24</v>
      </c>
      <c r="C101" s="12" t="s">
        <v>25</v>
      </c>
      <c r="D101" s="12">
        <v>1</v>
      </c>
      <c r="E101" s="136">
        <f>материалы!E190</f>
        <v>40</v>
      </c>
      <c r="F101" s="30">
        <f>D101/E101</f>
        <v>2.5000000000000001E-2</v>
      </c>
      <c r="G101" s="13">
        <f>(117500+31249)*0.08</f>
        <v>11899.92</v>
      </c>
      <c r="H101" s="116">
        <f>F101*G101</f>
        <v>297.49799999999999</v>
      </c>
      <c r="I101" s="169">
        <f>H101*E101</f>
        <v>11899.92</v>
      </c>
      <c r="J101" s="169"/>
    </row>
    <row r="102" spans="1:10" s="1" customFormat="1">
      <c r="A102" s="14"/>
      <c r="B102" s="5" t="s">
        <v>27</v>
      </c>
      <c r="C102" s="5"/>
      <c r="D102" s="5">
        <v>3</v>
      </c>
      <c r="E102" s="166">
        <f>E101</f>
        <v>40</v>
      </c>
      <c r="F102" s="29">
        <f t="shared" ref="F102:F103" si="40">D102/E102</f>
        <v>7.4999999999999997E-2</v>
      </c>
      <c r="G102" s="6">
        <f>25580*0.08/3</f>
        <v>682.13333333333333</v>
      </c>
      <c r="H102" s="117">
        <f>F102*G102</f>
        <v>51.16</v>
      </c>
      <c r="I102" s="169">
        <f t="shared" ref="I102:I103" si="41">H102*E102</f>
        <v>2046.3999999999999</v>
      </c>
      <c r="J102" s="169">
        <f>228369*0.08</f>
        <v>18269.52</v>
      </c>
    </row>
    <row r="103" spans="1:10" s="1" customFormat="1">
      <c r="A103" s="14"/>
      <c r="B103" s="5" t="s">
        <v>59</v>
      </c>
      <c r="C103" s="10" t="s">
        <v>25</v>
      </c>
      <c r="D103" s="5">
        <v>1</v>
      </c>
      <c r="E103" s="166">
        <f>E101</f>
        <v>40</v>
      </c>
      <c r="F103" s="29">
        <f t="shared" si="40"/>
        <v>2.5000000000000001E-2</v>
      </c>
      <c r="G103" s="6">
        <f>54040*0.08</f>
        <v>4323.2</v>
      </c>
      <c r="H103" s="117">
        <f>F103*G103</f>
        <v>108.08</v>
      </c>
      <c r="I103" s="169">
        <f t="shared" si="41"/>
        <v>4323.2</v>
      </c>
      <c r="J103" s="169"/>
    </row>
    <row r="104" spans="1:10" s="1" customFormat="1" ht="15.75" thickBot="1">
      <c r="A104" s="15"/>
      <c r="B104" s="16"/>
      <c r="C104" s="16"/>
      <c r="D104" s="16"/>
      <c r="E104" s="138"/>
      <c r="F104" s="16"/>
      <c r="G104" s="20"/>
      <c r="H104" s="118">
        <f>SUM(H101:H103)</f>
        <v>456.738</v>
      </c>
      <c r="I104" s="169">
        <f>H104*E103</f>
        <v>18269.52</v>
      </c>
      <c r="J104" s="169"/>
    </row>
    <row r="105" spans="1:10">
      <c r="A105" s="11" t="s">
        <v>39</v>
      </c>
      <c r="B105" s="12" t="s">
        <v>24</v>
      </c>
      <c r="C105" s="12" t="s">
        <v>25</v>
      </c>
      <c r="D105" s="12">
        <v>1</v>
      </c>
      <c r="E105" s="136">
        <f>материалы!E197</f>
        <v>94</v>
      </c>
      <c r="F105" s="30">
        <f>D105/E105</f>
        <v>1.0638297872340425E-2</v>
      </c>
      <c r="G105" s="13">
        <f>497869*0.11</f>
        <v>54765.590000000004</v>
      </c>
      <c r="H105" s="116">
        <f>F105*G105</f>
        <v>582.61265957446813</v>
      </c>
      <c r="I105" s="169">
        <f>H105*E105</f>
        <v>54765.590000000004</v>
      </c>
      <c r="J105" s="169"/>
    </row>
    <row r="106" spans="1:10" s="1" customFormat="1">
      <c r="A106" s="14"/>
      <c r="B106" s="5" t="s">
        <v>27</v>
      </c>
      <c r="C106" s="5"/>
      <c r="D106" s="5">
        <v>7</v>
      </c>
      <c r="E106" s="166">
        <f>E105</f>
        <v>94</v>
      </c>
      <c r="F106" s="29">
        <f t="shared" ref="F106:F107" si="42">D106/E106</f>
        <v>7.4468085106382975E-2</v>
      </c>
      <c r="G106" s="6">
        <f>63250*0.11/7</f>
        <v>993.92857142857144</v>
      </c>
      <c r="H106" s="117">
        <f>F106*G106</f>
        <v>74.015957446808514</v>
      </c>
      <c r="I106" s="169">
        <f t="shared" ref="I106:I107" si="43">H106*E106</f>
        <v>6957.5</v>
      </c>
      <c r="J106" s="169">
        <f>646119*0.11</f>
        <v>71073.09</v>
      </c>
    </row>
    <row r="107" spans="1:10" s="1" customFormat="1">
      <c r="A107" s="14"/>
      <c r="B107" s="5" t="s">
        <v>59</v>
      </c>
      <c r="C107" s="10" t="s">
        <v>25</v>
      </c>
      <c r="D107" s="5">
        <v>1</v>
      </c>
      <c r="E107" s="166">
        <f>E105</f>
        <v>94</v>
      </c>
      <c r="F107" s="29">
        <f t="shared" si="42"/>
        <v>1.0638297872340425E-2</v>
      </c>
      <c r="G107" s="6">
        <f>85000*0.11</f>
        <v>9350</v>
      </c>
      <c r="H107" s="117">
        <f>F107*G107</f>
        <v>99.468085106382972</v>
      </c>
      <c r="I107" s="169">
        <f t="shared" si="43"/>
        <v>9350</v>
      </c>
      <c r="J107" s="169"/>
    </row>
    <row r="108" spans="1:10" s="1" customFormat="1" ht="15.75" thickBot="1">
      <c r="A108" s="15"/>
      <c r="B108" s="16"/>
      <c r="C108" s="16"/>
      <c r="D108" s="16"/>
      <c r="E108" s="138"/>
      <c r="F108" s="16"/>
      <c r="G108" s="20"/>
      <c r="H108" s="118">
        <f>SUM(H105:H107)</f>
        <v>756.09670212765968</v>
      </c>
      <c r="I108" s="169">
        <f>H108*E107</f>
        <v>71073.090000000011</v>
      </c>
      <c r="J108" s="169"/>
    </row>
    <row r="109" spans="1:10">
      <c r="A109" s="11" t="s">
        <v>40</v>
      </c>
      <c r="B109" s="12" t="s">
        <v>24</v>
      </c>
      <c r="C109" s="12" t="s">
        <v>25</v>
      </c>
      <c r="D109" s="12">
        <v>1</v>
      </c>
      <c r="E109" s="136">
        <f>материалы!E205</f>
        <v>96</v>
      </c>
      <c r="F109" s="30">
        <f>D109/E109</f>
        <v>1.0416666666666666E-2</v>
      </c>
      <c r="G109" s="13">
        <f>(257159+60183)*0.1</f>
        <v>31734.2</v>
      </c>
      <c r="H109" s="116">
        <f>F109*G109</f>
        <v>330.5645833333333</v>
      </c>
      <c r="I109" s="169">
        <f>H109*E109</f>
        <v>31734.199999999997</v>
      </c>
      <c r="J109" s="169"/>
    </row>
    <row r="110" spans="1:10" s="1" customFormat="1">
      <c r="A110" s="14"/>
      <c r="B110" s="5" t="s">
        <v>27</v>
      </c>
      <c r="C110" s="5"/>
      <c r="D110" s="5">
        <v>14</v>
      </c>
      <c r="E110" s="166">
        <f>E109</f>
        <v>96</v>
      </c>
      <c r="F110" s="29">
        <f t="shared" ref="F110:F111" si="44">D110/E110</f>
        <v>0.14583333333333334</v>
      </c>
      <c r="G110" s="6">
        <f>164780*0.1/14</f>
        <v>1177</v>
      </c>
      <c r="H110" s="117">
        <f>F110*G110</f>
        <v>171.64583333333334</v>
      </c>
      <c r="I110" s="169">
        <f t="shared" ref="I110:I111" si="45">H110*E110</f>
        <v>16478</v>
      </c>
      <c r="J110" s="169">
        <f>544882*0.1</f>
        <v>54488.200000000004</v>
      </c>
    </row>
    <row r="111" spans="1:10" s="1" customFormat="1">
      <c r="A111" s="14"/>
      <c r="B111" s="5" t="s">
        <v>59</v>
      </c>
      <c r="C111" s="10" t="s">
        <v>25</v>
      </c>
      <c r="D111" s="5">
        <v>1</v>
      </c>
      <c r="E111" s="166">
        <f>E109</f>
        <v>96</v>
      </c>
      <c r="F111" s="29">
        <f t="shared" si="44"/>
        <v>1.0416666666666666E-2</v>
      </c>
      <c r="G111" s="6">
        <f>62760*0.1</f>
        <v>6276</v>
      </c>
      <c r="H111" s="117">
        <f>F111*G111</f>
        <v>65.375</v>
      </c>
      <c r="I111" s="169">
        <f t="shared" si="45"/>
        <v>6276</v>
      </c>
      <c r="J111" s="169"/>
    </row>
    <row r="112" spans="1:10" s="1" customFormat="1" ht="15.75" thickBot="1">
      <c r="A112" s="15"/>
      <c r="B112" s="16"/>
      <c r="C112" s="16"/>
      <c r="D112" s="16"/>
      <c r="E112" s="138"/>
      <c r="F112" s="16"/>
      <c r="G112" s="20"/>
      <c r="H112" s="118">
        <f>SUM(H109:H111)</f>
        <v>567.58541666666667</v>
      </c>
      <c r="I112" s="169">
        <f>H112*E111</f>
        <v>54488.2</v>
      </c>
      <c r="J112" s="169"/>
    </row>
    <row r="113" spans="1:10">
      <c r="A113" s="11" t="s">
        <v>41</v>
      </c>
      <c r="B113" s="12" t="s">
        <v>24</v>
      </c>
      <c r="C113" s="12" t="s">
        <v>25</v>
      </c>
      <c r="D113" s="12">
        <v>1</v>
      </c>
      <c r="E113" s="136">
        <f>материалы!E216</f>
        <v>44</v>
      </c>
      <c r="F113" s="30">
        <f>D113/E113</f>
        <v>2.2727272727272728E-2</v>
      </c>
      <c r="G113" s="13">
        <f>(41665+175353)*0.08</f>
        <v>17361.439999999999</v>
      </c>
      <c r="H113" s="116">
        <f>F113*G113</f>
        <v>394.5781818181818</v>
      </c>
      <c r="I113" s="169">
        <f>H113*E113</f>
        <v>17361.439999999999</v>
      </c>
      <c r="J113" s="169"/>
    </row>
    <row r="114" spans="1:10" s="1" customFormat="1">
      <c r="A114" s="14"/>
      <c r="B114" s="5" t="s">
        <v>27</v>
      </c>
      <c r="C114" s="5"/>
      <c r="D114" s="5">
        <v>10</v>
      </c>
      <c r="E114" s="166">
        <f>E113</f>
        <v>44</v>
      </c>
      <c r="F114" s="29">
        <f t="shared" ref="F114:F115" si="46">D114/E114</f>
        <v>0.22727272727272727</v>
      </c>
      <c r="G114" s="6">
        <f>(68560)*0.08/10</f>
        <v>548.48</v>
      </c>
      <c r="H114" s="117">
        <f>F114*G114</f>
        <v>124.65454545454546</v>
      </c>
      <c r="I114" s="169">
        <f t="shared" ref="I114:I115" si="47">H114*E114</f>
        <v>5484.8</v>
      </c>
      <c r="J114" s="169">
        <f>368378*0.08</f>
        <v>29470.240000000002</v>
      </c>
    </row>
    <row r="115" spans="1:10" s="1" customFormat="1">
      <c r="A115" s="14"/>
      <c r="B115" s="5" t="s">
        <v>59</v>
      </c>
      <c r="C115" s="10" t="s">
        <v>25</v>
      </c>
      <c r="D115" s="5">
        <v>1</v>
      </c>
      <c r="E115" s="166">
        <f>E113</f>
        <v>44</v>
      </c>
      <c r="F115" s="29">
        <f t="shared" si="46"/>
        <v>2.2727272727272728E-2</v>
      </c>
      <c r="G115" s="6">
        <f>82800*0.08</f>
        <v>6624</v>
      </c>
      <c r="H115" s="117">
        <f>F115*G115</f>
        <v>150.54545454545456</v>
      </c>
      <c r="I115" s="169">
        <f t="shared" si="47"/>
        <v>6624.0000000000009</v>
      </c>
      <c r="J115" s="169"/>
    </row>
    <row r="116" spans="1:10" s="1" customFormat="1" ht="15.75" thickBot="1">
      <c r="A116" s="15"/>
      <c r="B116" s="16"/>
      <c r="C116" s="16"/>
      <c r="D116" s="16"/>
      <c r="E116" s="138"/>
      <c r="F116" s="16"/>
      <c r="G116" s="20"/>
      <c r="H116" s="118">
        <f>SUM(H113:H115)</f>
        <v>669.77818181818179</v>
      </c>
      <c r="I116" s="169">
        <f>H116*E115</f>
        <v>29470.239999999998</v>
      </c>
      <c r="J116" s="169"/>
    </row>
    <row r="117" spans="1:10" ht="15.75" thickBot="1">
      <c r="E117" s="163"/>
      <c r="H117" s="35"/>
    </row>
    <row r="118" spans="1:10">
      <c r="A118" s="11" t="s">
        <v>58</v>
      </c>
      <c r="B118" s="12" t="s">
        <v>24</v>
      </c>
      <c r="C118" s="12" t="s">
        <v>25</v>
      </c>
      <c r="D118" s="12">
        <v>1</v>
      </c>
      <c r="E118" s="136">
        <f>материалы!E228</f>
        <v>116</v>
      </c>
      <c r="F118" s="30">
        <f>D118/E118</f>
        <v>8.6206896551724137E-3</v>
      </c>
      <c r="G118" s="13">
        <f>716881*0.13</f>
        <v>93194.53</v>
      </c>
      <c r="H118" s="116">
        <f>F118*G118</f>
        <v>803.40112068965516</v>
      </c>
      <c r="I118" s="169">
        <f>H118*E118</f>
        <v>93194.53</v>
      </c>
      <c r="J118" s="169"/>
    </row>
    <row r="119" spans="1:10" s="1" customFormat="1">
      <c r="A119" s="14"/>
      <c r="B119" s="5" t="s">
        <v>27</v>
      </c>
      <c r="C119" s="5"/>
      <c r="D119" s="5">
        <v>12</v>
      </c>
      <c r="E119" s="166">
        <f>E118</f>
        <v>116</v>
      </c>
      <c r="F119" s="29">
        <f t="shared" ref="F119:F120" si="48">D119/E119</f>
        <v>0.10344827586206896</v>
      </c>
      <c r="G119" s="6">
        <f>91460*0.13/12</f>
        <v>990.81666666666672</v>
      </c>
      <c r="H119" s="117">
        <f>F119*G119</f>
        <v>102.49827586206897</v>
      </c>
      <c r="I119" s="169">
        <f t="shared" ref="I119:I120" si="49">H119*E119</f>
        <v>11889.8</v>
      </c>
      <c r="J119" s="169">
        <f>917351*0.13</f>
        <v>119255.63</v>
      </c>
    </row>
    <row r="120" spans="1:10" s="1" customFormat="1">
      <c r="A120" s="14"/>
      <c r="B120" s="5" t="s">
        <v>59</v>
      </c>
      <c r="C120" s="10" t="s">
        <v>25</v>
      </c>
      <c r="D120" s="5">
        <v>1</v>
      </c>
      <c r="E120" s="166">
        <f>E118</f>
        <v>116</v>
      </c>
      <c r="F120" s="29">
        <f t="shared" si="48"/>
        <v>8.6206896551724137E-3</v>
      </c>
      <c r="G120" s="6">
        <f>109010*0.13</f>
        <v>14171.300000000001</v>
      </c>
      <c r="H120" s="117">
        <f>F120*G120</f>
        <v>122.16637931034484</v>
      </c>
      <c r="I120" s="169">
        <f t="shared" si="49"/>
        <v>14171.300000000001</v>
      </c>
      <c r="J120" s="169"/>
    </row>
    <row r="121" spans="1:10" s="1" customFormat="1" ht="15.75" thickBot="1">
      <c r="A121" s="15"/>
      <c r="B121" s="16"/>
      <c r="C121" s="16"/>
      <c r="D121" s="16"/>
      <c r="E121" s="138"/>
      <c r="F121" s="16"/>
      <c r="G121" s="20"/>
      <c r="H121" s="118">
        <f>SUM(H118:H120)</f>
        <v>1028.0657758620689</v>
      </c>
      <c r="I121" s="169">
        <f>H121*E120</f>
        <v>119255.62999999999</v>
      </c>
      <c r="J121" s="169"/>
    </row>
    <row r="122" spans="1:10" ht="15.75" thickBot="1">
      <c r="E122" s="163"/>
      <c r="H122" s="35"/>
    </row>
    <row r="123" spans="1:10">
      <c r="A123" s="11" t="s">
        <v>38</v>
      </c>
      <c r="B123" s="12" t="s">
        <v>24</v>
      </c>
      <c r="C123" s="12" t="s">
        <v>25</v>
      </c>
      <c r="D123" s="12">
        <v>1</v>
      </c>
      <c r="E123" s="136">
        <f>материалы!E237</f>
        <v>34</v>
      </c>
      <c r="F123" s="30">
        <f>D123/E123</f>
        <v>2.9411764705882353E-2</v>
      </c>
      <c r="G123" s="13">
        <f>(12881+53648)*0.13</f>
        <v>8648.77</v>
      </c>
      <c r="H123" s="116">
        <f>F123*G123</f>
        <v>254.37558823529412</v>
      </c>
      <c r="I123" s="169">
        <f>H123*E123</f>
        <v>8648.77</v>
      </c>
      <c r="J123" s="169"/>
    </row>
    <row r="124" spans="1:10" s="1" customFormat="1">
      <c r="A124" s="14"/>
      <c r="B124" s="5" t="s">
        <v>27</v>
      </c>
      <c r="C124" s="5"/>
      <c r="D124" s="5">
        <v>3</v>
      </c>
      <c r="E124" s="166">
        <f>E123</f>
        <v>34</v>
      </c>
      <c r="F124" s="29">
        <f t="shared" ref="F124:F125" si="50">D124/E124</f>
        <v>8.8235294117647065E-2</v>
      </c>
      <c r="G124" s="6">
        <f>13000*0.13/3</f>
        <v>563.33333333333337</v>
      </c>
      <c r="H124" s="117">
        <f>F124*G124</f>
        <v>49.705882352941181</v>
      </c>
      <c r="I124" s="169">
        <f t="shared" ref="I124:I125" si="51">H124*E124</f>
        <v>1690.0000000000002</v>
      </c>
      <c r="J124" s="169">
        <f>126749*0.13</f>
        <v>16477.37</v>
      </c>
    </row>
    <row r="125" spans="1:10" s="1" customFormat="1">
      <c r="A125" s="14"/>
      <c r="B125" s="5" t="s">
        <v>59</v>
      </c>
      <c r="C125" s="10" t="s">
        <v>25</v>
      </c>
      <c r="D125" s="5">
        <v>1</v>
      </c>
      <c r="E125" s="166">
        <f>E123</f>
        <v>34</v>
      </c>
      <c r="F125" s="29">
        <f t="shared" si="50"/>
        <v>2.9411764705882353E-2</v>
      </c>
      <c r="G125" s="6">
        <f>47220*0.13</f>
        <v>6138.6</v>
      </c>
      <c r="H125" s="117">
        <f>F125*G125</f>
        <v>180.54705882352943</v>
      </c>
      <c r="I125" s="169">
        <f t="shared" si="51"/>
        <v>6138.6</v>
      </c>
      <c r="J125" s="169"/>
    </row>
    <row r="126" spans="1:10" s="1" customFormat="1" ht="15.75" thickBot="1">
      <c r="A126" s="15"/>
      <c r="B126" s="16"/>
      <c r="C126" s="16"/>
      <c r="D126" s="16"/>
      <c r="E126" s="138"/>
      <c r="F126" s="16"/>
      <c r="G126" s="20"/>
      <c r="H126" s="118">
        <f>SUM(H123:H125)</f>
        <v>484.6285294117647</v>
      </c>
      <c r="I126" s="169">
        <f>H126*E125</f>
        <v>16477.37</v>
      </c>
      <c r="J126" s="169"/>
    </row>
    <row r="127" spans="1:10">
      <c r="A127" s="11" t="s">
        <v>42</v>
      </c>
      <c r="B127" s="12" t="s">
        <v>24</v>
      </c>
      <c r="C127" s="12" t="s">
        <v>25</v>
      </c>
      <c r="D127" s="12"/>
      <c r="E127" s="136"/>
      <c r="F127" s="30"/>
      <c r="G127" s="13"/>
      <c r="H127" s="116">
        <f>F127*G127</f>
        <v>0</v>
      </c>
      <c r="I127" s="169">
        <v>0</v>
      </c>
      <c r="J127" s="169"/>
    </row>
    <row r="128" spans="1:10" s="1" customFormat="1">
      <c r="A128" s="14"/>
      <c r="B128" s="5" t="s">
        <v>27</v>
      </c>
      <c r="C128" s="5"/>
      <c r="D128" s="5"/>
      <c r="E128" s="166"/>
      <c r="F128" s="29"/>
      <c r="G128" s="6"/>
      <c r="H128" s="117">
        <f>F128*G128</f>
        <v>0</v>
      </c>
      <c r="I128" s="169">
        <v>0</v>
      </c>
      <c r="J128" s="169">
        <v>0</v>
      </c>
    </row>
    <row r="129" spans="1:13" s="1" customFormat="1">
      <c r="A129" s="14"/>
      <c r="B129" s="5" t="s">
        <v>59</v>
      </c>
      <c r="C129" s="10" t="s">
        <v>25</v>
      </c>
      <c r="D129" s="5"/>
      <c r="E129" s="166"/>
      <c r="F129" s="29"/>
      <c r="G129" s="6"/>
      <c r="H129" s="117">
        <f>F129*G129</f>
        <v>0</v>
      </c>
      <c r="I129" s="169">
        <v>0</v>
      </c>
      <c r="J129" s="169"/>
    </row>
    <row r="130" spans="1:13" s="1" customFormat="1" ht="15.75" thickBot="1">
      <c r="A130" s="15"/>
      <c r="B130" s="16"/>
      <c r="C130" s="16"/>
      <c r="D130" s="16"/>
      <c r="E130" s="16"/>
      <c r="F130" s="16"/>
      <c r="G130" s="20"/>
      <c r="H130" s="121">
        <f>SUM(H127:H129)</f>
        <v>0</v>
      </c>
      <c r="I130" s="169">
        <v>0</v>
      </c>
      <c r="J130" s="169"/>
    </row>
    <row r="132" spans="1:13" outlineLevel="1">
      <c r="H132" s="1">
        <v>1</v>
      </c>
      <c r="I132" s="140">
        <f>I10+I53+I96</f>
        <v>285367</v>
      </c>
      <c r="J132" s="140">
        <f>J8+J51+J94</f>
        <v>285367</v>
      </c>
      <c r="K132" s="140">
        <f>J132-I132</f>
        <v>0</v>
      </c>
      <c r="L132" s="163">
        <v>285367</v>
      </c>
      <c r="M132" s="3"/>
    </row>
    <row r="133" spans="1:13" outlineLevel="1">
      <c r="H133" s="1">
        <v>2</v>
      </c>
      <c r="I133" s="140">
        <f>I14+I57+I100</f>
        <v>273335</v>
      </c>
      <c r="J133" s="140">
        <f>J12+J55+J98</f>
        <v>273335</v>
      </c>
      <c r="K133" s="140">
        <f t="shared" ref="K133:K140" si="52">J133-I133</f>
        <v>0</v>
      </c>
      <c r="L133" s="163">
        <v>273335</v>
      </c>
      <c r="M133" s="3"/>
    </row>
    <row r="134" spans="1:13" outlineLevel="1">
      <c r="H134" s="1">
        <v>3</v>
      </c>
      <c r="I134" s="140">
        <f>I104+I61+I18</f>
        <v>228369</v>
      </c>
      <c r="J134" s="140">
        <f>J16+J59+J102</f>
        <v>228368.99999999997</v>
      </c>
      <c r="K134" s="140">
        <f t="shared" si="52"/>
        <v>0</v>
      </c>
      <c r="L134" s="163">
        <v>228369</v>
      </c>
      <c r="M134" s="3"/>
    </row>
    <row r="135" spans="1:13" outlineLevel="1">
      <c r="H135" s="1">
        <v>7</v>
      </c>
      <c r="I135" s="140">
        <f>I108+I65+I22</f>
        <v>646119</v>
      </c>
      <c r="J135" s="140">
        <f>J106+J63+J20</f>
        <v>646119</v>
      </c>
      <c r="K135" s="140">
        <f t="shared" si="52"/>
        <v>0</v>
      </c>
      <c r="L135" s="163">
        <v>646119</v>
      </c>
      <c r="M135" s="3"/>
    </row>
    <row r="136" spans="1:13" outlineLevel="1">
      <c r="H136" s="1">
        <v>9</v>
      </c>
      <c r="I136" s="140">
        <f>I112+I69+I26</f>
        <v>544882</v>
      </c>
      <c r="J136" s="140">
        <f>J110+J67+J24</f>
        <v>544882</v>
      </c>
      <c r="K136" s="140">
        <f t="shared" si="52"/>
        <v>0</v>
      </c>
      <c r="L136" s="163">
        <v>544882</v>
      </c>
      <c r="M136" s="3"/>
    </row>
    <row r="137" spans="1:13" outlineLevel="1">
      <c r="H137" s="1">
        <v>14</v>
      </c>
      <c r="I137" s="140">
        <f>I116+I73+I30</f>
        <v>368378</v>
      </c>
      <c r="J137" s="140">
        <f>J114+J71+J28</f>
        <v>368378</v>
      </c>
      <c r="K137" s="140">
        <f t="shared" si="52"/>
        <v>0</v>
      </c>
      <c r="L137" s="163">
        <v>368378</v>
      </c>
      <c r="M137" s="3"/>
    </row>
    <row r="138" spans="1:13" outlineLevel="1">
      <c r="H138" s="1">
        <v>8</v>
      </c>
      <c r="I138" s="140">
        <f>I121+I78+I35</f>
        <v>917351</v>
      </c>
      <c r="J138" s="140">
        <f>J119+J76+J33</f>
        <v>917351</v>
      </c>
      <c r="K138" s="140">
        <f t="shared" si="52"/>
        <v>0</v>
      </c>
      <c r="L138" s="163">
        <v>917351</v>
      </c>
      <c r="M138" s="3"/>
    </row>
    <row r="139" spans="1:13" outlineLevel="1">
      <c r="H139" s="1">
        <v>4</v>
      </c>
      <c r="I139" s="140">
        <f>I126+I83+I40</f>
        <v>126749</v>
      </c>
      <c r="J139" s="140">
        <f>J124+J81+J38</f>
        <v>126749</v>
      </c>
      <c r="K139" s="140">
        <f t="shared" si="52"/>
        <v>0</v>
      </c>
      <c r="L139" s="163">
        <v>126749</v>
      </c>
      <c r="M139" s="3"/>
    </row>
    <row r="140" spans="1:13" outlineLevel="1">
      <c r="H140" s="1">
        <v>11</v>
      </c>
      <c r="I140" s="140">
        <f>I130+I87+I44</f>
        <v>166150</v>
      </c>
      <c r="J140" s="140">
        <f>J128+J85+J42</f>
        <v>166150</v>
      </c>
      <c r="K140" s="140">
        <f t="shared" si="52"/>
        <v>0</v>
      </c>
      <c r="L140" s="163">
        <v>166150</v>
      </c>
      <c r="M140" s="3"/>
    </row>
    <row r="141" spans="1:13" outlineLevel="1">
      <c r="I141" s="140">
        <f>SUM(I132:I140)</f>
        <v>3556700</v>
      </c>
      <c r="J141" s="140">
        <f t="shared" ref="J141:L141" si="53">SUM(J132:J140)</f>
        <v>3556700</v>
      </c>
      <c r="K141" s="3">
        <f t="shared" si="53"/>
        <v>0</v>
      </c>
      <c r="L141" s="3">
        <f t="shared" si="53"/>
        <v>3556700</v>
      </c>
      <c r="M141" s="3"/>
    </row>
    <row r="142" spans="1:13" outlineLevel="1">
      <c r="I142" s="140"/>
      <c r="J142" s="140"/>
      <c r="K142" s="3"/>
      <c r="L142" s="3"/>
      <c r="M142" s="3"/>
    </row>
    <row r="143" spans="1:13" outlineLevel="1">
      <c r="I143" s="140"/>
      <c r="J143" s="140"/>
      <c r="K143" s="3"/>
      <c r="L143" s="3"/>
      <c r="M143" s="3"/>
    </row>
    <row r="144" spans="1:13" outlineLevel="1">
      <c r="I144" s="140"/>
      <c r="J144" s="140"/>
      <c r="K144" s="3"/>
      <c r="L144" s="3"/>
      <c r="M144" s="3"/>
    </row>
    <row r="145" spans="1:20" outlineLevel="1">
      <c r="I145" s="140"/>
      <c r="J145" s="140"/>
      <c r="K145" s="3"/>
      <c r="L145" s="3"/>
      <c r="M145" s="3"/>
    </row>
    <row r="146" spans="1:20" outlineLevel="1">
      <c r="I146" s="140"/>
      <c r="J146" s="140"/>
      <c r="K146" s="3"/>
      <c r="L146" s="3"/>
      <c r="M146" s="3"/>
    </row>
    <row r="147" spans="1:20" outlineLevel="1">
      <c r="I147" s="140"/>
      <c r="J147" s="140"/>
      <c r="K147" s="3"/>
      <c r="L147" s="3"/>
      <c r="M147" s="3"/>
    </row>
    <row r="148" spans="1:20" outlineLevel="1">
      <c r="I148" s="140"/>
      <c r="J148" s="140"/>
      <c r="K148" s="3"/>
      <c r="L148" s="3"/>
      <c r="M148" s="3"/>
    </row>
    <row r="149" spans="1:20" outlineLevel="1">
      <c r="I149" s="140"/>
      <c r="J149" s="140"/>
      <c r="K149" s="3"/>
      <c r="L149" s="3"/>
      <c r="M149" s="3"/>
    </row>
    <row r="150" spans="1:20" outlineLevel="1">
      <c r="I150" s="140"/>
      <c r="J150" s="140"/>
      <c r="K150" s="3"/>
      <c r="L150" s="3"/>
      <c r="M150" s="3"/>
    </row>
    <row r="151" spans="1:20" outlineLevel="1">
      <c r="I151" s="140"/>
      <c r="J151" s="140"/>
      <c r="K151" s="3"/>
      <c r="L151" s="3"/>
      <c r="M151" s="3"/>
    </row>
    <row r="152" spans="1:20" ht="17.25" customHeight="1">
      <c r="A152" s="31" t="s">
        <v>48</v>
      </c>
      <c r="H152"/>
      <c r="S152" s="1"/>
      <c r="T152" s="1"/>
    </row>
    <row r="153" spans="1:20" ht="15.75" thickBot="1">
      <c r="A153" t="s">
        <v>69</v>
      </c>
      <c r="G153" s="50" t="s">
        <v>31</v>
      </c>
    </row>
    <row r="154" spans="1:20" ht="45">
      <c r="A154" s="21" t="s">
        <v>3</v>
      </c>
      <c r="B154" s="22" t="s">
        <v>22</v>
      </c>
      <c r="C154" s="22" t="s">
        <v>18</v>
      </c>
      <c r="D154" s="22" t="s">
        <v>23</v>
      </c>
      <c r="E154" s="22" t="s">
        <v>53</v>
      </c>
      <c r="F154" s="22" t="s">
        <v>54</v>
      </c>
      <c r="G154" s="22" t="s">
        <v>26</v>
      </c>
      <c r="H154" s="23" t="s">
        <v>10</v>
      </c>
      <c r="I154" s="168"/>
      <c r="J154" s="168"/>
      <c r="K154" s="2"/>
    </row>
    <row r="155" spans="1:20" ht="15.75" thickBot="1">
      <c r="A155" s="36">
        <v>1</v>
      </c>
      <c r="B155" s="9">
        <v>2</v>
      </c>
      <c r="C155" s="9">
        <v>3</v>
      </c>
      <c r="D155" s="9">
        <v>4</v>
      </c>
      <c r="E155" s="9">
        <v>5</v>
      </c>
      <c r="F155" s="9" t="s">
        <v>17</v>
      </c>
      <c r="G155" s="26">
        <v>7</v>
      </c>
      <c r="H155" s="37" t="s">
        <v>72</v>
      </c>
    </row>
    <row r="156" spans="1:20">
      <c r="A156" s="11" t="s">
        <v>35</v>
      </c>
      <c r="B156" s="12" t="s">
        <v>57</v>
      </c>
      <c r="C156" s="12" t="s">
        <v>25</v>
      </c>
      <c r="D156" s="12">
        <v>1</v>
      </c>
      <c r="E156" s="136">
        <v>24</v>
      </c>
      <c r="F156" s="28">
        <f>D156/E156</f>
        <v>4.1666666666666664E-2</v>
      </c>
      <c r="G156" s="154">
        <f>1412900*0.28</f>
        <v>395612.00000000006</v>
      </c>
      <c r="H156" s="95">
        <f t="shared" ref="H156:H165" si="54">F156*G156</f>
        <v>16483.833333333336</v>
      </c>
      <c r="I156" s="169">
        <f>H156*E156</f>
        <v>395612.00000000006</v>
      </c>
      <c r="J156" s="169"/>
      <c r="K156" s="157">
        <f>E156/E201*100</f>
        <v>27.586206896551722</v>
      </c>
    </row>
    <row r="157" spans="1:20">
      <c r="A157" s="14" t="s">
        <v>36</v>
      </c>
      <c r="B157" s="5" t="s">
        <v>57</v>
      </c>
      <c r="C157" s="5" t="s">
        <v>25</v>
      </c>
      <c r="D157" s="5">
        <v>1</v>
      </c>
      <c r="E157" s="137">
        <v>17</v>
      </c>
      <c r="F157" s="29">
        <f t="shared" ref="F157:F165" si="55">D157/E157</f>
        <v>5.8823529411764705E-2</v>
      </c>
      <c r="G157" s="158">
        <f>1908800*0.15</f>
        <v>286320</v>
      </c>
      <c r="H157" s="96">
        <f t="shared" si="54"/>
        <v>16842.352941176472</v>
      </c>
      <c r="I157" s="169">
        <f t="shared" ref="I157:I165" si="56">H157*E157</f>
        <v>286320</v>
      </c>
      <c r="K157" s="157">
        <f>E157/E202*100</f>
        <v>15.178571428571427</v>
      </c>
    </row>
    <row r="158" spans="1:20">
      <c r="A158" s="14" t="s">
        <v>37</v>
      </c>
      <c r="B158" s="5" t="s">
        <v>57</v>
      </c>
      <c r="C158" s="5" t="s">
        <v>25</v>
      </c>
      <c r="D158" s="5">
        <v>1</v>
      </c>
      <c r="E158" s="137">
        <v>29</v>
      </c>
      <c r="F158" s="29">
        <f t="shared" si="55"/>
        <v>3.4482758620689655E-2</v>
      </c>
      <c r="G158" s="158">
        <f>1657700*0.19</f>
        <v>314963</v>
      </c>
      <c r="H158" s="96">
        <f t="shared" si="54"/>
        <v>10860.793103448275</v>
      </c>
      <c r="I158" s="169">
        <f t="shared" si="56"/>
        <v>314963</v>
      </c>
      <c r="K158" s="157">
        <f>E158/E203*100</f>
        <v>18.70967741935484</v>
      </c>
    </row>
    <row r="159" spans="1:20">
      <c r="A159" s="14" t="s">
        <v>40</v>
      </c>
      <c r="B159" s="5" t="s">
        <v>57</v>
      </c>
      <c r="C159" s="5" t="s">
        <v>25</v>
      </c>
      <c r="D159" s="5">
        <v>1</v>
      </c>
      <c r="E159" s="137">
        <v>4</v>
      </c>
      <c r="F159" s="29">
        <f t="shared" si="55"/>
        <v>0.25</v>
      </c>
      <c r="G159" s="158">
        <f>1361500*0.04</f>
        <v>54460</v>
      </c>
      <c r="H159" s="96">
        <f t="shared" si="54"/>
        <v>13615</v>
      </c>
      <c r="I159" s="169">
        <f t="shared" si="56"/>
        <v>54460</v>
      </c>
      <c r="K159" s="157">
        <f>E159/E204*100</f>
        <v>3.7037037037037033</v>
      </c>
    </row>
    <row r="160" spans="1:20">
      <c r="A160" s="82" t="s">
        <v>41</v>
      </c>
      <c r="B160" s="83" t="s">
        <v>57</v>
      </c>
      <c r="C160" s="83" t="s">
        <v>25</v>
      </c>
      <c r="D160" s="83">
        <v>1</v>
      </c>
      <c r="E160" s="155">
        <v>12</v>
      </c>
      <c r="F160" s="84">
        <f t="shared" si="55"/>
        <v>8.3333333333333329E-2</v>
      </c>
      <c r="G160" s="159">
        <f>1040200*0.16</f>
        <v>166432</v>
      </c>
      <c r="H160" s="122">
        <f t="shared" si="54"/>
        <v>13869.333333333332</v>
      </c>
      <c r="I160" s="169">
        <f t="shared" si="56"/>
        <v>166432</v>
      </c>
      <c r="K160" s="157">
        <f>E160/E205*100</f>
        <v>16.43835616438356</v>
      </c>
    </row>
    <row r="161" spans="1:20">
      <c r="A161" s="88" t="s">
        <v>39</v>
      </c>
      <c r="B161" s="5" t="s">
        <v>57</v>
      </c>
      <c r="C161" s="5" t="s">
        <v>25</v>
      </c>
      <c r="D161" s="5">
        <v>1</v>
      </c>
      <c r="E161" s="137">
        <v>39</v>
      </c>
      <c r="F161" s="29">
        <f>D161/E161</f>
        <v>2.564102564102564E-2</v>
      </c>
      <c r="G161" s="158">
        <f>2368600*0.21</f>
        <v>497406</v>
      </c>
      <c r="H161" s="123">
        <f t="shared" si="54"/>
        <v>12754</v>
      </c>
      <c r="I161" s="169">
        <f t="shared" si="56"/>
        <v>497406</v>
      </c>
      <c r="K161" s="157">
        <f>E161/E206*100</f>
        <v>21.546961325966851</v>
      </c>
    </row>
    <row r="162" spans="1:20" ht="15.75" thickBot="1">
      <c r="A162" s="85" t="s">
        <v>58</v>
      </c>
      <c r="B162" s="86" t="s">
        <v>57</v>
      </c>
      <c r="C162" s="86" t="s">
        <v>25</v>
      </c>
      <c r="D162" s="86">
        <v>1</v>
      </c>
      <c r="E162" s="156">
        <v>3</v>
      </c>
      <c r="F162" s="87">
        <f t="shared" si="55"/>
        <v>0.33333333333333331</v>
      </c>
      <c r="G162" s="160">
        <f>1274900*0.03</f>
        <v>38247</v>
      </c>
      <c r="H162" s="124">
        <f t="shared" si="54"/>
        <v>12749</v>
      </c>
      <c r="I162" s="169">
        <f t="shared" si="56"/>
        <v>38247</v>
      </c>
      <c r="K162" s="157">
        <f>E162/E207*100</f>
        <v>2.8846153846153846</v>
      </c>
    </row>
    <row r="163" spans="1:20" ht="15.75" thickBot="1">
      <c r="A163" s="61"/>
      <c r="B163" s="32"/>
      <c r="C163" s="32"/>
      <c r="D163" s="32"/>
      <c r="E163" s="139"/>
      <c r="F163" s="49"/>
      <c r="G163" s="101"/>
      <c r="H163" s="125"/>
      <c r="I163" s="169">
        <f t="shared" si="56"/>
        <v>0</v>
      </c>
      <c r="K163" s="157">
        <f>E163/E208*100</f>
        <v>0</v>
      </c>
    </row>
    <row r="164" spans="1:20">
      <c r="A164" s="11" t="s">
        <v>38</v>
      </c>
      <c r="B164" s="12" t="s">
        <v>57</v>
      </c>
      <c r="C164" s="12" t="s">
        <v>25</v>
      </c>
      <c r="D164" s="12">
        <v>1</v>
      </c>
      <c r="E164" s="136">
        <v>7</v>
      </c>
      <c r="F164" s="28">
        <f t="shared" si="55"/>
        <v>0.14285714285714285</v>
      </c>
      <c r="G164" s="154">
        <f>601200*0.21</f>
        <v>126252</v>
      </c>
      <c r="H164" s="95">
        <f t="shared" si="54"/>
        <v>18036</v>
      </c>
      <c r="I164" s="169">
        <f t="shared" si="56"/>
        <v>126252</v>
      </c>
      <c r="K164" s="157">
        <f>E164/E208*100</f>
        <v>21.212121212121211</v>
      </c>
    </row>
    <row r="165" spans="1:20" ht="15.75" thickBot="1">
      <c r="A165" s="15" t="s">
        <v>42</v>
      </c>
      <c r="B165" s="16" t="s">
        <v>57</v>
      </c>
      <c r="C165" s="16" t="s">
        <v>25</v>
      </c>
      <c r="D165" s="16">
        <v>1</v>
      </c>
      <c r="E165" s="138">
        <v>3</v>
      </c>
      <c r="F165" s="38">
        <f t="shared" si="55"/>
        <v>0.33333333333333331</v>
      </c>
      <c r="G165" s="161">
        <f>513500*0.08</f>
        <v>41080</v>
      </c>
      <c r="H165" s="97">
        <f t="shared" si="54"/>
        <v>13693.333333333332</v>
      </c>
      <c r="I165" s="169">
        <f t="shared" si="56"/>
        <v>41080</v>
      </c>
      <c r="K165" s="157">
        <f>E165/E209*100</f>
        <v>7.8947368421052628</v>
      </c>
    </row>
    <row r="166" spans="1:20">
      <c r="E166" s="1">
        <f>SUM(E156:E165)</f>
        <v>138</v>
      </c>
    </row>
    <row r="167" spans="1:20" ht="17.25" customHeight="1">
      <c r="A167" s="31" t="s">
        <v>48</v>
      </c>
      <c r="H167"/>
      <c r="S167" s="1"/>
      <c r="T167" s="1"/>
    </row>
    <row r="168" spans="1:20" ht="15.75" thickBot="1">
      <c r="A168" t="s">
        <v>70</v>
      </c>
      <c r="G168" s="50" t="s">
        <v>31</v>
      </c>
    </row>
    <row r="169" spans="1:20" ht="45">
      <c r="A169" s="21" t="s">
        <v>3</v>
      </c>
      <c r="B169" s="22" t="s">
        <v>22</v>
      </c>
      <c r="C169" s="22" t="s">
        <v>18</v>
      </c>
      <c r="D169" s="22" t="s">
        <v>23</v>
      </c>
      <c r="E169" s="22" t="s">
        <v>53</v>
      </c>
      <c r="F169" s="22" t="s">
        <v>54</v>
      </c>
      <c r="G169" s="22" t="s">
        <v>26</v>
      </c>
      <c r="H169" s="23" t="s">
        <v>10</v>
      </c>
      <c r="I169" s="168"/>
      <c r="J169" s="168"/>
      <c r="K169" s="2"/>
    </row>
    <row r="170" spans="1:20" ht="15.75" thickBot="1">
      <c r="A170" s="36">
        <v>1</v>
      </c>
      <c r="B170" s="9">
        <v>2</v>
      </c>
      <c r="C170" s="9">
        <v>3</v>
      </c>
      <c r="D170" s="9">
        <v>4</v>
      </c>
      <c r="E170" s="9">
        <v>5</v>
      </c>
      <c r="F170" s="9" t="s">
        <v>17</v>
      </c>
      <c r="G170" s="8">
        <v>8</v>
      </c>
      <c r="H170" s="37" t="s">
        <v>19</v>
      </c>
    </row>
    <row r="171" spans="1:20">
      <c r="A171" s="11" t="s">
        <v>35</v>
      </c>
      <c r="B171" s="12" t="s">
        <v>57</v>
      </c>
      <c r="C171" s="12" t="s">
        <v>25</v>
      </c>
      <c r="D171" s="12">
        <v>1</v>
      </c>
      <c r="E171" s="136">
        <v>58</v>
      </c>
      <c r="F171" s="28">
        <f>D171/E171</f>
        <v>1.7241379310344827E-2</v>
      </c>
      <c r="G171" s="154">
        <f>1412900*0.67</f>
        <v>946643</v>
      </c>
      <c r="H171" s="95">
        <f>F171*G171</f>
        <v>16321.431034482759</v>
      </c>
      <c r="I171" s="169">
        <f>H171*E171</f>
        <v>946643</v>
      </c>
      <c r="J171" s="169"/>
      <c r="K171" s="157">
        <f>E171/E201*100</f>
        <v>66.666666666666657</v>
      </c>
    </row>
    <row r="172" spans="1:20">
      <c r="A172" s="14" t="s">
        <v>36</v>
      </c>
      <c r="B172" s="5" t="s">
        <v>57</v>
      </c>
      <c r="C172" s="5" t="s">
        <v>25</v>
      </c>
      <c r="D172" s="5">
        <v>1</v>
      </c>
      <c r="E172" s="137">
        <v>85</v>
      </c>
      <c r="F172" s="29">
        <f t="shared" ref="F172:F175" si="57">D172/E172</f>
        <v>1.1764705882352941E-2</v>
      </c>
      <c r="G172" s="158">
        <f>1908800*0.76</f>
        <v>1450688</v>
      </c>
      <c r="H172" s="96">
        <f t="shared" ref="H172:H175" si="58">F172*G172</f>
        <v>17066.917647058825</v>
      </c>
      <c r="I172" s="169">
        <f t="shared" ref="I172:I180" si="59">H172*E172</f>
        <v>1450688</v>
      </c>
      <c r="K172" s="157">
        <f>E172/E202*100</f>
        <v>75.892857142857139</v>
      </c>
    </row>
    <row r="173" spans="1:20">
      <c r="A173" s="14" t="s">
        <v>37</v>
      </c>
      <c r="B173" s="5" t="s">
        <v>57</v>
      </c>
      <c r="C173" s="5" t="s">
        <v>25</v>
      </c>
      <c r="D173" s="5">
        <v>1</v>
      </c>
      <c r="E173" s="137">
        <v>121</v>
      </c>
      <c r="F173" s="29">
        <f t="shared" si="57"/>
        <v>8.2644628099173556E-3</v>
      </c>
      <c r="G173" s="158">
        <f>1657700*0.78</f>
        <v>1293006</v>
      </c>
      <c r="H173" s="96">
        <f t="shared" si="58"/>
        <v>10686</v>
      </c>
      <c r="I173" s="169">
        <f t="shared" si="59"/>
        <v>1293006</v>
      </c>
      <c r="K173" s="157">
        <f>E173/E203*100</f>
        <v>78.064516129032256</v>
      </c>
    </row>
    <row r="174" spans="1:20">
      <c r="A174" s="14" t="s">
        <v>40</v>
      </c>
      <c r="B174" s="5" t="s">
        <v>57</v>
      </c>
      <c r="C174" s="5" t="s">
        <v>25</v>
      </c>
      <c r="D174" s="5">
        <v>1</v>
      </c>
      <c r="E174" s="137">
        <v>92</v>
      </c>
      <c r="F174" s="29">
        <f t="shared" si="57"/>
        <v>1.0869565217391304E-2</v>
      </c>
      <c r="G174" s="158">
        <f>1361500*0.85</f>
        <v>1157275</v>
      </c>
      <c r="H174" s="96">
        <f t="shared" si="58"/>
        <v>12579.076086956522</v>
      </c>
      <c r="I174" s="169">
        <f t="shared" si="59"/>
        <v>1157275</v>
      </c>
      <c r="K174" s="157">
        <f>E174/E204*100</f>
        <v>85.18518518518519</v>
      </c>
    </row>
    <row r="175" spans="1:20">
      <c r="A175" s="82" t="s">
        <v>41</v>
      </c>
      <c r="B175" s="83" t="s">
        <v>57</v>
      </c>
      <c r="C175" s="83" t="s">
        <v>25</v>
      </c>
      <c r="D175" s="83">
        <v>1</v>
      </c>
      <c r="E175" s="155">
        <v>57</v>
      </c>
      <c r="F175" s="84">
        <f t="shared" si="57"/>
        <v>1.7543859649122806E-2</v>
      </c>
      <c r="G175" s="159">
        <f>1040200*0.78</f>
        <v>811356</v>
      </c>
      <c r="H175" s="122">
        <f t="shared" si="58"/>
        <v>14234.315789473683</v>
      </c>
      <c r="I175" s="169">
        <f t="shared" si="59"/>
        <v>811356</v>
      </c>
      <c r="K175" s="157">
        <f>E175/E205*100</f>
        <v>78.082191780821915</v>
      </c>
    </row>
    <row r="176" spans="1:20">
      <c r="A176" s="88" t="s">
        <v>39</v>
      </c>
      <c r="B176" s="5" t="s">
        <v>57</v>
      </c>
      <c r="C176" s="5" t="s">
        <v>25</v>
      </c>
      <c r="D176" s="5">
        <v>1</v>
      </c>
      <c r="E176" s="137">
        <v>130</v>
      </c>
      <c r="F176" s="29">
        <f>D176/E176</f>
        <v>7.6923076923076927E-3</v>
      </c>
      <c r="G176" s="158">
        <f>2368600*0.72</f>
        <v>1705392</v>
      </c>
      <c r="H176" s="123">
        <f>F176*G176</f>
        <v>13118.400000000001</v>
      </c>
      <c r="I176" s="169">
        <f t="shared" si="59"/>
        <v>1705392.0000000002</v>
      </c>
      <c r="K176" s="157">
        <f>E176/E206*100</f>
        <v>71.823204419889507</v>
      </c>
    </row>
    <row r="177" spans="1:20" ht="15.75" thickBot="1">
      <c r="A177" s="85" t="s">
        <v>58</v>
      </c>
      <c r="B177" s="86" t="s">
        <v>57</v>
      </c>
      <c r="C177" s="86" t="s">
        <v>25</v>
      </c>
      <c r="D177" s="86">
        <v>1</v>
      </c>
      <c r="E177" s="156">
        <v>80</v>
      </c>
      <c r="F177" s="87">
        <f t="shared" ref="F177" si="60">D177/E177</f>
        <v>1.2500000000000001E-2</v>
      </c>
      <c r="G177" s="160">
        <f>1274900*0.77</f>
        <v>981673</v>
      </c>
      <c r="H177" s="124">
        <f t="shared" ref="H177" si="61">F177*G177</f>
        <v>12270.9125</v>
      </c>
      <c r="I177" s="169">
        <f t="shared" si="59"/>
        <v>981673</v>
      </c>
      <c r="K177" s="157">
        <f>E177/E207*100</f>
        <v>76.923076923076934</v>
      </c>
    </row>
    <row r="178" spans="1:20" ht="15.75" thickBot="1">
      <c r="A178" s="61"/>
      <c r="B178" s="32"/>
      <c r="C178" s="32"/>
      <c r="D178" s="32"/>
      <c r="E178" s="139"/>
      <c r="F178" s="49"/>
      <c r="G178" s="101"/>
      <c r="H178" s="125"/>
      <c r="I178" s="169">
        <f t="shared" si="59"/>
        <v>0</v>
      </c>
      <c r="K178" s="157">
        <f>E178/E208*100</f>
        <v>0</v>
      </c>
    </row>
    <row r="179" spans="1:20">
      <c r="A179" s="11" t="s">
        <v>38</v>
      </c>
      <c r="B179" s="12" t="s">
        <v>57</v>
      </c>
      <c r="C179" s="12" t="s">
        <v>25</v>
      </c>
      <c r="D179" s="12">
        <v>1</v>
      </c>
      <c r="E179" s="136">
        <v>23</v>
      </c>
      <c r="F179" s="28">
        <f t="shared" ref="F179:F180" si="62">D179/E179</f>
        <v>4.3478260869565216E-2</v>
      </c>
      <c r="G179" s="154">
        <f>601200*0.7</f>
        <v>420840</v>
      </c>
      <c r="H179" s="95">
        <f t="shared" ref="H179:H180" si="63">F179*G179</f>
        <v>18297.391304347824</v>
      </c>
      <c r="I179" s="169">
        <f t="shared" si="59"/>
        <v>420839.99999999994</v>
      </c>
      <c r="K179" s="157">
        <f>E179/E208*100</f>
        <v>69.696969696969703</v>
      </c>
    </row>
    <row r="180" spans="1:20" ht="15.75" thickBot="1">
      <c r="A180" s="15" t="s">
        <v>42</v>
      </c>
      <c r="B180" s="16" t="s">
        <v>57</v>
      </c>
      <c r="C180" s="16" t="s">
        <v>25</v>
      </c>
      <c r="D180" s="16">
        <v>1</v>
      </c>
      <c r="E180" s="138">
        <v>35</v>
      </c>
      <c r="F180" s="38">
        <f t="shared" si="62"/>
        <v>2.8571428571428571E-2</v>
      </c>
      <c r="G180" s="161">
        <f>513500*0.92</f>
        <v>472420</v>
      </c>
      <c r="H180" s="97">
        <f t="shared" si="63"/>
        <v>13497.714285714284</v>
      </c>
      <c r="I180" s="169">
        <f t="shared" si="59"/>
        <v>472419.99999999994</v>
      </c>
      <c r="K180" s="157">
        <f>E180/E209*100</f>
        <v>92.10526315789474</v>
      </c>
    </row>
    <row r="181" spans="1:20">
      <c r="E181" s="1">
        <f>SUM(E171:E180)</f>
        <v>681</v>
      </c>
    </row>
    <row r="186" spans="1:20" ht="17.25" customHeight="1">
      <c r="A186" s="31" t="s">
        <v>48</v>
      </c>
      <c r="H186"/>
      <c r="S186" s="1"/>
      <c r="T186" s="1"/>
    </row>
    <row r="187" spans="1:20" ht="15.75" thickBot="1">
      <c r="A187" t="s">
        <v>71</v>
      </c>
      <c r="G187" s="50" t="s">
        <v>31</v>
      </c>
    </row>
    <row r="188" spans="1:20" ht="45">
      <c r="A188" s="21" t="s">
        <v>3</v>
      </c>
      <c r="B188" s="22" t="s">
        <v>22</v>
      </c>
      <c r="C188" s="22" t="s">
        <v>18</v>
      </c>
      <c r="D188" s="22" t="s">
        <v>23</v>
      </c>
      <c r="E188" s="22" t="s">
        <v>53</v>
      </c>
      <c r="F188" s="22" t="s">
        <v>54</v>
      </c>
      <c r="G188" s="22" t="s">
        <v>26</v>
      </c>
      <c r="H188" s="23" t="s">
        <v>10</v>
      </c>
      <c r="I188" s="168"/>
      <c r="J188" s="168"/>
      <c r="K188" s="2"/>
    </row>
    <row r="189" spans="1:20" ht="15.75" thickBot="1">
      <c r="A189" s="36">
        <v>1</v>
      </c>
      <c r="B189" s="9">
        <v>2</v>
      </c>
      <c r="C189" s="9">
        <v>3</v>
      </c>
      <c r="D189" s="9">
        <v>4</v>
      </c>
      <c r="E189" s="9">
        <v>5</v>
      </c>
      <c r="F189" s="9" t="s">
        <v>17</v>
      </c>
      <c r="G189" s="8">
        <v>8</v>
      </c>
      <c r="H189" s="37" t="s">
        <v>19</v>
      </c>
    </row>
    <row r="190" spans="1:20">
      <c r="A190" s="11" t="s">
        <v>35</v>
      </c>
      <c r="B190" s="12" t="s">
        <v>57</v>
      </c>
      <c r="C190" s="12" t="s">
        <v>25</v>
      </c>
      <c r="D190" s="12">
        <v>1</v>
      </c>
      <c r="E190" s="136">
        <v>5</v>
      </c>
      <c r="F190" s="28">
        <f>D190/E190</f>
        <v>0.2</v>
      </c>
      <c r="G190" s="154">
        <f>1412900*0.05</f>
        <v>70645</v>
      </c>
      <c r="H190" s="95">
        <f>F190*G190</f>
        <v>14129</v>
      </c>
      <c r="I190" s="169">
        <f>H190*E190</f>
        <v>70645</v>
      </c>
      <c r="J190" s="169"/>
      <c r="K190" s="157">
        <v>5</v>
      </c>
      <c r="L190" s="3">
        <f>K190+K171+K156</f>
        <v>99.252873563218373</v>
      </c>
    </row>
    <row r="191" spans="1:20">
      <c r="A191" s="14" t="s">
        <v>36</v>
      </c>
      <c r="B191" s="5" t="s">
        <v>57</v>
      </c>
      <c r="C191" s="5" t="s">
        <v>25</v>
      </c>
      <c r="D191" s="5">
        <v>1</v>
      </c>
      <c r="E191" s="137">
        <v>10</v>
      </c>
      <c r="F191" s="29">
        <f t="shared" ref="F191:F194" si="64">D191/E191</f>
        <v>0.1</v>
      </c>
      <c r="G191" s="158">
        <f>1908800*0.09</f>
        <v>171792</v>
      </c>
      <c r="H191" s="96">
        <f t="shared" ref="H191:H194" si="65">F191*G191</f>
        <v>17179.2</v>
      </c>
      <c r="I191" s="169">
        <f t="shared" ref="I191:I199" si="66">H191*E191</f>
        <v>171792</v>
      </c>
      <c r="K191" s="157">
        <f t="shared" ref="K191:K196" si="67">100-K157-K172</f>
        <v>8.9285714285714306</v>
      </c>
      <c r="L191" s="3">
        <f>K191+K172+K157</f>
        <v>100</v>
      </c>
    </row>
    <row r="192" spans="1:20">
      <c r="A192" s="14" t="s">
        <v>37</v>
      </c>
      <c r="B192" s="5" t="s">
        <v>57</v>
      </c>
      <c r="C192" s="5" t="s">
        <v>25</v>
      </c>
      <c r="D192" s="5">
        <v>1</v>
      </c>
      <c r="E192" s="137">
        <v>5</v>
      </c>
      <c r="F192" s="29">
        <f t="shared" si="64"/>
        <v>0.2</v>
      </c>
      <c r="G192" s="158">
        <f>1657700*0.03</f>
        <v>49731</v>
      </c>
      <c r="H192" s="96">
        <f t="shared" si="65"/>
        <v>9946.2000000000007</v>
      </c>
      <c r="I192" s="169">
        <f t="shared" si="66"/>
        <v>49731</v>
      </c>
      <c r="K192" s="157">
        <f t="shared" si="67"/>
        <v>3.2258064516128968</v>
      </c>
      <c r="L192" s="3">
        <f>K192+K173+K158</f>
        <v>100</v>
      </c>
    </row>
    <row r="193" spans="1:12">
      <c r="A193" s="14" t="s">
        <v>40</v>
      </c>
      <c r="B193" s="5" t="s">
        <v>57</v>
      </c>
      <c r="C193" s="5" t="s">
        <v>25</v>
      </c>
      <c r="D193" s="5">
        <v>1</v>
      </c>
      <c r="E193" s="137">
        <v>12</v>
      </c>
      <c r="F193" s="29">
        <f t="shared" si="64"/>
        <v>8.3333333333333329E-2</v>
      </c>
      <c r="G193" s="158">
        <f>1361500*0.11</f>
        <v>149765</v>
      </c>
      <c r="H193" s="96">
        <f t="shared" si="65"/>
        <v>12480.416666666666</v>
      </c>
      <c r="I193" s="169">
        <f t="shared" si="66"/>
        <v>149765</v>
      </c>
      <c r="K193" s="157">
        <f t="shared" si="67"/>
        <v>11.1111111111111</v>
      </c>
      <c r="L193" s="3">
        <f>K193+K174+K159</f>
        <v>100</v>
      </c>
    </row>
    <row r="194" spans="1:12">
      <c r="A194" s="82" t="s">
        <v>41</v>
      </c>
      <c r="B194" s="83" t="s">
        <v>57</v>
      </c>
      <c r="C194" s="83" t="s">
        <v>25</v>
      </c>
      <c r="D194" s="83">
        <v>1</v>
      </c>
      <c r="E194" s="155">
        <v>4</v>
      </c>
      <c r="F194" s="84">
        <f t="shared" si="64"/>
        <v>0.25</v>
      </c>
      <c r="G194" s="159">
        <f>1040200*0.06</f>
        <v>62412</v>
      </c>
      <c r="H194" s="122">
        <f t="shared" si="65"/>
        <v>15603</v>
      </c>
      <c r="I194" s="169">
        <f t="shared" si="66"/>
        <v>62412</v>
      </c>
      <c r="K194" s="157">
        <f t="shared" si="67"/>
        <v>5.4794520547945211</v>
      </c>
      <c r="L194" s="3">
        <f>K194+K175+K160</f>
        <v>100</v>
      </c>
    </row>
    <row r="195" spans="1:12">
      <c r="A195" s="88" t="s">
        <v>39</v>
      </c>
      <c r="B195" s="5" t="s">
        <v>57</v>
      </c>
      <c r="C195" s="5" t="s">
        <v>25</v>
      </c>
      <c r="D195" s="5">
        <v>1</v>
      </c>
      <c r="E195" s="137">
        <v>12</v>
      </c>
      <c r="F195" s="29">
        <f>D195/E195</f>
        <v>8.3333333333333329E-2</v>
      </c>
      <c r="G195" s="158">
        <f>2368600*0.07</f>
        <v>165802.00000000003</v>
      </c>
      <c r="H195" s="123">
        <f>F195*G195</f>
        <v>13816.833333333336</v>
      </c>
      <c r="I195" s="169">
        <f t="shared" si="66"/>
        <v>165802.00000000003</v>
      </c>
      <c r="K195" s="157">
        <f t="shared" si="67"/>
        <v>6.6298342541436455</v>
      </c>
      <c r="L195" s="3">
        <f>K195+K176+K161</f>
        <v>100</v>
      </c>
    </row>
    <row r="196" spans="1:12" ht="15.75" thickBot="1">
      <c r="A196" s="85" t="s">
        <v>58</v>
      </c>
      <c r="B196" s="86" t="s">
        <v>57</v>
      </c>
      <c r="C196" s="86" t="s">
        <v>25</v>
      </c>
      <c r="D196" s="86">
        <v>1</v>
      </c>
      <c r="E196" s="156">
        <v>21</v>
      </c>
      <c r="F196" s="87">
        <f t="shared" ref="F196" si="68">D196/E196</f>
        <v>4.7619047619047616E-2</v>
      </c>
      <c r="G196" s="160">
        <f>1274900*0.2</f>
        <v>254980</v>
      </c>
      <c r="H196" s="124">
        <f t="shared" ref="H196" si="69">F196*G196</f>
        <v>12141.904761904761</v>
      </c>
      <c r="I196" s="169">
        <f t="shared" si="66"/>
        <v>254980</v>
      </c>
      <c r="K196" s="157">
        <f t="shared" si="67"/>
        <v>20.192307692307679</v>
      </c>
      <c r="L196" s="3">
        <f>K196+K177+K162</f>
        <v>100</v>
      </c>
    </row>
    <row r="197" spans="1:12" ht="15.75" thickBot="1">
      <c r="A197" s="61"/>
      <c r="B197" s="32"/>
      <c r="C197" s="32"/>
      <c r="D197" s="32"/>
      <c r="E197" s="139"/>
      <c r="F197" s="49"/>
      <c r="G197" s="101"/>
      <c r="H197" s="125"/>
      <c r="I197" s="169">
        <f t="shared" si="66"/>
        <v>0</v>
      </c>
      <c r="K197" s="157"/>
      <c r="L197" s="3">
        <f>K197+K178+K163</f>
        <v>0</v>
      </c>
    </row>
    <row r="198" spans="1:12">
      <c r="A198" s="11" t="s">
        <v>38</v>
      </c>
      <c r="B198" s="12" t="s">
        <v>57</v>
      </c>
      <c r="C198" s="12" t="s">
        <v>25</v>
      </c>
      <c r="D198" s="12">
        <v>1</v>
      </c>
      <c r="E198" s="136">
        <v>3</v>
      </c>
      <c r="F198" s="28">
        <f t="shared" ref="F198" si="70">D198/E198</f>
        <v>0.33333333333333331</v>
      </c>
      <c r="G198" s="154">
        <f>601200*0.09</f>
        <v>54108</v>
      </c>
      <c r="H198" s="95">
        <f t="shared" ref="H198:H199" si="71">F198*G198</f>
        <v>18036</v>
      </c>
      <c r="I198" s="169">
        <f t="shared" si="66"/>
        <v>54108</v>
      </c>
      <c r="K198" s="157">
        <f>100-K164-K179</f>
        <v>9.0909090909090793</v>
      </c>
      <c r="L198" s="3">
        <f>K198+K179+K164</f>
        <v>100</v>
      </c>
    </row>
    <row r="199" spans="1:12" ht="15.75" thickBot="1">
      <c r="A199" s="15" t="s">
        <v>42</v>
      </c>
      <c r="B199" s="16" t="s">
        <v>57</v>
      </c>
      <c r="C199" s="16" t="s">
        <v>25</v>
      </c>
      <c r="D199" s="16"/>
      <c r="E199" s="98"/>
      <c r="F199" s="38"/>
      <c r="G199" s="102"/>
      <c r="H199" s="97">
        <f t="shared" si="71"/>
        <v>0</v>
      </c>
      <c r="I199" s="169">
        <f t="shared" si="66"/>
        <v>0</v>
      </c>
      <c r="K199" s="157">
        <f>100-K165-K180</f>
        <v>0</v>
      </c>
      <c r="L199" s="3">
        <f>K199+K180+K165</f>
        <v>100</v>
      </c>
    </row>
    <row r="200" spans="1:12" ht="15.75" thickBot="1">
      <c r="E200" s="1">
        <f>SUM(E190:E199)</f>
        <v>72</v>
      </c>
    </row>
    <row r="201" spans="1:12">
      <c r="E201" s="140">
        <f>E156+E171+E190</f>
        <v>87</v>
      </c>
      <c r="G201">
        <f>E156+E171+E190</f>
        <v>87</v>
      </c>
      <c r="H201" s="11" t="s">
        <v>35</v>
      </c>
      <c r="I201" s="140">
        <f>I156+I171+I190</f>
        <v>1412900</v>
      </c>
      <c r="J201" s="154">
        <v>1412900</v>
      </c>
      <c r="K201" s="3">
        <f>J201-I201</f>
        <v>0</v>
      </c>
    </row>
    <row r="202" spans="1:12">
      <c r="E202" s="140">
        <f>E157+E172+E191</f>
        <v>112</v>
      </c>
      <c r="G202">
        <f>E157+E172+E191</f>
        <v>112</v>
      </c>
      <c r="H202" s="14" t="s">
        <v>36</v>
      </c>
      <c r="I202" s="140">
        <f>I157+I172+I191</f>
        <v>1908800</v>
      </c>
      <c r="J202" s="158">
        <v>1908800</v>
      </c>
      <c r="K202" s="3">
        <f t="shared" ref="K202:K209" si="72">J202-I202</f>
        <v>0</v>
      </c>
    </row>
    <row r="203" spans="1:12">
      <c r="E203" s="140">
        <f>E158+E173+E192</f>
        <v>155</v>
      </c>
      <c r="G203">
        <f>E158+E173+E192</f>
        <v>155</v>
      </c>
      <c r="H203" s="14" t="s">
        <v>37</v>
      </c>
      <c r="I203" s="140">
        <f>I158+I173+I192</f>
        <v>1657700</v>
      </c>
      <c r="J203" s="158">
        <v>1657700</v>
      </c>
      <c r="K203" s="3">
        <f t="shared" si="72"/>
        <v>0</v>
      </c>
    </row>
    <row r="204" spans="1:12">
      <c r="E204" s="140">
        <f>E159+E174+E193</f>
        <v>108</v>
      </c>
      <c r="G204">
        <f>E159+E174+E193</f>
        <v>108</v>
      </c>
      <c r="H204" s="14" t="s">
        <v>40</v>
      </c>
      <c r="I204" s="140">
        <f>I159+I174+I193</f>
        <v>1361500</v>
      </c>
      <c r="J204" s="158">
        <v>1361500</v>
      </c>
      <c r="K204" s="3">
        <f t="shared" si="72"/>
        <v>0</v>
      </c>
    </row>
    <row r="205" spans="1:12">
      <c r="E205" s="140">
        <f>E160+E175+E194</f>
        <v>73</v>
      </c>
      <c r="G205">
        <f>E160+E175+E194</f>
        <v>73</v>
      </c>
      <c r="H205" s="82" t="s">
        <v>41</v>
      </c>
      <c r="I205" s="140">
        <f>I160+I175+I194</f>
        <v>1040200</v>
      </c>
      <c r="J205" s="159">
        <v>1040200</v>
      </c>
      <c r="K205" s="3">
        <f t="shared" si="72"/>
        <v>0</v>
      </c>
    </row>
    <row r="206" spans="1:12">
      <c r="E206" s="140">
        <f>E161+E176+E195</f>
        <v>181</v>
      </c>
      <c r="G206">
        <f>E161+E176+E195</f>
        <v>181</v>
      </c>
      <c r="H206" s="88" t="s">
        <v>39</v>
      </c>
      <c r="I206" s="140">
        <f>I161+I176+I195</f>
        <v>2368600</v>
      </c>
      <c r="J206" s="158">
        <v>2368600</v>
      </c>
      <c r="K206" s="3">
        <f t="shared" si="72"/>
        <v>0</v>
      </c>
    </row>
    <row r="207" spans="1:12" ht="15.75" thickBot="1">
      <c r="E207" s="140">
        <f>E162+E177+E196</f>
        <v>104</v>
      </c>
      <c r="G207">
        <f>E162+E177+E196</f>
        <v>104</v>
      </c>
      <c r="H207" s="85" t="s">
        <v>58</v>
      </c>
      <c r="I207" s="140">
        <f>I162+I177+I196</f>
        <v>1274900</v>
      </c>
      <c r="J207" s="160">
        <v>1274900</v>
      </c>
      <c r="K207" s="3">
        <f t="shared" si="72"/>
        <v>0</v>
      </c>
    </row>
    <row r="208" spans="1:12">
      <c r="E208" s="140">
        <f>E198+E179+E164</f>
        <v>33</v>
      </c>
      <c r="G208">
        <f>E198+E179+E164</f>
        <v>33</v>
      </c>
      <c r="H208" s="11" t="s">
        <v>38</v>
      </c>
      <c r="I208" s="140">
        <f>I198+I179+I164</f>
        <v>601200</v>
      </c>
      <c r="J208" s="154">
        <v>601200</v>
      </c>
      <c r="K208" s="3">
        <f t="shared" si="72"/>
        <v>0</v>
      </c>
    </row>
    <row r="209" spans="1:18" ht="15.75" thickBot="1">
      <c r="E209" s="140">
        <f>E199+E180+E165</f>
        <v>38</v>
      </c>
      <c r="G209">
        <f>E199+E180+E165</f>
        <v>38</v>
      </c>
      <c r="H209" s="15" t="s">
        <v>42</v>
      </c>
      <c r="I209" s="140">
        <f>I199+I180+I165</f>
        <v>513499.99999999994</v>
      </c>
      <c r="J209" s="161">
        <v>513500</v>
      </c>
      <c r="K209" s="3">
        <f t="shared" si="72"/>
        <v>0</v>
      </c>
    </row>
    <row r="210" spans="1:18" ht="15.75" thickBot="1">
      <c r="E210" s="3">
        <f>SUM(E201:E209)</f>
        <v>891</v>
      </c>
      <c r="H210" s="15"/>
      <c r="I210" s="170">
        <f>SUM(I201:I209)</f>
        <v>12139300</v>
      </c>
      <c r="J210" s="170">
        <f>SUM(J201:J209)</f>
        <v>12139300</v>
      </c>
      <c r="K210" s="3"/>
    </row>
    <row r="222" spans="1:18" s="64" customFormat="1" ht="18.75">
      <c r="A222" s="62" t="s">
        <v>73</v>
      </c>
      <c r="B222" s="63"/>
      <c r="C222" s="63"/>
      <c r="D222" s="63"/>
      <c r="E222" s="63"/>
      <c r="F222" s="63"/>
      <c r="I222" s="171"/>
      <c r="J222" s="171"/>
      <c r="K222" s="63"/>
      <c r="L222" s="63"/>
      <c r="M222" s="63"/>
      <c r="N222" s="63"/>
      <c r="O222" s="63"/>
      <c r="P222" s="63"/>
      <c r="Q222" s="63"/>
      <c r="R222" s="63"/>
    </row>
    <row r="223" spans="1:18" s="64" customFormat="1" ht="15.75" thickBot="1">
      <c r="B223" s="63"/>
      <c r="C223" s="63"/>
      <c r="D223" s="63"/>
      <c r="E223" s="63"/>
      <c r="F223" s="63"/>
      <c r="H223" s="65" t="s">
        <v>31</v>
      </c>
      <c r="I223" s="171"/>
      <c r="J223" s="171"/>
      <c r="K223" s="63"/>
      <c r="L223" s="63"/>
      <c r="M223" s="63"/>
      <c r="N223" s="63"/>
      <c r="O223" s="63"/>
      <c r="P223" s="63"/>
      <c r="Q223" s="63"/>
      <c r="R223" s="63"/>
    </row>
    <row r="224" spans="1:18" s="64" customFormat="1" ht="75">
      <c r="A224" s="66" t="s">
        <v>3</v>
      </c>
      <c r="B224" s="67" t="s">
        <v>13</v>
      </c>
      <c r="C224" s="67" t="s">
        <v>18</v>
      </c>
      <c r="D224" s="67" t="s">
        <v>14</v>
      </c>
      <c r="E224" s="67" t="s">
        <v>53</v>
      </c>
      <c r="F224" s="67" t="s">
        <v>54</v>
      </c>
      <c r="G224" s="22" t="s">
        <v>26</v>
      </c>
      <c r="H224" s="23" t="s">
        <v>10</v>
      </c>
      <c r="I224" s="172"/>
      <c r="J224" s="173"/>
      <c r="K224" s="68"/>
      <c r="L224" s="63"/>
      <c r="M224" s="63"/>
      <c r="N224" s="63"/>
      <c r="O224" s="63"/>
      <c r="P224" s="63"/>
      <c r="Q224" s="63"/>
      <c r="R224" s="63"/>
    </row>
    <row r="225" spans="1:18" s="64" customFormat="1" ht="15.75" thickBot="1">
      <c r="A225" s="69">
        <v>1</v>
      </c>
      <c r="B225" s="70">
        <v>2</v>
      </c>
      <c r="C225" s="70">
        <v>3</v>
      </c>
      <c r="D225" s="70">
        <v>4</v>
      </c>
      <c r="E225" s="70">
        <v>5</v>
      </c>
      <c r="F225" s="70" t="s">
        <v>17</v>
      </c>
      <c r="G225" s="26">
        <v>7</v>
      </c>
      <c r="H225" s="37" t="s">
        <v>72</v>
      </c>
      <c r="I225" s="174"/>
      <c r="J225" s="171"/>
      <c r="K225" s="63"/>
      <c r="L225" s="63"/>
      <c r="M225" s="63"/>
      <c r="N225" s="63"/>
      <c r="O225" s="63"/>
      <c r="P225" s="63"/>
      <c r="Q225" s="63"/>
      <c r="R225" s="63"/>
    </row>
    <row r="226" spans="1:18" s="63" customFormat="1">
      <c r="A226" s="71" t="s">
        <v>35</v>
      </c>
      <c r="B226" s="72" t="s">
        <v>30</v>
      </c>
      <c r="C226" s="72" t="s">
        <v>25</v>
      </c>
      <c r="D226" s="72">
        <v>1</v>
      </c>
      <c r="E226" s="141">
        <v>60</v>
      </c>
      <c r="F226" s="73">
        <f>D226/E226</f>
        <v>1.6666666666666666E-2</v>
      </c>
      <c r="G226" s="148">
        <v>158200</v>
      </c>
      <c r="H226" s="123">
        <f t="shared" ref="H226:H235" si="73">F226*G226</f>
        <v>2636.6666666666665</v>
      </c>
      <c r="I226" s="175"/>
      <c r="J226" s="171"/>
    </row>
    <row r="227" spans="1:18" s="63" customFormat="1">
      <c r="A227" s="74" t="s">
        <v>36</v>
      </c>
      <c r="B227" s="75" t="s">
        <v>30</v>
      </c>
      <c r="C227" s="75" t="s">
        <v>25</v>
      </c>
      <c r="D227" s="75">
        <v>1</v>
      </c>
      <c r="E227" s="142">
        <v>90</v>
      </c>
      <c r="F227" s="77">
        <f t="shared" ref="F227:F229" si="74">D227/E227</f>
        <v>1.1111111111111112E-2</v>
      </c>
      <c r="G227" s="149">
        <v>257200</v>
      </c>
      <c r="H227" s="123">
        <f t="shared" si="73"/>
        <v>2857.7777777777778</v>
      </c>
      <c r="I227" s="175"/>
      <c r="J227" s="171"/>
    </row>
    <row r="228" spans="1:18" s="63" customFormat="1">
      <c r="A228" s="74" t="s">
        <v>37</v>
      </c>
      <c r="B228" s="75" t="s">
        <v>30</v>
      </c>
      <c r="C228" s="75" t="s">
        <v>25</v>
      </c>
      <c r="D228" s="75">
        <v>1</v>
      </c>
      <c r="E228" s="142">
        <v>62</v>
      </c>
      <c r="F228" s="77">
        <f t="shared" si="74"/>
        <v>1.6129032258064516E-2</v>
      </c>
      <c r="G228" s="149">
        <v>175200</v>
      </c>
      <c r="H228" s="123">
        <f t="shared" si="73"/>
        <v>2825.8064516129029</v>
      </c>
      <c r="I228" s="175"/>
      <c r="J228" s="171"/>
    </row>
    <row r="229" spans="1:18" s="63" customFormat="1">
      <c r="A229" s="74" t="s">
        <v>40</v>
      </c>
      <c r="B229" s="75" t="s">
        <v>30</v>
      </c>
      <c r="C229" s="75" t="s">
        <v>25</v>
      </c>
      <c r="D229" s="75">
        <v>1</v>
      </c>
      <c r="E229" s="142">
        <v>140</v>
      </c>
      <c r="F229" s="77">
        <f t="shared" si="74"/>
        <v>7.1428571428571426E-3</v>
      </c>
      <c r="G229" s="149">
        <v>377300</v>
      </c>
      <c r="H229" s="123">
        <f t="shared" si="73"/>
        <v>2695</v>
      </c>
      <c r="I229" s="175"/>
      <c r="J229" s="171"/>
    </row>
    <row r="230" spans="1:18" s="63" customFormat="1">
      <c r="A230" s="89" t="s">
        <v>41</v>
      </c>
      <c r="B230" s="76" t="s">
        <v>30</v>
      </c>
      <c r="C230" s="76" t="s">
        <v>25</v>
      </c>
      <c r="D230" s="76">
        <v>1</v>
      </c>
      <c r="E230" s="142">
        <v>90</v>
      </c>
      <c r="F230" s="90">
        <f>D230/E230</f>
        <v>1.1111111111111112E-2</v>
      </c>
      <c r="G230" s="150">
        <v>236800</v>
      </c>
      <c r="H230" s="123">
        <f t="shared" si="73"/>
        <v>2631.1111111111113</v>
      </c>
      <c r="I230" s="175"/>
      <c r="J230" s="171"/>
    </row>
    <row r="231" spans="1:18" s="63" customFormat="1">
      <c r="A231" s="74" t="s">
        <v>39</v>
      </c>
      <c r="B231" s="75" t="s">
        <v>30</v>
      </c>
      <c r="C231" s="75" t="s">
        <v>25</v>
      </c>
      <c r="D231" s="75">
        <v>1</v>
      </c>
      <c r="E231" s="143">
        <v>115</v>
      </c>
      <c r="F231" s="77">
        <f>D231/E231</f>
        <v>8.6956521739130436E-3</v>
      </c>
      <c r="G231" s="149">
        <v>316700</v>
      </c>
      <c r="H231" s="123">
        <f t="shared" si="73"/>
        <v>2753.913043478261</v>
      </c>
      <c r="I231" s="175"/>
      <c r="J231" s="171"/>
    </row>
    <row r="232" spans="1:18" s="63" customFormat="1" ht="15.75" thickBot="1">
      <c r="A232" s="91" t="s">
        <v>58</v>
      </c>
      <c r="B232" s="92" t="s">
        <v>30</v>
      </c>
      <c r="C232" s="92" t="s">
        <v>25</v>
      </c>
      <c r="D232" s="92">
        <v>1</v>
      </c>
      <c r="E232" s="144">
        <v>120</v>
      </c>
      <c r="F232" s="93">
        <f t="shared" ref="F232" si="75">D232/E232</f>
        <v>8.3333333333333332E-3</v>
      </c>
      <c r="G232" s="151">
        <v>308200</v>
      </c>
      <c r="H232" s="123">
        <f t="shared" si="73"/>
        <v>2568.3333333333335</v>
      </c>
      <c r="I232" s="175"/>
      <c r="J232" s="171"/>
    </row>
    <row r="233" spans="1:18" s="64" customFormat="1" ht="15.75" thickBot="1">
      <c r="A233" s="81"/>
      <c r="B233" s="99"/>
      <c r="C233" s="99"/>
      <c r="D233" s="99"/>
      <c r="E233" s="145"/>
      <c r="F233" s="99"/>
      <c r="G233" s="152"/>
      <c r="H233" s="123"/>
      <c r="I233" s="176"/>
      <c r="J233" s="171"/>
      <c r="K233" s="63"/>
      <c r="L233" s="63"/>
      <c r="M233" s="63"/>
      <c r="N233" s="63"/>
      <c r="O233" s="63"/>
      <c r="P233" s="63"/>
      <c r="Q233" s="63"/>
      <c r="R233" s="63"/>
    </row>
    <row r="234" spans="1:18" s="64" customFormat="1">
      <c r="A234" s="71" t="s">
        <v>38</v>
      </c>
      <c r="B234" s="72" t="s">
        <v>30</v>
      </c>
      <c r="C234" s="72" t="s">
        <v>25</v>
      </c>
      <c r="D234" s="72">
        <v>1</v>
      </c>
      <c r="E234" s="146">
        <v>40</v>
      </c>
      <c r="F234" s="73">
        <f t="shared" ref="F234:F235" si="76">D234/E234</f>
        <v>2.5000000000000001E-2</v>
      </c>
      <c r="G234" s="148">
        <v>110600</v>
      </c>
      <c r="H234" s="123">
        <f t="shared" si="73"/>
        <v>2765</v>
      </c>
      <c r="I234" s="175"/>
      <c r="J234" s="171"/>
      <c r="K234" s="63"/>
      <c r="L234" s="63"/>
      <c r="M234" s="63"/>
      <c r="N234" s="63"/>
      <c r="O234" s="63"/>
      <c r="P234" s="63"/>
      <c r="Q234" s="63"/>
      <c r="R234" s="63"/>
    </row>
    <row r="235" spans="1:18" s="64" customFormat="1" ht="15.75" thickBot="1">
      <c r="A235" s="78" t="s">
        <v>42</v>
      </c>
      <c r="B235" s="79" t="s">
        <v>30</v>
      </c>
      <c r="C235" s="79" t="s">
        <v>25</v>
      </c>
      <c r="D235" s="79">
        <v>1</v>
      </c>
      <c r="E235" s="147">
        <v>25</v>
      </c>
      <c r="F235" s="80">
        <f t="shared" si="76"/>
        <v>0.04</v>
      </c>
      <c r="G235" s="153">
        <v>67700</v>
      </c>
      <c r="H235" s="123">
        <f t="shared" si="73"/>
        <v>2708</v>
      </c>
      <c r="I235" s="175"/>
      <c r="J235" s="171"/>
      <c r="K235" s="63"/>
      <c r="L235" s="63"/>
      <c r="M235" s="63"/>
      <c r="N235" s="63"/>
      <c r="O235" s="63"/>
      <c r="P235" s="63"/>
      <c r="Q235" s="63"/>
      <c r="R235" s="63"/>
    </row>
    <row r="236" spans="1:18" s="64" customFormat="1">
      <c r="B236" s="63"/>
      <c r="C236" s="63"/>
      <c r="D236" s="63"/>
      <c r="E236" s="63">
        <f>E235+E234+E232+E230+E229+E231+E228+E227+E226</f>
        <v>742</v>
      </c>
      <c r="F236" s="63"/>
      <c r="G236" s="113">
        <f>SUM(G226:G235)</f>
        <v>2007900</v>
      </c>
      <c r="I236" s="171"/>
      <c r="J236" s="171"/>
      <c r="K236" s="63"/>
      <c r="L236" s="63"/>
      <c r="M236" s="63"/>
      <c r="N236" s="63"/>
      <c r="O236" s="63"/>
      <c r="P236" s="63"/>
      <c r="Q236" s="63"/>
      <c r="R236" s="63"/>
    </row>
    <row r="237" spans="1:18">
      <c r="H237"/>
    </row>
    <row r="238" spans="1:18">
      <c r="H238"/>
    </row>
  </sheetData>
  <mergeCells count="1">
    <mergeCell ref="A1:H1"/>
  </mergeCells>
  <pageMargins left="0.51181102362204722" right="0" top="0.55118110236220474" bottom="0" header="0.31496062992125984" footer="0.31496062992125984"/>
  <pageSetup paperSize="9" scale="8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з.пл.</vt:lpstr>
      <vt:lpstr>материалы</vt:lpstr>
      <vt:lpstr>иные</vt:lpstr>
      <vt:lpstr>иные!Заголовки_для_печати</vt:lpstr>
      <vt:lpstr>материалы!Заголовки_для_печати</vt:lpstr>
      <vt:lpstr>з.пл.!Область_печати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2021-01-14T01:09:20Z</dcterms:modified>
</cp:coreProperties>
</file>