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доп.обр." sheetId="1" r:id="rId1"/>
    <sheet name="свод" sheetId="2" r:id="rId2"/>
    <sheet name="Лист3" sheetId="3" r:id="rId3"/>
  </sheets>
  <definedNames>
    <definedName name="_xlnm.Print_Area" localSheetId="1">свод!$A$1:$I$29</definedName>
  </definedNames>
  <calcPr calcId="124519"/>
</workbook>
</file>

<file path=xl/calcChain.xml><?xml version="1.0" encoding="utf-8"?>
<calcChain xmlns="http://schemas.openxmlformats.org/spreadsheetml/2006/main">
  <c r="H7" i="2"/>
  <c r="G27"/>
  <c r="H27"/>
  <c r="H6"/>
  <c r="H13"/>
  <c r="H26"/>
  <c r="G26"/>
  <c r="F21"/>
  <c r="G14"/>
  <c r="N9" i="1"/>
  <c r="Q18"/>
  <c r="Q19"/>
  <c r="Q17"/>
  <c r="N17" l="1"/>
  <c r="N10"/>
  <c r="N19"/>
  <c r="N18"/>
  <c r="S9"/>
  <c r="R10"/>
  <c r="R9"/>
  <c r="Q10"/>
  <c r="Q9"/>
  <c r="C17" l="1"/>
  <c r="C20" l="1"/>
  <c r="C43"/>
  <c r="M45"/>
  <c r="L45"/>
  <c r="M44"/>
  <c r="L44"/>
  <c r="L43" s="1"/>
  <c r="M43" s="1"/>
  <c r="O43" s="1"/>
  <c r="K43"/>
  <c r="J43"/>
  <c r="I43"/>
  <c r="H43"/>
  <c r="G43"/>
  <c r="F43"/>
  <c r="E43"/>
  <c r="D43"/>
  <c r="B43"/>
  <c r="L42"/>
  <c r="L40" s="1"/>
  <c r="M40" s="1"/>
  <c r="L41"/>
  <c r="K40"/>
  <c r="J40"/>
  <c r="I40"/>
  <c r="H40"/>
  <c r="G40"/>
  <c r="F40"/>
  <c r="E40"/>
  <c r="D40"/>
  <c r="B40"/>
  <c r="G7" i="2"/>
  <c r="G6"/>
  <c r="O40" i="1" l="1"/>
  <c r="G21" i="2"/>
  <c r="I26"/>
  <c r="I22"/>
  <c r="I21"/>
  <c r="E21"/>
  <c r="H28" l="1"/>
  <c r="I27"/>
  <c r="I28" s="1"/>
  <c r="G28"/>
  <c r="G13" l="1"/>
  <c r="H8" l="1"/>
  <c r="L9" i="1"/>
  <c r="M9" s="1"/>
  <c r="Q6" l="1"/>
  <c r="H15" i="2" l="1"/>
  <c r="B15"/>
  <c r="B8"/>
  <c r="L22" i="1" l="1"/>
  <c r="M22" s="1"/>
  <c r="L21"/>
  <c r="M21" s="1"/>
  <c r="K20"/>
  <c r="J20"/>
  <c r="I20"/>
  <c r="H20"/>
  <c r="G20"/>
  <c r="F20"/>
  <c r="E20"/>
  <c r="D20"/>
  <c r="B20"/>
  <c r="L19"/>
  <c r="L18"/>
  <c r="K17"/>
  <c r="J17"/>
  <c r="I17"/>
  <c r="H17"/>
  <c r="G17"/>
  <c r="F17"/>
  <c r="E17"/>
  <c r="R17" s="1"/>
  <c r="D17"/>
  <c r="B17"/>
  <c r="E14" i="2"/>
  <c r="F14" s="1"/>
  <c r="I14" s="1"/>
  <c r="I13"/>
  <c r="E13"/>
  <c r="E7"/>
  <c r="I6"/>
  <c r="E6"/>
  <c r="S17" i="1" l="1"/>
  <c r="O19"/>
  <c r="M19"/>
  <c r="O18"/>
  <c r="M18"/>
  <c r="I7" i="2"/>
  <c r="L20" i="1"/>
  <c r="M20" s="1"/>
  <c r="L17"/>
  <c r="M17" s="1"/>
  <c r="O20" l="1"/>
  <c r="O17" l="1"/>
  <c r="L10"/>
  <c r="M10" s="1"/>
  <c r="O10" l="1"/>
  <c r="O9"/>
</calcChain>
</file>

<file path=xl/sharedStrings.xml><?xml version="1.0" encoding="utf-8"?>
<sst xmlns="http://schemas.openxmlformats.org/spreadsheetml/2006/main" count="116" uniqueCount="41">
  <si>
    <t>УТВЕРЖДЕНИЕ БАЗОВОГО НОРМАТИВА</t>
  </si>
  <si>
    <t>ЗАТРАТЫ НЕПОСРЕДСТВЕННО СВЯЗАННЫЕ С ОКАЗАНИЕМ УСЛУГИ, РУБ.</t>
  </si>
  <si>
    <t>Оплата труда (ОТ1)</t>
  </si>
  <si>
    <t>Наименование учреждения</t>
  </si>
  <si>
    <t>Материальные запасы и особо ценное движемое имущество (МЗ и ОЦДИ)</t>
  </si>
  <si>
    <t>Иные затраты (ИНЗ)</t>
  </si>
  <si>
    <t>СЮТ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</si>
  <si>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</si>
  <si>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</si>
  <si>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</si>
  <si>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</si>
  <si>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</si>
  <si>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</si>
  <si>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</si>
  <si>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</si>
  <si>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</si>
  <si>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методом эффективного учреждения</t>
  </si>
  <si>
    <t>по норме</t>
  </si>
  <si>
    <t>в бюджете</t>
  </si>
  <si>
    <t>УСЛУГА "Организация отдыха детей и молодежи"</t>
  </si>
  <si>
    <t>Наименования учреждений</t>
  </si>
  <si>
    <t>Объем</t>
  </si>
  <si>
    <t>Базовый норматив</t>
  </si>
  <si>
    <t>Базовый норматив методом эффективного учреждения</t>
  </si>
  <si>
    <t>Расчет субсидии</t>
  </si>
  <si>
    <t>коэффициент выравнивания</t>
  </si>
  <si>
    <t>краевой бюджет</t>
  </si>
  <si>
    <t>муниципальный бюджет</t>
  </si>
  <si>
    <t>ИТОГО</t>
  </si>
  <si>
    <t>доведено бюджетом</t>
  </si>
  <si>
    <t>мун.бюджет</t>
  </si>
  <si>
    <t>ДШ</t>
  </si>
  <si>
    <t>УСЛУГА "Реализация дополнительных общеразвивающих программ"</t>
  </si>
  <si>
    <t>УСЛУГА "Реализация дополнительных  общеразвивающих программ"</t>
  </si>
  <si>
    <t>з,плата</t>
  </si>
  <si>
    <t>коммун.</t>
  </si>
  <si>
    <t>прочие</t>
  </si>
  <si>
    <t>РАБОТА "Методическое обеспечение образовательной деятельности"</t>
  </si>
  <si>
    <t>роспись</t>
  </si>
  <si>
    <t>отклонение</t>
  </si>
  <si>
    <t>разбивка по бюджетам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</si>
</sst>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0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u/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/>
    <xf numFmtId="2" fontId="1" fillId="0" borderId="0" xfId="0" applyNumberFormat="1" applyFont="1"/>
    <xf numFmtId="2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1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0" fillId="0" borderId="8" xfId="0" applyBorder="1"/>
    <xf numFmtId="164" fontId="0" fillId="0" borderId="8" xfId="0" applyNumberFormat="1" applyBorder="1"/>
    <xf numFmtId="0" fontId="10" fillId="0" borderId="0" xfId="0" applyFont="1"/>
    <xf numFmtId="0" fontId="0" fillId="0" borderId="9" xfId="0" applyBorder="1"/>
    <xf numFmtId="0" fontId="0" fillId="0" borderId="10" xfId="0" applyBorder="1"/>
    <xf numFmtId="0" fontId="2" fillId="0" borderId="11" xfId="0" applyFont="1" applyBorder="1" applyAlignment="1">
      <alignment horizontal="center" vertical="center"/>
    </xf>
    <xf numFmtId="0" fontId="1" fillId="0" borderId="2" xfId="0" applyFont="1" applyBorder="1"/>
    <xf numFmtId="0" fontId="1" fillId="2" borderId="0" xfId="0" applyFont="1" applyFill="1"/>
    <xf numFmtId="0" fontId="0" fillId="3" borderId="0" xfId="0" applyFill="1"/>
    <xf numFmtId="165" fontId="0" fillId="0" borderId="0" xfId="0" applyNumberFormat="1"/>
    <xf numFmtId="165" fontId="1" fillId="0" borderId="0" xfId="0" applyNumberFormat="1" applyFont="1"/>
    <xf numFmtId="165" fontId="0" fillId="0" borderId="8" xfId="0" applyNumberFormat="1" applyBorder="1"/>
    <xf numFmtId="164" fontId="0" fillId="0" borderId="0" xfId="0" applyNumberFormat="1"/>
    <xf numFmtId="164" fontId="0" fillId="3" borderId="8" xfId="0" applyNumberFormat="1" applyFill="1" applyBorder="1"/>
    <xf numFmtId="165" fontId="3" fillId="0" borderId="1" xfId="0" applyNumberFormat="1" applyFont="1" applyBorder="1"/>
    <xf numFmtId="165" fontId="1" fillId="0" borderId="1" xfId="0" applyNumberFormat="1" applyFont="1" applyBorder="1"/>
    <xf numFmtId="165" fontId="3" fillId="0" borderId="3" xfId="0" applyNumberFormat="1" applyFont="1" applyBorder="1"/>
    <xf numFmtId="165" fontId="1" fillId="0" borderId="3" xfId="0" applyNumberFormat="1" applyFont="1" applyBorder="1"/>
    <xf numFmtId="165" fontId="3" fillId="0" borderId="4" xfId="0" applyNumberFormat="1" applyFont="1" applyBorder="1"/>
    <xf numFmtId="165" fontId="3" fillId="0" borderId="12" xfId="0" applyNumberFormat="1" applyFont="1" applyBorder="1"/>
    <xf numFmtId="165" fontId="3" fillId="0" borderId="6" xfId="0" applyNumberFormat="1" applyFont="1" applyBorder="1"/>
    <xf numFmtId="165" fontId="1" fillId="0" borderId="6" xfId="0" applyNumberFormat="1" applyFont="1" applyBorder="1"/>
    <xf numFmtId="165" fontId="3" fillId="0" borderId="7" xfId="0" applyNumberFormat="1" applyFont="1" applyBorder="1"/>
    <xf numFmtId="0" fontId="0" fillId="3" borderId="1" xfId="0" applyFont="1" applyFill="1" applyBorder="1"/>
    <xf numFmtId="165" fontId="0" fillId="3" borderId="1" xfId="0" applyNumberFormat="1" applyFont="1" applyFill="1" applyBorder="1"/>
    <xf numFmtId="164" fontId="0" fillId="3" borderId="1" xfId="0" applyNumberFormat="1" applyFont="1" applyFill="1" applyBorder="1"/>
    <xf numFmtId="165" fontId="11" fillId="3" borderId="1" xfId="0" applyNumberFormat="1" applyFont="1" applyFill="1" applyBorder="1"/>
    <xf numFmtId="165" fontId="11" fillId="3" borderId="8" xfId="0" applyNumberFormat="1" applyFont="1" applyFill="1" applyBorder="1"/>
    <xf numFmtId="0" fontId="9" fillId="0" borderId="6" xfId="0" applyFont="1" applyBorder="1" applyAlignment="1">
      <alignment horizontal="center" vertical="center" wrapText="1"/>
    </xf>
    <xf numFmtId="0" fontId="12" fillId="3" borderId="8" xfId="0" applyFont="1" applyFill="1" applyBorder="1"/>
    <xf numFmtId="164" fontId="12" fillId="3" borderId="8" xfId="0" applyNumberFormat="1" applyFont="1" applyFill="1" applyBorder="1"/>
    <xf numFmtId="165" fontId="12" fillId="3" borderId="8" xfId="0" applyNumberFormat="1" applyFont="1" applyFill="1" applyBorder="1"/>
    <xf numFmtId="0" fontId="12" fillId="3" borderId="0" xfId="0" applyFont="1" applyFill="1"/>
    <xf numFmtId="0" fontId="0" fillId="2" borderId="1" xfId="0" applyFill="1" applyBorder="1"/>
    <xf numFmtId="164" fontId="13" fillId="0" borderId="8" xfId="0" applyNumberFormat="1" applyFont="1" applyBorder="1"/>
    <xf numFmtId="0" fontId="12" fillId="4" borderId="8" xfId="0" applyFont="1" applyFill="1" applyBorder="1"/>
    <xf numFmtId="0" fontId="0" fillId="4" borderId="1" xfId="0" applyFont="1" applyFill="1" applyBorder="1"/>
    <xf numFmtId="0" fontId="0" fillId="4" borderId="8" xfId="0" applyFill="1" applyBorder="1"/>
    <xf numFmtId="2" fontId="1" fillId="2" borderId="0" xfId="0" applyNumberFormat="1" applyFont="1" applyFill="1"/>
    <xf numFmtId="0" fontId="0" fillId="2" borderId="0" xfId="0" applyFill="1"/>
    <xf numFmtId="164" fontId="0" fillId="2" borderId="0" xfId="0" applyNumberFormat="1" applyFill="1"/>
    <xf numFmtId="0" fontId="5" fillId="2" borderId="0" xfId="0" applyFont="1" applyFill="1"/>
    <xf numFmtId="164" fontId="0" fillId="2" borderId="8" xfId="0" applyNumberForma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7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T55"/>
  <sheetViews>
    <sheetView tabSelected="1" topLeftCell="A16" workbookViewId="0">
      <selection activeCell="D40" sqref="D40"/>
    </sheetView>
  </sheetViews>
  <sheetFormatPr defaultRowHeight="15"/>
  <cols>
    <col min="1" max="1" width="11.42578125" style="1" customWidth="1"/>
    <col min="2" max="2" width="13.28515625" style="1" customWidth="1"/>
    <col min="3" max="3" width="14.42578125" style="1" customWidth="1"/>
    <col min="4" max="4" width="14" style="1" customWidth="1"/>
    <col min="5" max="5" width="10.7109375" style="1" bestFit="1" customWidth="1"/>
    <col min="6" max="6" width="10.85546875" style="1" customWidth="1"/>
    <col min="7" max="7" width="12.42578125" style="1" customWidth="1"/>
    <col min="8" max="8" width="9.140625" style="1"/>
    <col min="9" max="9" width="7.5703125" style="1" customWidth="1"/>
    <col min="10" max="10" width="9.42578125" style="1" bestFit="1" customWidth="1"/>
    <col min="11" max="11" width="11.28515625" style="1" customWidth="1"/>
    <col min="12" max="12" width="13" style="1" customWidth="1"/>
    <col min="13" max="14" width="12.28515625" style="1" customWidth="1"/>
    <col min="15" max="15" width="5.85546875" customWidth="1"/>
    <col min="17" max="17" width="14.28515625" bestFit="1" customWidth="1"/>
  </cols>
  <sheetData>
    <row r="2" spans="1:20">
      <c r="A2" s="1" t="s">
        <v>0</v>
      </c>
    </row>
    <row r="4" spans="1:20">
      <c r="A4" s="7" t="s">
        <v>33</v>
      </c>
      <c r="G4"/>
      <c r="O4" s="1"/>
      <c r="P4" s="1"/>
      <c r="Q4" s="1"/>
      <c r="R4" s="1"/>
    </row>
    <row r="6" spans="1:20" ht="46.5" customHeight="1">
      <c r="A6" s="57" t="s">
        <v>3</v>
      </c>
      <c r="B6" s="58" t="s">
        <v>1</v>
      </c>
      <c r="C6" s="58"/>
      <c r="D6" s="58"/>
      <c r="E6" s="57" t="s">
        <v>7</v>
      </c>
      <c r="F6" s="57"/>
      <c r="G6" s="57"/>
      <c r="H6" s="57"/>
      <c r="I6" s="57"/>
      <c r="J6" s="57"/>
      <c r="K6" s="57"/>
      <c r="L6" s="57" t="s">
        <v>15</v>
      </c>
      <c r="Q6">
        <f>B9*125064</f>
        <v>9864673.1279999986</v>
      </c>
    </row>
    <row r="7" spans="1:20" ht="102" customHeight="1">
      <c r="A7" s="57"/>
      <c r="B7" s="2" t="s">
        <v>2</v>
      </c>
      <c r="C7" s="2" t="s">
        <v>4</v>
      </c>
      <c r="D7" s="2" t="s">
        <v>5</v>
      </c>
      <c r="E7" s="2" t="s">
        <v>8</v>
      </c>
      <c r="F7" s="2" t="s">
        <v>9</v>
      </c>
      <c r="G7" s="2" t="s">
        <v>10</v>
      </c>
      <c r="H7" s="2" t="s">
        <v>11</v>
      </c>
      <c r="I7" s="2" t="s">
        <v>12</v>
      </c>
      <c r="J7" s="2" t="s">
        <v>13</v>
      </c>
      <c r="K7" s="2" t="s">
        <v>14</v>
      </c>
      <c r="L7" s="57"/>
      <c r="M7" s="1" t="s">
        <v>17</v>
      </c>
      <c r="N7" s="1" t="s">
        <v>18</v>
      </c>
      <c r="Q7" t="s">
        <v>34</v>
      </c>
      <c r="R7" t="s">
        <v>35</v>
      </c>
      <c r="S7" t="s">
        <v>36</v>
      </c>
    </row>
    <row r="8" spans="1:20" ht="10.5" customHeight="1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3">
        <v>11</v>
      </c>
      <c r="L8" s="3">
        <v>12</v>
      </c>
    </row>
    <row r="9" spans="1:20">
      <c r="A9" s="4" t="s">
        <v>31</v>
      </c>
      <c r="B9" s="28">
        <v>78.876999999999995</v>
      </c>
      <c r="C9" s="29">
        <v>0.19869999999999999</v>
      </c>
      <c r="D9" s="29">
        <v>1.7901800000000001</v>
      </c>
      <c r="E9" s="28">
        <v>18.31634</v>
      </c>
      <c r="F9" s="28">
        <v>10.267429999999999</v>
      </c>
      <c r="G9" s="29">
        <v>1.1877899999999999</v>
      </c>
      <c r="H9" s="29">
        <v>0.56666000000000005</v>
      </c>
      <c r="I9" s="29">
        <v>0</v>
      </c>
      <c r="J9" s="29">
        <v>39.379199999999997</v>
      </c>
      <c r="K9" s="29">
        <v>1.03485</v>
      </c>
      <c r="L9" s="28">
        <f>B9+C9+D9+E9+F9+G9+H9+I9+J9+K9</f>
        <v>151.61815000000001</v>
      </c>
      <c r="M9" s="52">
        <f>L9*54353</f>
        <v>8240901.306950001</v>
      </c>
      <c r="N9" s="21">
        <f>8773246+104295.37-636640</f>
        <v>8240901.3699999992</v>
      </c>
      <c r="O9" s="6">
        <f>N9-M9</f>
        <v>6.3049998134374619E-2</v>
      </c>
      <c r="Q9" s="54">
        <f>(B9+J9)*54353</f>
        <v>6427579.2385999998</v>
      </c>
      <c r="R9" s="53">
        <f>E9*54353</f>
        <v>995548.02801999997</v>
      </c>
      <c r="S9">
        <f>(C9+D9+F9+G9+H9+K9)*54353</f>
        <v>817774.04032999999</v>
      </c>
      <c r="T9">
        <v>817774.37</v>
      </c>
    </row>
    <row r="10" spans="1:20">
      <c r="A10" s="4" t="s">
        <v>6</v>
      </c>
      <c r="B10" s="28">
        <v>79.289689999999993</v>
      </c>
      <c r="C10" s="29">
        <v>1.44496</v>
      </c>
      <c r="D10" s="29">
        <v>15.729990000000001</v>
      </c>
      <c r="E10" s="28">
        <v>8.1897900000000003</v>
      </c>
      <c r="F10" s="28">
        <v>5.1762300000000003</v>
      </c>
      <c r="G10" s="29">
        <v>13.581149999999999</v>
      </c>
      <c r="H10" s="29">
        <v>0.46983000000000003</v>
      </c>
      <c r="I10" s="29">
        <v>0</v>
      </c>
      <c r="J10" s="29">
        <v>47.37115</v>
      </c>
      <c r="K10" s="29">
        <v>1.1137999999999999</v>
      </c>
      <c r="L10" s="28">
        <f>B10+C10+D10+E10+F10+G10+H10+I10+J10+K10</f>
        <v>172.36659</v>
      </c>
      <c r="M10" s="21">
        <f>L10*38312</f>
        <v>6603708.7960799998</v>
      </c>
      <c r="N10" s="21">
        <f>6537731.93+65976.7</f>
        <v>6603708.6299999999</v>
      </c>
      <c r="O10" s="6">
        <f>N10-M10</f>
        <v>-0.16607999987900257</v>
      </c>
      <c r="Q10" s="54">
        <f>(B10+J10)*38312</f>
        <v>4852630.1020799996</v>
      </c>
      <c r="R10" s="53">
        <f>E10*38312</f>
        <v>313767.23447999998</v>
      </c>
    </row>
    <row r="11" spans="1:20">
      <c r="M11" s="21"/>
      <c r="N11" s="21"/>
    </row>
    <row r="12" spans="1:20" s="10" customFormat="1">
      <c r="A12" s="8" t="s">
        <v>19</v>
      </c>
      <c r="B12" s="9"/>
      <c r="C12" s="9"/>
      <c r="D12" s="9"/>
      <c r="E12" s="9"/>
      <c r="F12" s="9"/>
      <c r="I12" s="9"/>
      <c r="J12" s="9"/>
      <c r="K12" s="9"/>
      <c r="L12" s="9"/>
      <c r="M12" s="55"/>
      <c r="N12" s="55"/>
      <c r="O12" s="9"/>
      <c r="P12" s="9"/>
      <c r="Q12" s="9"/>
      <c r="R12" s="9"/>
      <c r="S12" s="9"/>
    </row>
    <row r="13" spans="1:20">
      <c r="M13" s="21"/>
      <c r="N13" s="21"/>
    </row>
    <row r="14" spans="1:20" ht="48.4" customHeight="1">
      <c r="A14" s="57" t="s">
        <v>3</v>
      </c>
      <c r="B14" s="58" t="s">
        <v>1</v>
      </c>
      <c r="C14" s="58"/>
      <c r="D14" s="58"/>
      <c r="E14" s="57" t="s">
        <v>7</v>
      </c>
      <c r="F14" s="57"/>
      <c r="G14" s="57"/>
      <c r="H14" s="57"/>
      <c r="I14" s="57"/>
      <c r="J14" s="57"/>
      <c r="K14" s="57"/>
      <c r="L14" s="57" t="s">
        <v>15</v>
      </c>
      <c r="M14" s="21"/>
      <c r="N14" s="21"/>
    </row>
    <row r="15" spans="1:20" ht="102" customHeight="1">
      <c r="A15" s="57"/>
      <c r="B15" s="2" t="s">
        <v>2</v>
      </c>
      <c r="C15" s="2" t="s">
        <v>4</v>
      </c>
      <c r="D15" s="2" t="s">
        <v>5</v>
      </c>
      <c r="E15" s="2" t="s">
        <v>8</v>
      </c>
      <c r="F15" s="2" t="s">
        <v>9</v>
      </c>
      <c r="G15" s="2" t="s">
        <v>10</v>
      </c>
      <c r="H15" s="2" t="s">
        <v>11</v>
      </c>
      <c r="I15" s="2" t="s">
        <v>12</v>
      </c>
      <c r="J15" s="2" t="s">
        <v>13</v>
      </c>
      <c r="K15" s="2" t="s">
        <v>14</v>
      </c>
      <c r="L15" s="57"/>
      <c r="M15" s="21" t="s">
        <v>17</v>
      </c>
      <c r="N15" s="21" t="s">
        <v>18</v>
      </c>
    </row>
    <row r="16" spans="1:20" ht="10.5" customHeight="1" thickBot="1">
      <c r="A16" s="19">
        <v>1</v>
      </c>
      <c r="B16" s="19">
        <v>2</v>
      </c>
      <c r="C16" s="19">
        <v>3</v>
      </c>
      <c r="D16" s="19">
        <v>4</v>
      </c>
      <c r="E16" s="19">
        <v>5</v>
      </c>
      <c r="F16" s="19">
        <v>6</v>
      </c>
      <c r="G16" s="19">
        <v>7</v>
      </c>
      <c r="H16" s="19">
        <v>8</v>
      </c>
      <c r="I16" s="19">
        <v>9</v>
      </c>
      <c r="J16" s="19">
        <v>10</v>
      </c>
      <c r="K16" s="19">
        <v>11</v>
      </c>
      <c r="L16" s="19">
        <v>12</v>
      </c>
      <c r="M16" s="21"/>
      <c r="N16" s="21"/>
    </row>
    <row r="17" spans="1:19">
      <c r="A17" s="20" t="s">
        <v>31</v>
      </c>
      <c r="B17" s="28">
        <f>B18+B19</f>
        <v>6092.8520200000003</v>
      </c>
      <c r="C17" s="31">
        <f>C18+C19</f>
        <v>14525.61247</v>
      </c>
      <c r="D17" s="31">
        <f>D18+D19</f>
        <v>232.12615</v>
      </c>
      <c r="E17" s="30">
        <f t="shared" ref="E17:L17" si="0">E18+E19</f>
        <v>723.27401999999995</v>
      </c>
      <c r="F17" s="30">
        <f t="shared" si="0"/>
        <v>481.77586000000002</v>
      </c>
      <c r="G17" s="31">
        <f t="shared" si="0"/>
        <v>514.41871000000003</v>
      </c>
      <c r="H17" s="31">
        <f t="shared" si="0"/>
        <v>0</v>
      </c>
      <c r="I17" s="31">
        <f t="shared" si="0"/>
        <v>0</v>
      </c>
      <c r="J17" s="31">
        <f t="shared" si="0"/>
        <v>0</v>
      </c>
      <c r="K17" s="31">
        <f t="shared" si="0"/>
        <v>230.65478999999999</v>
      </c>
      <c r="L17" s="32">
        <f t="shared" si="0"/>
        <v>22800.714019999999</v>
      </c>
      <c r="M17" s="52">
        <f>L17*449</f>
        <v>10237520.59498</v>
      </c>
      <c r="N17" s="21">
        <f>6264000+442200+500+119357.36+3073562.64+258000+79900</f>
        <v>10237520</v>
      </c>
      <c r="O17" s="6">
        <f>N17-M17</f>
        <v>-0.59497999958693981</v>
      </c>
      <c r="Q17" s="53">
        <f>B17*449</f>
        <v>2735690.5569800003</v>
      </c>
      <c r="R17" s="53">
        <f>E17*449</f>
        <v>324750.03498</v>
      </c>
      <c r="S17">
        <f>(C17+D17+F17+G17+H17+K17)*449</f>
        <v>7177080.0030199997</v>
      </c>
    </row>
    <row r="18" spans="1:19">
      <c r="A18" s="17" t="s">
        <v>26</v>
      </c>
      <c r="B18" s="28">
        <v>984.85681</v>
      </c>
      <c r="C18" s="29">
        <v>14525.61247</v>
      </c>
      <c r="D18" s="29"/>
      <c r="E18" s="28"/>
      <c r="F18" s="28"/>
      <c r="G18" s="29"/>
      <c r="H18" s="29"/>
      <c r="I18" s="29"/>
      <c r="J18" s="29"/>
      <c r="K18" s="29"/>
      <c r="L18" s="33">
        <f>SUM(B18:K18)</f>
        <v>15510.469279999999</v>
      </c>
      <c r="M18" s="52">
        <f t="shared" ref="M18:M19" si="1">L18*449</f>
        <v>6964200.7067200001</v>
      </c>
      <c r="N18" s="21">
        <f>6264000+442200+258000</f>
        <v>6964200</v>
      </c>
      <c r="O18" s="6">
        <f t="shared" ref="O18:O19" si="2">N18-M18</f>
        <v>-0.70672000013291836</v>
      </c>
      <c r="Q18" s="53">
        <f t="shared" ref="Q18:Q19" si="3">B18*449</f>
        <v>442200.70769000001</v>
      </c>
    </row>
    <row r="19" spans="1:19" ht="15.75" thickBot="1">
      <c r="A19" s="18" t="s">
        <v>30</v>
      </c>
      <c r="B19" s="34">
        <v>5107.99521</v>
      </c>
      <c r="C19" s="35">
        <v>0</v>
      </c>
      <c r="D19" s="35">
        <v>232.12615</v>
      </c>
      <c r="E19" s="34">
        <v>723.27401999999995</v>
      </c>
      <c r="F19" s="34">
        <v>481.77586000000002</v>
      </c>
      <c r="G19" s="35">
        <v>514.41871000000003</v>
      </c>
      <c r="H19" s="35">
        <v>0</v>
      </c>
      <c r="I19" s="35"/>
      <c r="J19" s="35"/>
      <c r="K19" s="35">
        <v>230.65478999999999</v>
      </c>
      <c r="L19" s="36">
        <f>SUM(B19:K19)</f>
        <v>7290.2447399999992</v>
      </c>
      <c r="M19" s="52">
        <f t="shared" si="1"/>
        <v>3273319.8882599995</v>
      </c>
      <c r="N19" s="21">
        <f>3073562.64+119357.36+500+79900</f>
        <v>3273320</v>
      </c>
      <c r="O19" s="6">
        <f t="shared" si="2"/>
        <v>0.11174000054597855</v>
      </c>
      <c r="Q19" s="53">
        <f t="shared" si="3"/>
        <v>2293489.8492899998</v>
      </c>
    </row>
    <row r="20" spans="1:19">
      <c r="A20" s="20" t="s">
        <v>6</v>
      </c>
      <c r="B20" s="30">
        <f>B21+B22</f>
        <v>0</v>
      </c>
      <c r="C20" s="31">
        <f>C21+C22</f>
        <v>2516.6666700000001</v>
      </c>
      <c r="D20" s="31">
        <f>D21+D22</f>
        <v>0</v>
      </c>
      <c r="E20" s="30">
        <f t="shared" ref="E20" si="4">E21+E22</f>
        <v>0</v>
      </c>
      <c r="F20" s="30">
        <f t="shared" ref="F20" si="5">F21+F22</f>
        <v>0</v>
      </c>
      <c r="G20" s="31">
        <f t="shared" ref="G20" si="6">G21+G22</f>
        <v>0</v>
      </c>
      <c r="H20" s="31">
        <f t="shared" ref="H20" si="7">H21+H22</f>
        <v>0</v>
      </c>
      <c r="I20" s="31">
        <f t="shared" ref="I20" si="8">I21+I22</f>
        <v>0</v>
      </c>
      <c r="J20" s="31">
        <f t="shared" ref="J20" si="9">J21+J22</f>
        <v>0</v>
      </c>
      <c r="K20" s="31">
        <f t="shared" ref="K20" si="10">K21+K22</f>
        <v>0</v>
      </c>
      <c r="L20" s="32">
        <f t="shared" ref="L20" si="11">L21+L22</f>
        <v>2516.6666700000001</v>
      </c>
      <c r="M20" s="52">
        <f>L20*60</f>
        <v>151000.00020000001</v>
      </c>
      <c r="N20" s="21">
        <v>151000</v>
      </c>
      <c r="O20" s="6">
        <f>N20-M20</f>
        <v>-2.0000000949949026E-4</v>
      </c>
    </row>
    <row r="21" spans="1:19">
      <c r="A21" s="17" t="s">
        <v>26</v>
      </c>
      <c r="B21" s="28"/>
      <c r="C21" s="29">
        <v>2516.6666700000001</v>
      </c>
      <c r="D21" s="29"/>
      <c r="E21" s="28"/>
      <c r="F21" s="28"/>
      <c r="G21" s="29"/>
      <c r="H21" s="29"/>
      <c r="I21" s="29"/>
      <c r="J21" s="29"/>
      <c r="K21" s="29"/>
      <c r="L21" s="33">
        <f>SUM(B21:K21)</f>
        <v>2516.6666700000001</v>
      </c>
      <c r="M21" s="52">
        <f>L21*60</f>
        <v>151000.00020000001</v>
      </c>
      <c r="N21" s="21">
        <v>151000</v>
      </c>
      <c r="O21" s="6"/>
    </row>
    <row r="22" spans="1:19" ht="15.75" thickBot="1">
      <c r="A22" s="18" t="s">
        <v>30</v>
      </c>
      <c r="B22" s="34"/>
      <c r="C22" s="35"/>
      <c r="D22" s="35"/>
      <c r="E22" s="34"/>
      <c r="F22" s="34"/>
      <c r="G22" s="35"/>
      <c r="H22" s="35"/>
      <c r="I22" s="35"/>
      <c r="J22" s="35"/>
      <c r="K22" s="35"/>
      <c r="L22" s="36">
        <f>SUM(B22:K22)</f>
        <v>0</v>
      </c>
      <c r="M22" s="52">
        <f>L22*60</f>
        <v>0</v>
      </c>
      <c r="N22" s="21"/>
      <c r="O22" s="6"/>
    </row>
    <row r="35" spans="1:19" s="10" customFormat="1">
      <c r="A35" s="8" t="s">
        <v>37</v>
      </c>
      <c r="B35" s="9"/>
      <c r="C35" s="9"/>
      <c r="D35" s="9"/>
      <c r="E35" s="9"/>
      <c r="F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</row>
    <row r="37" spans="1:19" ht="48.4" customHeight="1">
      <c r="A37" s="57" t="s">
        <v>3</v>
      </c>
      <c r="B37" s="58" t="s">
        <v>1</v>
      </c>
      <c r="C37" s="58"/>
      <c r="D37" s="58"/>
      <c r="E37" s="57" t="s">
        <v>7</v>
      </c>
      <c r="F37" s="57"/>
      <c r="G37" s="57"/>
      <c r="H37" s="57"/>
      <c r="I37" s="57"/>
      <c r="J37" s="57"/>
      <c r="K37" s="57"/>
      <c r="L37" s="57" t="s">
        <v>15</v>
      </c>
    </row>
    <row r="38" spans="1:19" ht="102" customHeight="1">
      <c r="A38" s="57"/>
      <c r="B38" s="2" t="s">
        <v>2</v>
      </c>
      <c r="C38" s="2" t="s">
        <v>4</v>
      </c>
      <c r="D38" s="2" t="s">
        <v>5</v>
      </c>
      <c r="E38" s="2" t="s">
        <v>8</v>
      </c>
      <c r="F38" s="2" t="s">
        <v>9</v>
      </c>
      <c r="G38" s="2" t="s">
        <v>10</v>
      </c>
      <c r="H38" s="2" t="s">
        <v>11</v>
      </c>
      <c r="I38" s="2" t="s">
        <v>12</v>
      </c>
      <c r="J38" s="2" t="s">
        <v>13</v>
      </c>
      <c r="K38" s="2" t="s">
        <v>14</v>
      </c>
      <c r="L38" s="57"/>
      <c r="M38" s="1" t="s">
        <v>17</v>
      </c>
      <c r="N38" s="1" t="s">
        <v>18</v>
      </c>
    </row>
    <row r="39" spans="1:19" ht="10.5" customHeight="1" thickBot="1">
      <c r="A39" s="19">
        <v>1</v>
      </c>
      <c r="B39" s="19">
        <v>2</v>
      </c>
      <c r="C39" s="19">
        <v>3</v>
      </c>
      <c r="D39" s="19">
        <v>4</v>
      </c>
      <c r="E39" s="19">
        <v>5</v>
      </c>
      <c r="F39" s="19">
        <v>6</v>
      </c>
      <c r="G39" s="19">
        <v>7</v>
      </c>
      <c r="H39" s="19">
        <v>8</v>
      </c>
      <c r="I39" s="19">
        <v>9</v>
      </c>
      <c r="J39" s="19">
        <v>10</v>
      </c>
      <c r="K39" s="19">
        <v>11</v>
      </c>
      <c r="L39" s="19">
        <v>12</v>
      </c>
    </row>
    <row r="40" spans="1:19">
      <c r="A40" s="20" t="s">
        <v>31</v>
      </c>
      <c r="B40" s="28">
        <f>B41+B42</f>
        <v>53053.342649999999</v>
      </c>
      <c r="C40" s="31">
        <v>0</v>
      </c>
      <c r="D40" s="31">
        <f>D41+D42</f>
        <v>0</v>
      </c>
      <c r="E40" s="30">
        <f t="shared" ref="E40:L40" si="12">E41+E42</f>
        <v>0</v>
      </c>
      <c r="F40" s="30">
        <f t="shared" si="12"/>
        <v>0</v>
      </c>
      <c r="G40" s="31">
        <f t="shared" si="12"/>
        <v>0</v>
      </c>
      <c r="H40" s="31">
        <f t="shared" si="12"/>
        <v>0</v>
      </c>
      <c r="I40" s="31">
        <f t="shared" si="12"/>
        <v>0</v>
      </c>
      <c r="J40" s="31">
        <f t="shared" si="12"/>
        <v>0</v>
      </c>
      <c r="K40" s="31">
        <f t="shared" si="12"/>
        <v>0</v>
      </c>
      <c r="L40" s="32">
        <f t="shared" si="12"/>
        <v>53053.342649999999</v>
      </c>
      <c r="M40" s="52">
        <f>L40*12</f>
        <v>636640.11179999996</v>
      </c>
      <c r="N40" s="21">
        <v>636640</v>
      </c>
      <c r="O40" s="6">
        <f>N40-M40</f>
        <v>-0.11179999995511025</v>
      </c>
    </row>
    <row r="41" spans="1:19">
      <c r="A41" s="17" t="s">
        <v>26</v>
      </c>
      <c r="B41" s="28"/>
      <c r="C41" s="29"/>
      <c r="D41" s="29"/>
      <c r="E41" s="28"/>
      <c r="F41" s="28"/>
      <c r="G41" s="29"/>
      <c r="H41" s="29"/>
      <c r="I41" s="29"/>
      <c r="J41" s="29"/>
      <c r="K41" s="29"/>
      <c r="L41" s="33">
        <f>SUM(B41:K41)</f>
        <v>0</v>
      </c>
      <c r="M41" s="5"/>
      <c r="N41" s="21"/>
      <c r="O41" s="6"/>
    </row>
    <row r="42" spans="1:19" ht="15.75" thickBot="1">
      <c r="A42" s="18" t="s">
        <v>30</v>
      </c>
      <c r="B42" s="34">
        <v>53053.342649999999</v>
      </c>
      <c r="C42" s="35"/>
      <c r="D42" s="35"/>
      <c r="E42" s="34"/>
      <c r="F42" s="34"/>
      <c r="G42" s="35"/>
      <c r="H42" s="35"/>
      <c r="I42" s="35"/>
      <c r="J42" s="35"/>
      <c r="K42" s="35"/>
      <c r="L42" s="36">
        <f>SUM(B42:K42)</f>
        <v>53053.342649999999</v>
      </c>
      <c r="M42" s="5"/>
      <c r="O42" s="6"/>
    </row>
    <row r="43" spans="1:19">
      <c r="A43" s="20" t="s">
        <v>6</v>
      </c>
      <c r="B43" s="30">
        <f>B44+B45</f>
        <v>0</v>
      </c>
      <c r="C43" s="31">
        <f>C44+C45</f>
        <v>0</v>
      </c>
      <c r="D43" s="31">
        <f>D44+D45</f>
        <v>0</v>
      </c>
      <c r="E43" s="30">
        <f t="shared" ref="E43:L43" si="13">E44+E45</f>
        <v>0</v>
      </c>
      <c r="F43" s="30">
        <f t="shared" si="13"/>
        <v>0</v>
      </c>
      <c r="G43" s="31">
        <f t="shared" si="13"/>
        <v>0</v>
      </c>
      <c r="H43" s="31">
        <f t="shared" si="13"/>
        <v>0</v>
      </c>
      <c r="I43" s="31">
        <f t="shared" si="13"/>
        <v>0</v>
      </c>
      <c r="J43" s="31">
        <f t="shared" si="13"/>
        <v>0</v>
      </c>
      <c r="K43" s="31">
        <f t="shared" si="13"/>
        <v>0</v>
      </c>
      <c r="L43" s="32">
        <f t="shared" si="13"/>
        <v>0</v>
      </c>
      <c r="M43" s="5">
        <f>L43*60</f>
        <v>0</v>
      </c>
      <c r="N43" s="21"/>
      <c r="O43" s="6">
        <f>N43-M43</f>
        <v>0</v>
      </c>
    </row>
    <row r="44" spans="1:19">
      <c r="A44" s="17" t="s">
        <v>26</v>
      </c>
      <c r="B44" s="28"/>
      <c r="C44" s="29"/>
      <c r="D44" s="29"/>
      <c r="E44" s="28"/>
      <c r="F44" s="28"/>
      <c r="G44" s="29"/>
      <c r="H44" s="29"/>
      <c r="I44" s="29"/>
      <c r="J44" s="29"/>
      <c r="K44" s="29"/>
      <c r="L44" s="33">
        <f>SUM(B44:K44)</f>
        <v>0</v>
      </c>
      <c r="M44" s="5">
        <f>L44*60</f>
        <v>0</v>
      </c>
      <c r="O44" s="6"/>
    </row>
    <row r="45" spans="1:19" ht="15.75" thickBot="1">
      <c r="A45" s="18" t="s">
        <v>30</v>
      </c>
      <c r="B45" s="34"/>
      <c r="C45" s="35"/>
      <c r="D45" s="35"/>
      <c r="E45" s="34"/>
      <c r="F45" s="34"/>
      <c r="G45" s="35"/>
      <c r="H45" s="35"/>
      <c r="I45" s="35"/>
      <c r="J45" s="35"/>
      <c r="K45" s="35"/>
      <c r="L45" s="36">
        <f>SUM(B45:K45)</f>
        <v>0</v>
      </c>
      <c r="M45" s="5">
        <f>L45*60</f>
        <v>0</v>
      </c>
      <c r="O45" s="6"/>
    </row>
    <row r="54" spans="13:15">
      <c r="M54" s="5"/>
      <c r="O54" s="6"/>
    </row>
    <row r="55" spans="13:15">
      <c r="M55" s="5"/>
      <c r="O55" s="6"/>
    </row>
  </sheetData>
  <mergeCells count="12">
    <mergeCell ref="A37:A38"/>
    <mergeCell ref="B37:D37"/>
    <mergeCell ref="E37:K37"/>
    <mergeCell ref="L37:L38"/>
    <mergeCell ref="B6:D6"/>
    <mergeCell ref="A6:A7"/>
    <mergeCell ref="L6:L7"/>
    <mergeCell ref="E6:K6"/>
    <mergeCell ref="A14:A15"/>
    <mergeCell ref="B14:D14"/>
    <mergeCell ref="E14:K14"/>
    <mergeCell ref="L14:L15"/>
  </mergeCells>
  <pageMargins left="0.31496062992125984" right="0" top="0.15748031496062992" bottom="0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8"/>
  <sheetViews>
    <sheetView workbookViewId="0">
      <selection activeCell="H8" sqref="H8"/>
    </sheetView>
  </sheetViews>
  <sheetFormatPr defaultRowHeight="15"/>
  <cols>
    <col min="1" max="1" width="18.28515625" customWidth="1"/>
    <col min="2" max="2" width="10.140625" customWidth="1"/>
    <col min="3" max="3" width="14" customWidth="1"/>
    <col min="4" max="5" width="14.5703125" customWidth="1"/>
    <col min="6" max="6" width="15.7109375" customWidth="1"/>
    <col min="7" max="7" width="16.7109375" customWidth="1"/>
    <col min="8" max="8" width="17.7109375" customWidth="1"/>
    <col min="9" max="9" width="12.85546875" customWidth="1"/>
  </cols>
  <sheetData>
    <row r="1" spans="1:14">
      <c r="A1" t="s">
        <v>0</v>
      </c>
    </row>
    <row r="2" spans="1:14" ht="19.5" thickBot="1">
      <c r="A2" s="11" t="s">
        <v>32</v>
      </c>
      <c r="B2" s="1"/>
      <c r="C2" s="1"/>
      <c r="D2" s="1"/>
      <c r="E2" s="1"/>
      <c r="F2" s="1"/>
      <c r="G2" s="1"/>
      <c r="H2" s="1"/>
      <c r="I2" s="1"/>
    </row>
    <row r="3" spans="1:14" ht="15.75" thickBot="1">
      <c r="L3" s="67" t="s">
        <v>40</v>
      </c>
      <c r="M3" s="68"/>
      <c r="N3" s="69"/>
    </row>
    <row r="4" spans="1:14">
      <c r="A4" s="61" t="s">
        <v>20</v>
      </c>
      <c r="B4" s="63" t="s">
        <v>21</v>
      </c>
      <c r="C4" s="63" t="s">
        <v>22</v>
      </c>
      <c r="D4" s="63"/>
      <c r="E4" s="63"/>
      <c r="F4" s="65" t="s">
        <v>23</v>
      </c>
      <c r="G4" s="63" t="s">
        <v>24</v>
      </c>
      <c r="H4" s="63"/>
      <c r="I4" s="70" t="s">
        <v>25</v>
      </c>
    </row>
    <row r="5" spans="1:14" ht="39" thickBot="1">
      <c r="A5" s="62"/>
      <c r="B5" s="64"/>
      <c r="C5" s="12" t="s">
        <v>26</v>
      </c>
      <c r="D5" s="12" t="s">
        <v>27</v>
      </c>
      <c r="E5" s="12" t="s">
        <v>28</v>
      </c>
      <c r="F5" s="66"/>
      <c r="G5" s="13" t="s">
        <v>16</v>
      </c>
      <c r="H5" s="13" t="s">
        <v>29</v>
      </c>
      <c r="I5" s="71"/>
    </row>
    <row r="6" spans="1:14" s="46" customFormat="1">
      <c r="A6" s="43" t="s">
        <v>31</v>
      </c>
      <c r="B6" s="49">
        <v>54353</v>
      </c>
      <c r="C6" s="43"/>
      <c r="D6" s="43">
        <v>151.61815000000001</v>
      </c>
      <c r="E6" s="41">
        <f>D6+C6</f>
        <v>151.61815000000001</v>
      </c>
      <c r="F6" s="45">
        <v>151.61815000000001</v>
      </c>
      <c r="G6" s="44">
        <f>F6*B6</f>
        <v>8240901.306950001</v>
      </c>
      <c r="H6" s="44">
        <f>8773246+104295.37-636640</f>
        <v>8240901.3699999992</v>
      </c>
      <c r="I6" s="45">
        <f>H6/G6</f>
        <v>1.0000000076508619</v>
      </c>
    </row>
    <row r="7" spans="1:14" s="22" customFormat="1">
      <c r="A7" s="37" t="s">
        <v>6</v>
      </c>
      <c r="B7" s="50">
        <v>38312</v>
      </c>
      <c r="C7" s="37"/>
      <c r="D7" s="37">
        <v>172.36659</v>
      </c>
      <c r="E7" s="38">
        <f t="shared" ref="E7" si="0">D7+C7</f>
        <v>172.36659</v>
      </c>
      <c r="F7" s="38">
        <v>151.61815000000001</v>
      </c>
      <c r="G7" s="39">
        <f>F7*B7</f>
        <v>5808794.5628000004</v>
      </c>
      <c r="H7" s="27">
        <f>6537731.93+65976.7</f>
        <v>6603708.6299999999</v>
      </c>
      <c r="I7" s="38">
        <f t="shared" ref="I7" si="1">H7/G7</f>
        <v>1.136846648406314</v>
      </c>
    </row>
    <row r="8" spans="1:14">
      <c r="B8">
        <f>SUM(B6:B7)</f>
        <v>92665</v>
      </c>
      <c r="H8" s="26">
        <f>SUM(H6:H7)</f>
        <v>14844610</v>
      </c>
      <c r="I8" s="23"/>
    </row>
    <row r="9" spans="1:14" ht="18.75">
      <c r="A9" s="11" t="s">
        <v>19</v>
      </c>
      <c r="B9" s="1"/>
      <c r="C9" s="1"/>
      <c r="D9" s="16"/>
      <c r="E9" s="1"/>
      <c r="F9" s="1"/>
      <c r="G9" s="1"/>
      <c r="H9" s="1"/>
      <c r="I9" s="24"/>
    </row>
    <row r="10" spans="1:14" ht="15.75" thickBot="1">
      <c r="I10" s="23"/>
    </row>
    <row r="11" spans="1:14">
      <c r="A11" s="61" t="s">
        <v>20</v>
      </c>
      <c r="B11" s="63" t="s">
        <v>21</v>
      </c>
      <c r="C11" s="63" t="s">
        <v>22</v>
      </c>
      <c r="D11" s="63"/>
      <c r="E11" s="63"/>
      <c r="F11" s="65" t="s">
        <v>23</v>
      </c>
      <c r="G11" s="63" t="s">
        <v>24</v>
      </c>
      <c r="H11" s="63"/>
      <c r="I11" s="59" t="s">
        <v>25</v>
      </c>
    </row>
    <row r="12" spans="1:14" ht="39" thickBot="1">
      <c r="A12" s="62"/>
      <c r="B12" s="64"/>
      <c r="C12" s="12" t="s">
        <v>26</v>
      </c>
      <c r="D12" s="12" t="s">
        <v>27</v>
      </c>
      <c r="E12" s="12" t="s">
        <v>28</v>
      </c>
      <c r="F12" s="66"/>
      <c r="G12" s="13" t="s">
        <v>16</v>
      </c>
      <c r="H12" s="13" t="s">
        <v>29</v>
      </c>
      <c r="I12" s="60"/>
    </row>
    <row r="13" spans="1:14">
      <c r="A13" s="14" t="s">
        <v>31</v>
      </c>
      <c r="B13" s="51">
        <v>449</v>
      </c>
      <c r="C13" s="25">
        <v>15510.469279999999</v>
      </c>
      <c r="D13" s="38">
        <v>7290.2447400000001</v>
      </c>
      <c r="E13" s="25">
        <f>D13+C13</f>
        <v>22800.714019999999</v>
      </c>
      <c r="F13" s="38">
        <v>2516.6666700000001</v>
      </c>
      <c r="G13" s="15">
        <f>F13*B13</f>
        <v>1129983.3348300001</v>
      </c>
      <c r="H13" s="15">
        <f>6264000+442200+500+3073562.64+119357.36+79900+258000</f>
        <v>10237520</v>
      </c>
      <c r="I13" s="25">
        <f>H13/G13</f>
        <v>9.0598858270243259</v>
      </c>
    </row>
    <row r="14" spans="1:14" s="22" customFormat="1">
      <c r="A14" s="37" t="s">
        <v>6</v>
      </c>
      <c r="B14" s="50">
        <v>60</v>
      </c>
      <c r="C14" s="38">
        <v>2516.6666700000001</v>
      </c>
      <c r="D14" s="38"/>
      <c r="E14" s="40">
        <f t="shared" ref="E14" si="2">D14+C14</f>
        <v>2516.6666700000001</v>
      </c>
      <c r="F14" s="38">
        <f>E14</f>
        <v>2516.6666700000001</v>
      </c>
      <c r="G14" s="39">
        <f>F14*B14</f>
        <v>151000.00020000001</v>
      </c>
      <c r="H14" s="39">
        <v>151000</v>
      </c>
      <c r="I14" s="38">
        <f t="shared" ref="I14" si="3">H14/G14</f>
        <v>0.9999999986754966</v>
      </c>
    </row>
    <row r="15" spans="1:14">
      <c r="B15">
        <f>SUM(B13:B14)</f>
        <v>509</v>
      </c>
      <c r="H15" s="26">
        <f>SUM(H13:H14)</f>
        <v>10388520</v>
      </c>
    </row>
    <row r="17" spans="1:9" ht="18.75">
      <c r="A17" s="11" t="s">
        <v>37</v>
      </c>
      <c r="B17" s="1"/>
      <c r="C17" s="1"/>
      <c r="D17" s="16"/>
      <c r="E17" s="1"/>
      <c r="F17" s="1"/>
      <c r="G17" s="1"/>
      <c r="H17" s="1"/>
      <c r="I17" s="24"/>
    </row>
    <row r="18" spans="1:9" ht="15.75" thickBot="1">
      <c r="I18" s="23"/>
    </row>
    <row r="19" spans="1:9">
      <c r="A19" s="61" t="s">
        <v>20</v>
      </c>
      <c r="B19" s="63" t="s">
        <v>21</v>
      </c>
      <c r="C19" s="63" t="s">
        <v>22</v>
      </c>
      <c r="D19" s="63"/>
      <c r="E19" s="63"/>
      <c r="F19" s="65" t="s">
        <v>23</v>
      </c>
      <c r="G19" s="63" t="s">
        <v>24</v>
      </c>
      <c r="H19" s="63"/>
      <c r="I19" s="59" t="s">
        <v>25</v>
      </c>
    </row>
    <row r="20" spans="1:9" ht="39" thickBot="1">
      <c r="A20" s="62"/>
      <c r="B20" s="64"/>
      <c r="C20" s="12" t="s">
        <v>26</v>
      </c>
      <c r="D20" s="12" t="s">
        <v>27</v>
      </c>
      <c r="E20" s="12" t="s">
        <v>28</v>
      </c>
      <c r="F20" s="66"/>
      <c r="G20" s="42" t="s">
        <v>16</v>
      </c>
      <c r="H20" s="42" t="s">
        <v>29</v>
      </c>
      <c r="I20" s="60"/>
    </row>
    <row r="21" spans="1:9">
      <c r="A21" s="14" t="s">
        <v>31</v>
      </c>
      <c r="B21" s="51">
        <v>12</v>
      </c>
      <c r="C21" s="25"/>
      <c r="D21" s="25">
        <v>53053.342649999999</v>
      </c>
      <c r="E21" s="25">
        <f>D21+C21</f>
        <v>53053.342649999999</v>
      </c>
      <c r="F21" s="25">
        <f>E21</f>
        <v>53053.342649999999</v>
      </c>
      <c r="G21" s="15">
        <f>F21*B21</f>
        <v>636640.11179999996</v>
      </c>
      <c r="H21" s="56">
        <v>636640</v>
      </c>
      <c r="I21" s="25">
        <f>H21/G21</f>
        <v>0.99999982439058133</v>
      </c>
    </row>
    <row r="22" spans="1:9">
      <c r="A22" s="37"/>
      <c r="B22" s="37"/>
      <c r="C22" s="38"/>
      <c r="D22" s="38"/>
      <c r="E22" s="40"/>
      <c r="F22" s="38"/>
      <c r="G22" s="39"/>
      <c r="H22" s="39"/>
      <c r="I22" s="38" t="e">
        <f t="shared" ref="I22" si="4">H22/G22</f>
        <v>#DIV/0!</v>
      </c>
    </row>
    <row r="25" spans="1:9">
      <c r="G25" t="s">
        <v>38</v>
      </c>
      <c r="I25" t="s">
        <v>39</v>
      </c>
    </row>
    <row r="26" spans="1:9">
      <c r="F26" s="14" t="s">
        <v>31</v>
      </c>
      <c r="G26" s="15">
        <f>8773246+104295.37+258000+79900+3073562.64+119357.36+6264000+442200+500</f>
        <v>19115061.369999997</v>
      </c>
      <c r="H26" s="15">
        <f>H6+H13+H21</f>
        <v>19115061.369999997</v>
      </c>
      <c r="I26" s="15">
        <f>G26-H26</f>
        <v>0</v>
      </c>
    </row>
    <row r="27" spans="1:9">
      <c r="F27" s="47" t="s">
        <v>6</v>
      </c>
      <c r="G27" s="15">
        <f>6537731.93+65976.7+151000</f>
        <v>6754708.6299999999</v>
      </c>
      <c r="H27" s="15">
        <f>H7+H14</f>
        <v>6754708.6299999999</v>
      </c>
      <c r="I27" s="15">
        <f>G27-H27</f>
        <v>0</v>
      </c>
    </row>
    <row r="28" spans="1:9">
      <c r="G28" s="15">
        <f>SUM(G26:G27)</f>
        <v>25869769.999999996</v>
      </c>
      <c r="H28" s="15">
        <f t="shared" ref="H28:I28" si="5">SUM(H26:H27)</f>
        <v>25869769.999999996</v>
      </c>
      <c r="I28" s="48">
        <f t="shared" si="5"/>
        <v>0</v>
      </c>
    </row>
  </sheetData>
  <mergeCells count="19">
    <mergeCell ref="L3:N3"/>
    <mergeCell ref="I11:I12"/>
    <mergeCell ref="A4:A5"/>
    <mergeCell ref="B4:B5"/>
    <mergeCell ref="C4:E4"/>
    <mergeCell ref="F4:F5"/>
    <mergeCell ref="G4:H4"/>
    <mergeCell ref="I4:I5"/>
    <mergeCell ref="A11:A12"/>
    <mergeCell ref="B11:B12"/>
    <mergeCell ref="C11:E11"/>
    <mergeCell ref="F11:F12"/>
    <mergeCell ref="G11:H11"/>
    <mergeCell ref="I19:I20"/>
    <mergeCell ref="A19:A20"/>
    <mergeCell ref="B19:B20"/>
    <mergeCell ref="C19:E19"/>
    <mergeCell ref="F19:F20"/>
    <mergeCell ref="G19:H19"/>
  </mergeCells>
  <pageMargins left="0.70866141732283472" right="0.70866141732283472" top="0.74803149606299213" bottom="0.74803149606299213" header="0.31496062992125984" footer="0.31496062992125984"/>
  <pageSetup paperSize="9" scale="96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доп.обр.</vt:lpstr>
      <vt:lpstr>свод</vt:lpstr>
      <vt:lpstr>Лист3</vt:lpstr>
      <vt:lpstr>свод!Область_печати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2021-01-15T04:48:31Z</dcterms:modified>
</cp:coreProperties>
</file>