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525" windowWidth="15120" windowHeight="7590" activeTab="4"/>
  </bookViews>
  <sheets>
    <sheet name="СВОД" sheetId="11" r:id="rId1"/>
    <sheet name="Услуга №1" sheetId="6" r:id="rId2"/>
    <sheet name="Услуга №2" sheetId="12" r:id="rId3"/>
    <sheet name="Услуга №3" sheetId="13" r:id="rId4"/>
    <sheet name="Услуга №4" sheetId="14" r:id="rId5"/>
  </sheets>
  <calcPr calcId="162913"/>
</workbook>
</file>

<file path=xl/calcChain.xml><?xml version="1.0" encoding="utf-8"?>
<calcChain xmlns="http://schemas.openxmlformats.org/spreadsheetml/2006/main">
  <c r="I116" i="6" l="1"/>
  <c r="I127" i="6"/>
  <c r="I126" i="6"/>
  <c r="I135" i="6"/>
  <c r="I84" i="12"/>
  <c r="I84" i="14"/>
  <c r="I62" i="6"/>
  <c r="M62" i="6"/>
  <c r="M64" i="6" s="1"/>
  <c r="I116" i="14"/>
  <c r="I116" i="13"/>
  <c r="I116" i="12"/>
  <c r="G116" i="14"/>
  <c r="G62" i="14"/>
  <c r="G116" i="13"/>
  <c r="G62" i="13"/>
  <c r="G116" i="12"/>
  <c r="G62" i="12"/>
  <c r="G116" i="6"/>
  <c r="G62" i="6"/>
  <c r="M45" i="6" l="1"/>
  <c r="F42" i="14"/>
  <c r="F41" i="14"/>
  <c r="F40" i="14"/>
  <c r="F39" i="14"/>
  <c r="F38" i="14"/>
  <c r="F37" i="14"/>
  <c r="F36" i="14"/>
  <c r="F35" i="14"/>
  <c r="F34" i="14"/>
  <c r="F33" i="14"/>
  <c r="F32" i="14"/>
  <c r="F31" i="14"/>
  <c r="F30" i="14"/>
  <c r="F29" i="14"/>
  <c r="F28" i="14"/>
  <c r="F27" i="14"/>
  <c r="F26" i="14"/>
  <c r="F25" i="14"/>
  <c r="F24" i="14"/>
  <c r="F23" i="14"/>
  <c r="F22" i="14"/>
  <c r="F21" i="14"/>
  <c r="F45" i="14" s="1"/>
  <c r="F20" i="14"/>
  <c r="L19" i="14"/>
  <c r="F19" i="14"/>
  <c r="L18" i="14"/>
  <c r="L45" i="14" s="1"/>
  <c r="F18" i="14"/>
  <c r="L19" i="13"/>
  <c r="L18" i="13"/>
  <c r="L45" i="13" s="1"/>
  <c r="F42" i="13"/>
  <c r="F41" i="13"/>
  <c r="F40" i="13"/>
  <c r="F39" i="13"/>
  <c r="F38" i="13"/>
  <c r="F37" i="13"/>
  <c r="F36" i="13"/>
  <c r="F35" i="13"/>
  <c r="F34" i="13"/>
  <c r="F33" i="13"/>
  <c r="F32" i="13"/>
  <c r="F31" i="13"/>
  <c r="F30" i="13"/>
  <c r="F29" i="13"/>
  <c r="F28" i="13"/>
  <c r="F27" i="13"/>
  <c r="F26" i="13"/>
  <c r="F25" i="13"/>
  <c r="F24" i="13"/>
  <c r="F23" i="13"/>
  <c r="F22" i="13"/>
  <c r="F21" i="13"/>
  <c r="F20" i="13"/>
  <c r="F19" i="13"/>
  <c r="F18" i="13"/>
  <c r="L19" i="12"/>
  <c r="L18" i="12"/>
  <c r="F42" i="12"/>
  <c r="F41" i="12"/>
  <c r="F40" i="12"/>
  <c r="F39" i="12"/>
  <c r="F38" i="12"/>
  <c r="F37" i="12"/>
  <c r="F36" i="12"/>
  <c r="F35" i="12"/>
  <c r="F34" i="12"/>
  <c r="F33" i="12"/>
  <c r="F32" i="12"/>
  <c r="F31" i="12"/>
  <c r="F30" i="12"/>
  <c r="F29" i="12"/>
  <c r="F28" i="12"/>
  <c r="F27" i="12"/>
  <c r="F26" i="12"/>
  <c r="F25" i="12"/>
  <c r="F24" i="12"/>
  <c r="F23" i="12"/>
  <c r="F22" i="12"/>
  <c r="F21" i="12"/>
  <c r="F20" i="12"/>
  <c r="F19" i="12"/>
  <c r="F18" i="12"/>
  <c r="F45" i="13"/>
  <c r="L45" i="12"/>
  <c r="F41" i="6"/>
  <c r="F37" i="6"/>
  <c r="F36" i="6"/>
  <c r="F35" i="6"/>
  <c r="F26" i="6"/>
  <c r="F32" i="6"/>
  <c r="F19" i="6"/>
  <c r="F20" i="6"/>
  <c r="F21" i="6"/>
  <c r="F22" i="6"/>
  <c r="F23" i="6"/>
  <c r="F24" i="6"/>
  <c r="F25" i="6"/>
  <c r="F27" i="6"/>
  <c r="F28" i="6"/>
  <c r="F29" i="6"/>
  <c r="F30" i="6"/>
  <c r="F31" i="6"/>
  <c r="F33" i="6"/>
  <c r="F34" i="6"/>
  <c r="F38" i="6"/>
  <c r="F39" i="6"/>
  <c r="F40" i="6"/>
  <c r="F42" i="6"/>
  <c r="F18" i="6"/>
  <c r="F45" i="6" s="1"/>
  <c r="L19" i="6"/>
  <c r="L18" i="6"/>
  <c r="L45" i="6" s="1"/>
  <c r="F45" i="12" l="1"/>
  <c r="I87" i="14" l="1"/>
  <c r="I87" i="13"/>
  <c r="I87" i="12"/>
  <c r="I87" i="6"/>
  <c r="I126" i="14"/>
  <c r="I127" i="14" s="1"/>
  <c r="I120" i="14"/>
  <c r="H115" i="14"/>
  <c r="I115" i="14" s="1"/>
  <c r="H114" i="14"/>
  <c r="I114" i="14" s="1"/>
  <c r="H113" i="14"/>
  <c r="I113" i="14" s="1"/>
  <c r="H112" i="14"/>
  <c r="I112" i="14" s="1"/>
  <c r="H111" i="14"/>
  <c r="I111" i="14" s="1"/>
  <c r="H110" i="14"/>
  <c r="I110" i="14" s="1"/>
  <c r="H109" i="14"/>
  <c r="I109" i="14" s="1"/>
  <c r="H108" i="14"/>
  <c r="I108" i="14" s="1"/>
  <c r="H107" i="14"/>
  <c r="I107" i="14" s="1"/>
  <c r="H106" i="14"/>
  <c r="I106" i="14" s="1"/>
  <c r="H105" i="14"/>
  <c r="I105" i="14" s="1"/>
  <c r="H104" i="14"/>
  <c r="I104" i="14" s="1"/>
  <c r="H103" i="14"/>
  <c r="I103" i="14" s="1"/>
  <c r="H102" i="14"/>
  <c r="I102" i="14" s="1"/>
  <c r="H101" i="14"/>
  <c r="I101" i="14" s="1"/>
  <c r="H100" i="14"/>
  <c r="I100" i="14" s="1"/>
  <c r="I95" i="14"/>
  <c r="I94" i="14"/>
  <c r="I93" i="14"/>
  <c r="I92" i="14"/>
  <c r="I86" i="14"/>
  <c r="I85" i="14"/>
  <c r="I88" i="14"/>
  <c r="I78" i="14"/>
  <c r="I77" i="14"/>
  <c r="I76" i="14"/>
  <c r="I75" i="14"/>
  <c r="I70" i="14"/>
  <c r="I69" i="14"/>
  <c r="I68" i="14"/>
  <c r="I67" i="14"/>
  <c r="I66" i="14"/>
  <c r="J62" i="14"/>
  <c r="I62" i="14"/>
  <c r="K62" i="14" s="1"/>
  <c r="A132" i="14" s="1"/>
  <c r="H61" i="14"/>
  <c r="I61" i="14" s="1"/>
  <c r="H60" i="14"/>
  <c r="I60" i="14" s="1"/>
  <c r="H59" i="14"/>
  <c r="I59" i="14" s="1"/>
  <c r="H58" i="14"/>
  <c r="I58" i="14" s="1"/>
  <c r="H57" i="14"/>
  <c r="I57" i="14" s="1"/>
  <c r="H56" i="14"/>
  <c r="I56" i="14" s="1"/>
  <c r="H55" i="14"/>
  <c r="I55" i="14" s="1"/>
  <c r="H54" i="14"/>
  <c r="I54" i="14" s="1"/>
  <c r="H53" i="14"/>
  <c r="I53" i="14" s="1"/>
  <c r="H52" i="14"/>
  <c r="I52" i="14" s="1"/>
  <c r="H51" i="14"/>
  <c r="I51" i="14" s="1"/>
  <c r="H50" i="14"/>
  <c r="I50" i="14" s="1"/>
  <c r="J49" i="14"/>
  <c r="J50" i="14" s="1"/>
  <c r="J51" i="14" s="1"/>
  <c r="J52" i="14" s="1"/>
  <c r="J53" i="14" s="1"/>
  <c r="J54" i="14" s="1"/>
  <c r="J55" i="14" s="1"/>
  <c r="J56" i="14" s="1"/>
  <c r="H49" i="14"/>
  <c r="I49" i="14" s="1"/>
  <c r="I126" i="13"/>
  <c r="I120" i="13"/>
  <c r="I95" i="13"/>
  <c r="I94" i="13"/>
  <c r="I93" i="13"/>
  <c r="I92" i="13"/>
  <c r="I86" i="13"/>
  <c r="I85" i="13"/>
  <c r="I84" i="13"/>
  <c r="I78" i="13"/>
  <c r="I77" i="13"/>
  <c r="I76" i="13"/>
  <c r="I75" i="13"/>
  <c r="I70" i="13"/>
  <c r="I69" i="13"/>
  <c r="I68" i="13"/>
  <c r="I67" i="13"/>
  <c r="I66" i="13"/>
  <c r="I127" i="13"/>
  <c r="I122" i="13"/>
  <c r="H115" i="13"/>
  <c r="I115" i="13" s="1"/>
  <c r="H114" i="13"/>
  <c r="I114" i="13" s="1"/>
  <c r="H113" i="13"/>
  <c r="I113" i="13" s="1"/>
  <c r="H112" i="13"/>
  <c r="I112" i="13" s="1"/>
  <c r="H111" i="13"/>
  <c r="I111" i="13" s="1"/>
  <c r="H110" i="13"/>
  <c r="I110" i="13" s="1"/>
  <c r="H109" i="13"/>
  <c r="I109" i="13" s="1"/>
  <c r="H108" i="13"/>
  <c r="I108" i="13" s="1"/>
  <c r="H107" i="13"/>
  <c r="I107" i="13" s="1"/>
  <c r="H106" i="13"/>
  <c r="I106" i="13" s="1"/>
  <c r="H105" i="13"/>
  <c r="I105" i="13" s="1"/>
  <c r="H104" i="13"/>
  <c r="I104" i="13" s="1"/>
  <c r="H103" i="13"/>
  <c r="I103" i="13" s="1"/>
  <c r="H102" i="13"/>
  <c r="I102" i="13" s="1"/>
  <c r="H101" i="13"/>
  <c r="I101" i="13" s="1"/>
  <c r="H100" i="13"/>
  <c r="I100" i="13" s="1"/>
  <c r="J62" i="13"/>
  <c r="I62" i="13"/>
  <c r="H61" i="13"/>
  <c r="I61" i="13" s="1"/>
  <c r="H60" i="13"/>
  <c r="I60" i="13" s="1"/>
  <c r="H59" i="13"/>
  <c r="I59" i="13" s="1"/>
  <c r="H58" i="13"/>
  <c r="I58" i="13" s="1"/>
  <c r="H57" i="13"/>
  <c r="I57" i="13" s="1"/>
  <c r="H56" i="13"/>
  <c r="I56" i="13" s="1"/>
  <c r="H55" i="13"/>
  <c r="I55" i="13" s="1"/>
  <c r="H54" i="13"/>
  <c r="I54" i="13" s="1"/>
  <c r="H53" i="13"/>
  <c r="I53" i="13" s="1"/>
  <c r="H52" i="13"/>
  <c r="I52" i="13" s="1"/>
  <c r="H51" i="13"/>
  <c r="I51" i="13" s="1"/>
  <c r="H50" i="13"/>
  <c r="I50" i="13" s="1"/>
  <c r="J49" i="13"/>
  <c r="J50" i="13" s="1"/>
  <c r="J51" i="13" s="1"/>
  <c r="J52" i="13" s="1"/>
  <c r="J53" i="13" s="1"/>
  <c r="J54" i="13" s="1"/>
  <c r="J55" i="13" s="1"/>
  <c r="J56" i="13" s="1"/>
  <c r="H49" i="13"/>
  <c r="I49" i="13" s="1"/>
  <c r="I126" i="12"/>
  <c r="I120" i="12"/>
  <c r="I95" i="12"/>
  <c r="I94" i="12"/>
  <c r="I93" i="12"/>
  <c r="I92" i="12"/>
  <c r="I86" i="12"/>
  <c r="I85" i="12"/>
  <c r="I78" i="12"/>
  <c r="I77" i="12"/>
  <c r="I76" i="12"/>
  <c r="I80" i="12" s="1"/>
  <c r="I75" i="12"/>
  <c r="I70" i="12"/>
  <c r="I69" i="12"/>
  <c r="I68" i="12"/>
  <c r="I67" i="12"/>
  <c r="I66" i="12"/>
  <c r="I127" i="12"/>
  <c r="I122" i="12"/>
  <c r="H115" i="12"/>
  <c r="I115" i="12" s="1"/>
  <c r="H114" i="12"/>
  <c r="I114" i="12" s="1"/>
  <c r="H113" i="12"/>
  <c r="I113" i="12" s="1"/>
  <c r="H112" i="12"/>
  <c r="I112" i="12" s="1"/>
  <c r="H111" i="12"/>
  <c r="I111" i="12" s="1"/>
  <c r="H110" i="12"/>
  <c r="I110" i="12" s="1"/>
  <c r="H109" i="12"/>
  <c r="I109" i="12" s="1"/>
  <c r="H108" i="12"/>
  <c r="I108" i="12" s="1"/>
  <c r="H107" i="12"/>
  <c r="I107" i="12" s="1"/>
  <c r="H106" i="12"/>
  <c r="I106" i="12" s="1"/>
  <c r="H105" i="12"/>
  <c r="I105" i="12" s="1"/>
  <c r="H104" i="12"/>
  <c r="I104" i="12" s="1"/>
  <c r="H103" i="12"/>
  <c r="I103" i="12" s="1"/>
  <c r="H102" i="12"/>
  <c r="I102" i="12" s="1"/>
  <c r="H101" i="12"/>
  <c r="I101" i="12" s="1"/>
  <c r="H100" i="12"/>
  <c r="I100" i="12" s="1"/>
  <c r="J62" i="12"/>
  <c r="I62" i="12"/>
  <c r="K62" i="12" s="1"/>
  <c r="A132" i="12" s="1"/>
  <c r="H61" i="12"/>
  <c r="I61" i="12" s="1"/>
  <c r="H60" i="12"/>
  <c r="I60" i="12" s="1"/>
  <c r="H59" i="12"/>
  <c r="I59" i="12" s="1"/>
  <c r="H58" i="12"/>
  <c r="I58" i="12" s="1"/>
  <c r="H57" i="12"/>
  <c r="I57" i="12" s="1"/>
  <c r="H56" i="12"/>
  <c r="I56" i="12" s="1"/>
  <c r="H55" i="12"/>
  <c r="I55" i="12" s="1"/>
  <c r="H54" i="12"/>
  <c r="I54" i="12" s="1"/>
  <c r="H53" i="12"/>
  <c r="I53" i="12" s="1"/>
  <c r="H52" i="12"/>
  <c r="I52" i="12" s="1"/>
  <c r="H51" i="12"/>
  <c r="I51" i="12" s="1"/>
  <c r="H50" i="12"/>
  <c r="I50" i="12" s="1"/>
  <c r="J49" i="12"/>
  <c r="J50" i="12" s="1"/>
  <c r="J51" i="12" s="1"/>
  <c r="J52" i="12" s="1"/>
  <c r="J53" i="12" s="1"/>
  <c r="J54" i="12" s="1"/>
  <c r="J55" i="12" s="1"/>
  <c r="J56" i="12" s="1"/>
  <c r="H49" i="12"/>
  <c r="I49" i="12" s="1"/>
  <c r="I120" i="6"/>
  <c r="I95" i="6"/>
  <c r="I94" i="6"/>
  <c r="I93" i="6"/>
  <c r="I92" i="6"/>
  <c r="I86" i="6"/>
  <c r="I85" i="6"/>
  <c r="I84" i="6"/>
  <c r="I88" i="6" s="1"/>
  <c r="I78" i="6"/>
  <c r="I77" i="6"/>
  <c r="I76" i="6"/>
  <c r="I75" i="6"/>
  <c r="I80" i="6" s="1"/>
  <c r="I70" i="6"/>
  <c r="I69" i="6"/>
  <c r="I68" i="6"/>
  <c r="I67" i="6"/>
  <c r="I66" i="6"/>
  <c r="I71" i="12" l="1"/>
  <c r="I88" i="12"/>
  <c r="I96" i="14"/>
  <c r="I80" i="13"/>
  <c r="I88" i="13"/>
  <c r="K49" i="12"/>
  <c r="K49" i="14"/>
  <c r="I80" i="14"/>
  <c r="I71" i="13"/>
  <c r="M88" i="6"/>
  <c r="M80" i="6"/>
  <c r="J58" i="14"/>
  <c r="J60" i="14" s="1"/>
  <c r="J57" i="14"/>
  <c r="J59" i="14" s="1"/>
  <c r="J61" i="14" s="1"/>
  <c r="J66" i="14" s="1"/>
  <c r="J67" i="14" s="1"/>
  <c r="K67" i="14" s="1"/>
  <c r="K51" i="14"/>
  <c r="K53" i="14"/>
  <c r="K55" i="14"/>
  <c r="K57" i="14"/>
  <c r="K58" i="14"/>
  <c r="K59" i="14"/>
  <c r="K60" i="14"/>
  <c r="K61" i="14"/>
  <c r="K50" i="14"/>
  <c r="K52" i="14"/>
  <c r="K54" i="14"/>
  <c r="K56" i="14"/>
  <c r="I71" i="14"/>
  <c r="I122" i="14"/>
  <c r="K50" i="13"/>
  <c r="K53" i="13"/>
  <c r="K54" i="13"/>
  <c r="K49" i="13"/>
  <c r="K51" i="13"/>
  <c r="K52" i="13"/>
  <c r="K55" i="13"/>
  <c r="K56" i="13"/>
  <c r="K62" i="13"/>
  <c r="A132" i="13" s="1"/>
  <c r="I96" i="13"/>
  <c r="J58" i="13"/>
  <c r="J60" i="13" s="1"/>
  <c r="K60" i="13" s="1"/>
  <c r="J57" i="13"/>
  <c r="I96" i="12"/>
  <c r="J58" i="12"/>
  <c r="J60" i="12" s="1"/>
  <c r="J57" i="12"/>
  <c r="J59" i="12" s="1"/>
  <c r="J61" i="12" s="1"/>
  <c r="J66" i="12" s="1"/>
  <c r="J67" i="12" s="1"/>
  <c r="K51" i="12"/>
  <c r="K53" i="12"/>
  <c r="K55" i="12"/>
  <c r="K60" i="12"/>
  <c r="K50" i="12"/>
  <c r="K52" i="12"/>
  <c r="K54" i="12"/>
  <c r="K56" i="12"/>
  <c r="K58" i="12"/>
  <c r="I135" i="12" l="1"/>
  <c r="K66" i="14"/>
  <c r="K61" i="12"/>
  <c r="K59" i="12"/>
  <c r="J69" i="14"/>
  <c r="J68" i="14"/>
  <c r="K68" i="14" s="1"/>
  <c r="I135" i="14"/>
  <c r="I135" i="13"/>
  <c r="J59" i="13"/>
  <c r="K57" i="13"/>
  <c r="K58" i="13"/>
  <c r="K66" i="12"/>
  <c r="K57" i="12"/>
  <c r="J69" i="12"/>
  <c r="J68" i="12"/>
  <c r="K68" i="12" s="1"/>
  <c r="K67" i="12"/>
  <c r="J70" i="14" l="1"/>
  <c r="K69" i="14"/>
  <c r="J61" i="13"/>
  <c r="K59" i="13"/>
  <c r="J70" i="12"/>
  <c r="K69" i="12"/>
  <c r="J71" i="14" l="1"/>
  <c r="K70" i="14"/>
  <c r="J66" i="13"/>
  <c r="K61" i="13"/>
  <c r="J71" i="12"/>
  <c r="K70" i="12"/>
  <c r="J75" i="14" l="1"/>
  <c r="K71" i="14"/>
  <c r="D132" i="14" s="1"/>
  <c r="J67" i="13"/>
  <c r="K66" i="13"/>
  <c r="J75" i="12"/>
  <c r="K71" i="12"/>
  <c r="D132" i="12" s="1"/>
  <c r="J76" i="14" l="1"/>
  <c r="K75" i="14"/>
  <c r="J68" i="13"/>
  <c r="K68" i="13" s="1"/>
  <c r="J69" i="13"/>
  <c r="K67" i="13"/>
  <c r="J76" i="12"/>
  <c r="K75" i="12"/>
  <c r="J77" i="14" l="1"/>
  <c r="J79" i="14"/>
  <c r="J87" i="14" s="1"/>
  <c r="K87" i="14" s="1"/>
  <c r="J78" i="14"/>
  <c r="K76" i="14"/>
  <c r="J70" i="13"/>
  <c r="K69" i="13"/>
  <c r="J77" i="12"/>
  <c r="J79" i="12"/>
  <c r="J78" i="12"/>
  <c r="K76" i="12"/>
  <c r="J87" i="12" l="1"/>
  <c r="K87" i="12" s="1"/>
  <c r="J84" i="14"/>
  <c r="K79" i="14"/>
  <c r="J88" i="14"/>
  <c r="K88" i="14" s="1"/>
  <c r="J86" i="14"/>
  <c r="K78" i="14"/>
  <c r="J80" i="14"/>
  <c r="K80" i="14" s="1"/>
  <c r="E132" i="14" s="1"/>
  <c r="K77" i="14"/>
  <c r="J71" i="13"/>
  <c r="K70" i="13"/>
  <c r="J84" i="12"/>
  <c r="K79" i="12"/>
  <c r="J88" i="12"/>
  <c r="K88" i="12" s="1"/>
  <c r="J86" i="12"/>
  <c r="K78" i="12"/>
  <c r="J80" i="12"/>
  <c r="K80" i="12" s="1"/>
  <c r="E132" i="12" s="1"/>
  <c r="K77" i="12"/>
  <c r="J92" i="14" l="1"/>
  <c r="K86" i="14"/>
  <c r="J85" i="14"/>
  <c r="K85" i="14" s="1"/>
  <c r="K84" i="14"/>
  <c r="J75" i="13"/>
  <c r="K71" i="13"/>
  <c r="D132" i="13" s="1"/>
  <c r="J92" i="12"/>
  <c r="K86" i="12"/>
  <c r="J85" i="12"/>
  <c r="K85" i="12" s="1"/>
  <c r="K84" i="12"/>
  <c r="J95" i="14" l="1"/>
  <c r="J93" i="14"/>
  <c r="K92" i="14"/>
  <c r="J76" i="13"/>
  <c r="K75" i="13"/>
  <c r="J95" i="12"/>
  <c r="J93" i="12"/>
  <c r="K92" i="12"/>
  <c r="J94" i="14" l="1"/>
  <c r="K94" i="14" s="1"/>
  <c r="K93" i="14"/>
  <c r="J100" i="14"/>
  <c r="J96" i="14"/>
  <c r="K95" i="14"/>
  <c r="J79" i="13"/>
  <c r="J87" i="13" s="1"/>
  <c r="K87" i="13" s="1"/>
  <c r="J78" i="13"/>
  <c r="J77" i="13"/>
  <c r="K76" i="13"/>
  <c r="J94" i="12"/>
  <c r="K94" i="12" s="1"/>
  <c r="K93" i="12"/>
  <c r="J100" i="12"/>
  <c r="J96" i="12"/>
  <c r="K95" i="12"/>
  <c r="J116" i="14" l="1"/>
  <c r="J120" i="14" s="1"/>
  <c r="K96" i="14"/>
  <c r="G132" i="14" s="1"/>
  <c r="J101" i="14"/>
  <c r="K100" i="14"/>
  <c r="J86" i="13"/>
  <c r="K78" i="13"/>
  <c r="J80" i="13"/>
  <c r="K80" i="13" s="1"/>
  <c r="E132" i="13" s="1"/>
  <c r="K77" i="13"/>
  <c r="J88" i="13"/>
  <c r="K88" i="13" s="1"/>
  <c r="J84" i="13"/>
  <c r="K79" i="13"/>
  <c r="J116" i="12"/>
  <c r="J120" i="12" s="1"/>
  <c r="K96" i="12"/>
  <c r="G132" i="12" s="1"/>
  <c r="J101" i="12"/>
  <c r="K100" i="12"/>
  <c r="J103" i="14" l="1"/>
  <c r="J102" i="14"/>
  <c r="K101" i="14"/>
  <c r="J121" i="14"/>
  <c r="K120" i="14"/>
  <c r="J85" i="13"/>
  <c r="K85" i="13" s="1"/>
  <c r="K84" i="13"/>
  <c r="J92" i="13"/>
  <c r="K86" i="13"/>
  <c r="J103" i="12"/>
  <c r="J102" i="12"/>
  <c r="K101" i="12"/>
  <c r="J121" i="12"/>
  <c r="K120" i="12"/>
  <c r="J122" i="14" l="1"/>
  <c r="K121" i="14"/>
  <c r="J104" i="14"/>
  <c r="K102" i="14"/>
  <c r="J105" i="14"/>
  <c r="K103" i="14"/>
  <c r="J95" i="13"/>
  <c r="J93" i="13"/>
  <c r="K92" i="13"/>
  <c r="J122" i="12"/>
  <c r="K121" i="12"/>
  <c r="J104" i="12"/>
  <c r="K102" i="12"/>
  <c r="J105" i="12"/>
  <c r="K103" i="12"/>
  <c r="J107" i="14" l="1"/>
  <c r="K105" i="14"/>
  <c r="J106" i="14"/>
  <c r="K104" i="14"/>
  <c r="J126" i="14"/>
  <c r="K122" i="14"/>
  <c r="J94" i="13"/>
  <c r="K94" i="13" s="1"/>
  <c r="K93" i="13"/>
  <c r="J96" i="13"/>
  <c r="J100" i="13"/>
  <c r="K95" i="13"/>
  <c r="J107" i="12"/>
  <c r="K105" i="12"/>
  <c r="J106" i="12"/>
  <c r="K104" i="12"/>
  <c r="J126" i="12"/>
  <c r="K122" i="12"/>
  <c r="J127" i="14" l="1"/>
  <c r="K127" i="14" s="1"/>
  <c r="J132" i="14" s="1"/>
  <c r="K126" i="14"/>
  <c r="J108" i="14"/>
  <c r="K106" i="14"/>
  <c r="J109" i="14"/>
  <c r="K107" i="14"/>
  <c r="J101" i="13"/>
  <c r="K100" i="13"/>
  <c r="J116" i="13"/>
  <c r="J120" i="13" s="1"/>
  <c r="K96" i="13"/>
  <c r="G132" i="13" s="1"/>
  <c r="J127" i="12"/>
  <c r="K127" i="12" s="1"/>
  <c r="J132" i="12" s="1"/>
  <c r="K126" i="12"/>
  <c r="J108" i="12"/>
  <c r="K106" i="12"/>
  <c r="J109" i="12"/>
  <c r="K107" i="12"/>
  <c r="J111" i="14" l="1"/>
  <c r="K109" i="14"/>
  <c r="J110" i="14"/>
  <c r="K108" i="14"/>
  <c r="J121" i="13"/>
  <c r="K120" i="13"/>
  <c r="J103" i="13"/>
  <c r="J102" i="13"/>
  <c r="K101" i="13"/>
  <c r="J111" i="12"/>
  <c r="K109" i="12"/>
  <c r="J110" i="12"/>
  <c r="K108" i="12"/>
  <c r="J112" i="14" l="1"/>
  <c r="K110" i="14"/>
  <c r="J113" i="14"/>
  <c r="K111" i="14"/>
  <c r="J104" i="13"/>
  <c r="K102" i="13"/>
  <c r="J105" i="13"/>
  <c r="K103" i="13"/>
  <c r="K121" i="13"/>
  <c r="J122" i="13"/>
  <c r="J112" i="12"/>
  <c r="K110" i="12"/>
  <c r="J113" i="12"/>
  <c r="K111" i="12"/>
  <c r="J115" i="14" l="1"/>
  <c r="K113" i="14"/>
  <c r="J114" i="14"/>
  <c r="K114" i="14" s="1"/>
  <c r="K112" i="14"/>
  <c r="J126" i="13"/>
  <c r="K122" i="13"/>
  <c r="J107" i="13"/>
  <c r="K105" i="13"/>
  <c r="J106" i="13"/>
  <c r="K104" i="13"/>
  <c r="J115" i="12"/>
  <c r="K113" i="12"/>
  <c r="J114" i="12"/>
  <c r="K114" i="12" s="1"/>
  <c r="K112" i="12"/>
  <c r="J62" i="6"/>
  <c r="K115" i="14" l="1"/>
  <c r="K116" i="14"/>
  <c r="I132" i="14" s="1"/>
  <c r="K132" i="14" s="1"/>
  <c r="K135" i="14" s="1"/>
  <c r="J108" i="13"/>
  <c r="K106" i="13"/>
  <c r="J109" i="13"/>
  <c r="K107" i="13"/>
  <c r="J127" i="13"/>
  <c r="K127" i="13" s="1"/>
  <c r="J132" i="13" s="1"/>
  <c r="K126" i="13"/>
  <c r="K115" i="12"/>
  <c r="K116" i="12"/>
  <c r="I132" i="12" s="1"/>
  <c r="K132" i="12" s="1"/>
  <c r="K135" i="12" s="1"/>
  <c r="H100" i="6"/>
  <c r="J111" i="13" l="1"/>
  <c r="K109" i="13"/>
  <c r="J110" i="13"/>
  <c r="K108" i="13"/>
  <c r="M127" i="6"/>
  <c r="I122" i="6"/>
  <c r="M122" i="6" s="1"/>
  <c r="J112" i="13" l="1"/>
  <c r="K110" i="13"/>
  <c r="J113" i="13"/>
  <c r="K111" i="13"/>
  <c r="I71" i="6"/>
  <c r="M71" i="6" s="1"/>
  <c r="H113" i="6"/>
  <c r="J115" i="13" l="1"/>
  <c r="K113" i="13"/>
  <c r="J114" i="13"/>
  <c r="K114" i="13" s="1"/>
  <c r="K112" i="13"/>
  <c r="H49" i="6"/>
  <c r="K116" i="13" l="1"/>
  <c r="I132" i="13" s="1"/>
  <c r="K132" i="13" s="1"/>
  <c r="K135" i="13" s="1"/>
  <c r="K115" i="13"/>
  <c r="I113" i="6"/>
  <c r="H50" i="6"/>
  <c r="I50" i="6" s="1"/>
  <c r="H51" i="6"/>
  <c r="I51" i="6" s="1"/>
  <c r="H52" i="6"/>
  <c r="I52" i="6" s="1"/>
  <c r="H53" i="6"/>
  <c r="I53" i="6" s="1"/>
  <c r="H54" i="6"/>
  <c r="I54" i="6" s="1"/>
  <c r="H55" i="6"/>
  <c r="I55" i="6" s="1"/>
  <c r="H56" i="6"/>
  <c r="I56" i="6" s="1"/>
  <c r="H57" i="6"/>
  <c r="I57" i="6" s="1"/>
  <c r="H58" i="6"/>
  <c r="I58" i="6" s="1"/>
  <c r="H59" i="6"/>
  <c r="I59" i="6" s="1"/>
  <c r="H60" i="6"/>
  <c r="I60" i="6" s="1"/>
  <c r="H61" i="6"/>
  <c r="I61" i="6" s="1"/>
  <c r="I49" i="6"/>
  <c r="H101" i="6"/>
  <c r="H102" i="6"/>
  <c r="I102" i="6" s="1"/>
  <c r="H103" i="6"/>
  <c r="I103" i="6" s="1"/>
  <c r="H104" i="6"/>
  <c r="I104" i="6" s="1"/>
  <c r="H105" i="6"/>
  <c r="H106" i="6"/>
  <c r="I106" i="6" s="1"/>
  <c r="H107" i="6"/>
  <c r="I107" i="6" s="1"/>
  <c r="H108" i="6"/>
  <c r="I108" i="6" s="1"/>
  <c r="H109" i="6"/>
  <c r="I109" i="6" s="1"/>
  <c r="H110" i="6"/>
  <c r="I110" i="6" s="1"/>
  <c r="H111" i="6"/>
  <c r="I111" i="6" s="1"/>
  <c r="H112" i="6"/>
  <c r="I112" i="6" s="1"/>
  <c r="H114" i="6"/>
  <c r="I114" i="6" s="1"/>
  <c r="H115" i="6"/>
  <c r="I115" i="6" s="1"/>
  <c r="I100" i="6"/>
  <c r="J49" i="6"/>
  <c r="J50" i="6" s="1"/>
  <c r="J51" i="6" s="1"/>
  <c r="J52" i="6" s="1"/>
  <c r="J53" i="6" s="1"/>
  <c r="J54" i="6" s="1"/>
  <c r="J55" i="6" s="1"/>
  <c r="J56" i="6" s="1"/>
  <c r="K49" i="6" l="1"/>
  <c r="I101" i="6"/>
  <c r="K50" i="6"/>
  <c r="I105" i="6"/>
  <c r="J57" i="6"/>
  <c r="J59" i="6" s="1"/>
  <c r="J61" i="6" s="1"/>
  <c r="J66" i="6" s="1"/>
  <c r="J58" i="6"/>
  <c r="J60" i="6" s="1"/>
  <c r="K60" i="6" s="1"/>
  <c r="K56" i="6"/>
  <c r="K55" i="6"/>
  <c r="K53" i="6"/>
  <c r="K51" i="6"/>
  <c r="K52" i="6"/>
  <c r="K54" i="6"/>
  <c r="J67" i="6" l="1"/>
  <c r="K67" i="6" s="1"/>
  <c r="K66" i="6"/>
  <c r="K57" i="6"/>
  <c r="K59" i="6"/>
  <c r="K61" i="6"/>
  <c r="K58" i="6"/>
  <c r="I96" i="6"/>
  <c r="M96" i="6" s="1"/>
  <c r="A2" i="11" l="1"/>
  <c r="J69" i="6"/>
  <c r="J68" i="6"/>
  <c r="K68" i="6" s="1"/>
  <c r="K69" i="6" l="1"/>
  <c r="J70" i="6"/>
  <c r="K62" i="6"/>
  <c r="A132" i="6" s="1"/>
  <c r="J71" i="6" l="1"/>
  <c r="K70" i="6"/>
  <c r="J75" i="6" l="1"/>
  <c r="K71" i="6"/>
  <c r="D132" i="6" s="1"/>
  <c r="J76" i="6" l="1"/>
  <c r="K75" i="6"/>
  <c r="J77" i="6" l="1"/>
  <c r="J78" i="6"/>
  <c r="K78" i="6" s="1"/>
  <c r="J79" i="6"/>
  <c r="K76" i="6"/>
  <c r="J88" i="6" l="1"/>
  <c r="K88" i="6" s="1"/>
  <c r="J87" i="6"/>
  <c r="K87" i="6" s="1"/>
  <c r="K79" i="6"/>
  <c r="J80" i="6"/>
  <c r="K80" i="6" s="1"/>
  <c r="E132" i="6" s="1"/>
  <c r="K77" i="6"/>
  <c r="J84" i="6"/>
  <c r="J86" i="6"/>
  <c r="J92" i="6" s="1"/>
  <c r="J93" i="6" s="1"/>
  <c r="J94" i="6" l="1"/>
  <c r="K94" i="6" s="1"/>
  <c r="K93" i="6"/>
  <c r="K84" i="6"/>
  <c r="J85" i="6"/>
  <c r="K85" i="6" s="1"/>
  <c r="K86" i="6"/>
  <c r="J95" i="6" l="1"/>
  <c r="J96" i="6" s="1"/>
  <c r="K92" i="6"/>
  <c r="J116" i="6" l="1"/>
  <c r="J120" i="6" s="1"/>
  <c r="K96" i="6"/>
  <c r="G132" i="6" s="1"/>
  <c r="K95" i="6"/>
  <c r="J100" i="6"/>
  <c r="K100" i="6" s="1"/>
  <c r="J121" i="6" l="1"/>
  <c r="K120" i="6"/>
  <c r="J101" i="6"/>
  <c r="K101" i="6" s="1"/>
  <c r="J122" i="6" l="1"/>
  <c r="K121" i="6"/>
  <c r="J103" i="6"/>
  <c r="J102" i="6"/>
  <c r="K102" i="6" s="1"/>
  <c r="J126" i="6" l="1"/>
  <c r="K122" i="6"/>
  <c r="J105" i="6"/>
  <c r="K103" i="6"/>
  <c r="J104" i="6"/>
  <c r="J127" i="6" l="1"/>
  <c r="K127" i="6" s="1"/>
  <c r="J132" i="6" s="1"/>
  <c r="K126" i="6"/>
  <c r="J107" i="6"/>
  <c r="K105" i="6"/>
  <c r="J106" i="6"/>
  <c r="K104" i="6"/>
  <c r="J109" i="6" l="1"/>
  <c r="K107" i="6"/>
  <c r="J108" i="6"/>
  <c r="K106" i="6"/>
  <c r="J111" i="6" l="1"/>
  <c r="K109" i="6"/>
  <c r="J110" i="6"/>
  <c r="K108" i="6"/>
  <c r="J113" i="6" l="1"/>
  <c r="K111" i="6"/>
  <c r="J112" i="6"/>
  <c r="K110" i="6"/>
  <c r="J115" i="6" l="1"/>
  <c r="K116" i="6" s="1"/>
  <c r="I132" i="6" s="1"/>
  <c r="K132" i="6" s="1"/>
  <c r="K135" i="6" s="1"/>
  <c r="K113" i="6"/>
  <c r="J114" i="6"/>
  <c r="K112" i="6"/>
  <c r="B2" i="11" l="1"/>
  <c r="K115" i="6"/>
  <c r="K114" i="6"/>
</calcChain>
</file>

<file path=xl/sharedStrings.xml><?xml version="1.0" encoding="utf-8"?>
<sst xmlns="http://schemas.openxmlformats.org/spreadsheetml/2006/main" count="822" uniqueCount="124">
  <si>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</si>
  <si>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</si>
  <si>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</si>
  <si>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</si>
  <si>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</si>
  <si>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</si>
  <si>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</si>
  <si>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</si>
  <si>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</si>
  <si>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</si>
  <si>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Теплоэнергия</t>
  </si>
  <si>
    <t>Холодное водоснабжение</t>
  </si>
  <si>
    <t>Водоотведение</t>
  </si>
  <si>
    <t>Гкал</t>
  </si>
  <si>
    <t>м3</t>
  </si>
  <si>
    <t>Затраты на содержание объектов недвижимого имущества</t>
  </si>
  <si>
    <t>Вывоз мусора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</si>
  <si>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</si>
  <si>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</si>
  <si>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</si>
  <si>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</si>
  <si>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Итого услуги связи</t>
  </si>
  <si>
    <t>Итого работники, не связанные с оказанием услуг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</si>
  <si>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</si>
  <si>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</si>
  <si>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</si>
  <si>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</si>
  <si>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</si>
  <si>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</si>
  <si>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</si>
  <si>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</si>
  <si>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</si>
  <si>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</si>
  <si>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</si>
  <si>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</si>
  <si>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</si>
  <si>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</si>
  <si>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</si>
  <si>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Руководитель кружка</t>
  </si>
  <si>
    <t>Электроэнергия</t>
  </si>
  <si>
    <t>кВт час</t>
  </si>
  <si>
    <t>Заместитель директора (по основной деятельности)</t>
  </si>
  <si>
    <t>Заведующий  отделом по клубам и любительским объединениям</t>
  </si>
  <si>
    <t>Заведующий отделом театрально-зрелищных представлений</t>
  </si>
  <si>
    <t>Заведующий отделом по досугово-массовой работе</t>
  </si>
  <si>
    <t>Культорганизатор</t>
  </si>
  <si>
    <t>Заведующий костюмерной</t>
  </si>
  <si>
    <t>Заведующий художественно-оформительской мастерской</t>
  </si>
  <si>
    <t>Механик по обслуживанию  звуковой техники</t>
  </si>
  <si>
    <t>Художник -модельер театрального костюма</t>
  </si>
  <si>
    <t>Концертмейстер по классу вокала</t>
  </si>
  <si>
    <t>Заведующий художественно-постановочной частью</t>
  </si>
  <si>
    <t>Артист духового оркестра</t>
  </si>
  <si>
    <t>Итого коммунальные услуги</t>
  </si>
  <si>
    <t>Прочие затраты</t>
  </si>
  <si>
    <t>ТО средств тревожной сигнализации</t>
  </si>
  <si>
    <t>ТО установок пожарной сигнализации</t>
  </si>
  <si>
    <t>Утверждаю</t>
  </si>
  <si>
    <t xml:space="preserve">Приказ № ______   от  ________________ </t>
  </si>
  <si>
    <t>_______________________ Н.Н.Гурулев</t>
  </si>
  <si>
    <t>Директор МБУК "ГДК"</t>
  </si>
  <si>
    <t>И.А. Гололобова</t>
  </si>
  <si>
    <t>8(39155) 7-45-95</t>
  </si>
  <si>
    <t xml:space="preserve">                           ИСХОДНЫЕ ДАННЫЕ И РЕЗУЛЬТАТЫ РАСЧЕТОВ МБУК "ГДК" г.НАЗАРОВО</t>
  </si>
  <si>
    <t xml:space="preserve">Тариф (цена), рублей </t>
  </si>
  <si>
    <t xml:space="preserve">Нормативный объем 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</si>
  <si>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</si>
  <si>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</si>
  <si>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</si>
  <si>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</si>
  <si>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</si>
  <si>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Итого работники,  связанные с оказанием услуг</t>
  </si>
  <si>
    <t>Сумма в год</t>
  </si>
  <si>
    <t>Затраты на прочие работы, услуги</t>
  </si>
  <si>
    <t>Итого прочие работы, услуги</t>
  </si>
  <si>
    <t>Затраты на услуги связи</t>
  </si>
  <si>
    <t>Интернет</t>
  </si>
  <si>
    <t>Затраты на прочие расходы</t>
  </si>
  <si>
    <t>Итого прочие расходы</t>
  </si>
  <si>
    <t>Заведующий  отделом( отдел по работе с детьми)</t>
  </si>
  <si>
    <t>Художественный руководитель</t>
  </si>
  <si>
    <t>Администратор</t>
  </si>
  <si>
    <t>Аккомпаниатор</t>
  </si>
  <si>
    <t>Художник-декоратор</t>
  </si>
  <si>
    <t>Кассир билетный</t>
  </si>
  <si>
    <t>Контролер билетов</t>
  </si>
  <si>
    <t>Художник по свету</t>
  </si>
  <si>
    <t>Звукооператор</t>
  </si>
  <si>
    <t>Хормейстер</t>
  </si>
  <si>
    <t>Режиссер</t>
  </si>
  <si>
    <t>Балетмейстер</t>
  </si>
  <si>
    <t>Балетмейстер-постановщик</t>
  </si>
  <si>
    <t>Дирижер</t>
  </si>
  <si>
    <t>Руководитель студии</t>
  </si>
  <si>
    <t>ТО узла тепловой энергии</t>
  </si>
  <si>
    <t>СВОД (рубли)</t>
  </si>
  <si>
    <t>СВОД (норматив)</t>
  </si>
  <si>
    <t>БАЗОВОГО НОРМАТИВА  ЗАТРАТ НА ОКАЗАНИЕ МУНИЦИПАЛЬНЫХ УСЛУГ  (РАБОТ)</t>
  </si>
  <si>
    <t>Техническое обслуживание установки пожаротушения</t>
  </si>
  <si>
    <t xml:space="preserve">Ремонт кровли на левом крыле </t>
  </si>
  <si>
    <t>Реагирование на срабатывание средств тревожной сигнализации</t>
  </si>
  <si>
    <t>Обучение сотрудников</t>
  </si>
  <si>
    <t>Информационное обеспечение мероприятий</t>
  </si>
  <si>
    <t>Абонентская связь (основная)</t>
  </si>
  <si>
    <t>Абонентская связь (дополн.)</t>
  </si>
  <si>
    <t>Услуги междугородней связи</t>
  </si>
  <si>
    <t>руб.</t>
  </si>
  <si>
    <t>Мероприятия</t>
  </si>
  <si>
    <t>Тент на крышу, задник, боковины для летней концертной площадки</t>
  </si>
  <si>
    <t>Материальные запасы однократного применения</t>
  </si>
  <si>
    <t>Призовая продукция</t>
  </si>
  <si>
    <t>Итого материальные запасы</t>
  </si>
  <si>
    <t>Лонская Клавдия Алексеевна</t>
  </si>
  <si>
    <t>"________"____________20       г.</t>
  </si>
  <si>
    <t xml:space="preserve">     НА 2021г.</t>
  </si>
  <si>
    <t>Обслуживание онлайн кассы</t>
  </si>
  <si>
    <r>
      <t xml:space="preserve">Учреждение:  </t>
    </r>
    <r>
      <rPr>
        <sz val="11"/>
        <rFont val="Times New Roman"/>
        <family val="1"/>
        <charset val="204"/>
      </rPr>
      <t>Муниципальное бюджетное учреждение  культуры «Городской Дворец культуры» г.Назарово Красноярского края</t>
    </r>
  </si>
  <si>
    <r>
      <rPr>
        <b/>
        <sz val="11"/>
        <rFont val="Times New Roman"/>
        <family val="1"/>
        <charset val="204"/>
      </rPr>
      <t>Услуга</t>
    </r>
    <r>
      <rPr>
        <sz val="11"/>
        <rFont val="Times New Roman"/>
        <family val="1"/>
        <charset val="204"/>
      </rPr>
      <t>:  Организация деятельности клубных формирований и формирований самодеятельного народного творчества</t>
    </r>
  </si>
  <si>
    <r>
      <t xml:space="preserve">Наименование показателя: </t>
    </r>
    <r>
      <rPr>
        <sz val="11"/>
        <rFont val="Times New Roman"/>
        <family val="1"/>
        <charset val="204"/>
      </rPr>
      <t>Стационар</t>
    </r>
  </si>
  <si>
    <r>
      <t>Наименование показателя объема: 123</t>
    </r>
    <r>
      <rPr>
        <sz val="11"/>
        <rFont val="Times New Roman"/>
        <family val="1"/>
        <charset val="204"/>
      </rPr>
      <t xml:space="preserve"> человека.</t>
    </r>
  </si>
  <si>
    <r>
      <t xml:space="preserve">Штатное расписание: 55,5 </t>
    </r>
    <r>
      <rPr>
        <sz val="11"/>
        <rFont val="Times New Roman"/>
        <family val="1"/>
        <charset val="204"/>
      </rPr>
      <t>человек</t>
    </r>
  </si>
  <si>
    <r>
      <t>Наименование показателя объема: 1382</t>
    </r>
    <r>
      <rPr>
        <sz val="11"/>
        <rFont val="Times New Roman"/>
        <family val="1"/>
        <charset val="204"/>
      </rPr>
      <t xml:space="preserve"> человека.</t>
    </r>
  </si>
  <si>
    <r>
      <rPr>
        <b/>
        <sz val="11"/>
        <rFont val="Times New Roman"/>
        <family val="1"/>
        <charset val="204"/>
      </rPr>
      <t>Услуга</t>
    </r>
    <r>
      <rPr>
        <sz val="11"/>
        <rFont val="Times New Roman"/>
        <family val="1"/>
        <charset val="204"/>
      </rPr>
      <t>:  Организация и проведение мероприятий</t>
    </r>
  </si>
  <si>
    <r>
      <t>Наименование показателя объема: 1505</t>
    </r>
    <r>
      <rPr>
        <sz val="11"/>
        <rFont val="Times New Roman"/>
        <family val="1"/>
        <charset val="204"/>
      </rPr>
      <t xml:space="preserve"> человек.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</si>
</sst>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4" fontId="7" fillId="0" borderId="0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/>
    <xf numFmtId="4" fontId="3" fillId="0" borderId="0" xfId="0" applyNumberFormat="1" applyFont="1" applyBorder="1" applyAlignment="1"/>
    <xf numFmtId="4" fontId="2" fillId="0" borderId="1" xfId="0" applyNumberFormat="1" applyFont="1" applyBorder="1"/>
    <xf numFmtId="4" fontId="2" fillId="0" borderId="0" xfId="0" applyNumberFormat="1" applyFont="1"/>
    <xf numFmtId="4" fontId="0" fillId="0" borderId="0" xfId="0" applyNumberFormat="1"/>
    <xf numFmtId="4" fontId="3" fillId="2" borderId="0" xfId="0" applyNumberFormat="1" applyFont="1" applyFill="1" applyAlignment="1"/>
    <xf numFmtId="4" fontId="3" fillId="3" borderId="1" xfId="0" applyNumberFormat="1" applyFont="1" applyFill="1" applyBorder="1" applyAlignment="1"/>
    <xf numFmtId="4" fontId="3" fillId="2" borderId="0" xfId="0" applyNumberFormat="1" applyFont="1" applyFill="1" applyBorder="1" applyAlignment="1"/>
    <xf numFmtId="0" fontId="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3" fillId="0" borderId="5" xfId="0" applyNumberFormat="1" applyFont="1" applyBorder="1" applyAlignment="1"/>
    <xf numFmtId="4" fontId="6" fillId="0" borderId="0" xfId="0" applyNumberFormat="1" applyFont="1"/>
    <xf numFmtId="4" fontId="6" fillId="0" borderId="0" xfId="0" applyNumberFormat="1" applyFont="1" applyAlignment="1">
      <alignment horizontal="left"/>
    </xf>
    <xf numFmtId="4" fontId="4" fillId="0" borderId="0" xfId="0" applyNumberFormat="1" applyFont="1" applyAlignment="1">
      <alignment horizontal="center"/>
    </xf>
    <xf numFmtId="4" fontId="6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4" fontId="0" fillId="0" borderId="0" xfId="0" applyNumberFormat="1" applyFont="1"/>
    <xf numFmtId="4" fontId="3" fillId="0" borderId="0" xfId="0" applyNumberFormat="1" applyFont="1"/>
    <xf numFmtId="4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center" wrapText="1"/>
    </xf>
    <xf numFmtId="4" fontId="2" fillId="0" borderId="6" xfId="0" applyNumberFormat="1" applyFont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4" fontId="2" fillId="0" borderId="6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4" fontId="2" fillId="0" borderId="0" xfId="0" applyNumberFormat="1" applyFont="1" applyBorder="1" applyAlignment="1">
      <alignment wrapText="1"/>
    </xf>
    <xf numFmtId="4" fontId="2" fillId="0" borderId="0" xfId="0" applyNumberFormat="1" applyFont="1" applyBorder="1"/>
    <xf numFmtId="4" fontId="3" fillId="0" borderId="0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wrapText="1"/>
    </xf>
    <xf numFmtId="4" fontId="8" fillId="0" borderId="1" xfId="0" applyNumberFormat="1" applyFont="1" applyBorder="1"/>
    <xf numFmtId="4" fontId="3" fillId="0" borderId="2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center"/>
    </xf>
    <xf numFmtId="4" fontId="2" fillId="0" borderId="1" xfId="0" applyNumberFormat="1" applyFont="1" applyBorder="1" applyAlignment="1">
      <alignment horizontal="right" wrapText="1"/>
    </xf>
    <xf numFmtId="4" fontId="3" fillId="0" borderId="5" xfId="0" applyNumberFormat="1" applyFont="1" applyBorder="1" applyAlignment="1">
      <alignment horizontal="left"/>
    </xf>
    <xf numFmtId="4" fontId="5" fillId="0" borderId="0" xfId="0" applyNumberFormat="1" applyFont="1"/>
    <xf numFmtId="4" fontId="3" fillId="0" borderId="1" xfId="0" applyNumberFormat="1" applyFont="1" applyBorder="1"/>
    <xf numFmtId="4" fontId="3" fillId="0" borderId="2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horizontal="left"/>
    </xf>
    <xf numFmtId="4" fontId="3" fillId="0" borderId="0" xfId="0" applyNumberFormat="1" applyFont="1" applyAlignment="1">
      <alignment horizontal="center"/>
    </xf>
    <xf numFmtId="4" fontId="2" fillId="0" borderId="0" xfId="0" applyNumberFormat="1" applyFont="1" applyAlignment="1">
      <alignment wrapText="1"/>
    </xf>
    <xf numFmtId="4" fontId="6" fillId="0" borderId="0" xfId="0" applyNumberFormat="1" applyFont="1" applyAlignment="1">
      <alignment wrapText="1"/>
    </xf>
    <xf numFmtId="4" fontId="2" fillId="0" borderId="2" xfId="0" applyNumberFormat="1" applyFont="1" applyBorder="1"/>
    <xf numFmtId="4" fontId="2" fillId="0" borderId="1" xfId="0" applyNumberFormat="1" applyFont="1" applyBorder="1" applyAlignment="1">
      <alignment horizontal="center" wrapText="1"/>
    </xf>
    <xf numFmtId="4" fontId="2" fillId="0" borderId="8" xfId="0" applyNumberFormat="1" applyFont="1" applyBorder="1" applyAlignment="1">
      <alignment horizontal="center" wrapText="1"/>
    </xf>
    <xf numFmtId="4" fontId="3" fillId="0" borderId="7" xfId="0" applyNumberFormat="1" applyFont="1" applyBorder="1"/>
    <xf numFmtId="4" fontId="10" fillId="0" borderId="0" xfId="0" applyNumberFormat="1" applyFont="1"/>
    <xf numFmtId="4" fontId="10" fillId="0" borderId="1" xfId="0" applyNumberFormat="1" applyFont="1" applyBorder="1" applyAlignment="1">
      <alignment horizontal="left" wrapText="1"/>
    </xf>
    <xf numFmtId="4" fontId="8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/>
    <xf numFmtId="4" fontId="10" fillId="0" borderId="1" xfId="0" applyNumberFormat="1" applyFont="1" applyBorder="1" applyAlignment="1">
      <alignment horizontal="left" wrapText="1"/>
    </xf>
    <xf numFmtId="4" fontId="10" fillId="0" borderId="1" xfId="0" applyNumberFormat="1" applyFont="1" applyBorder="1" applyAlignment="1">
      <alignment horizontal="left" wrapText="1"/>
    </xf>
    <xf numFmtId="4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4" fontId="7" fillId="0" borderId="0" xfId="0" applyNumberFormat="1" applyFont="1" applyAlignment="1">
      <alignment horizontal="center"/>
    </xf>
    <xf numFmtId="4" fontId="2" fillId="0" borderId="2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2" fillId="0" borderId="4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left" wrapText="1"/>
    </xf>
    <xf numFmtId="4" fontId="3" fillId="4" borderId="0" xfId="0" applyNumberFormat="1" applyFont="1" applyFill="1" applyAlignment="1">
      <alignment horizontal="center"/>
    </xf>
    <xf numFmtId="4" fontId="2" fillId="0" borderId="1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left"/>
    </xf>
    <xf numFmtId="4" fontId="0" fillId="0" borderId="3" xfId="0" applyNumberFormat="1" applyBorder="1" applyAlignment="1">
      <alignment horizontal="left"/>
    </xf>
    <xf numFmtId="4" fontId="2" fillId="0" borderId="1" xfId="0" applyNumberFormat="1" applyFont="1" applyBorder="1" applyAlignment="1">
      <alignment horizontal="center" wrapText="1"/>
    </xf>
    <xf numFmtId="4" fontId="3" fillId="4" borderId="5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 wrapText="1"/>
    </xf>
    <xf numFmtId="4" fontId="2" fillId="0" borderId="3" xfId="0" applyNumberFormat="1" applyFont="1" applyBorder="1" applyAlignment="1">
      <alignment horizontal="left" wrapText="1"/>
    </xf>
    <xf numFmtId="4" fontId="2" fillId="0" borderId="4" xfId="0" applyNumberFormat="1" applyFont="1" applyBorder="1" applyAlignment="1">
      <alignment horizontal="left" wrapText="1"/>
    </xf>
    <xf numFmtId="4" fontId="3" fillId="4" borderId="0" xfId="0" applyNumberFormat="1" applyFont="1" applyFill="1" applyBorder="1" applyAlignment="1">
      <alignment horizontal="center"/>
    </xf>
    <xf numFmtId="4" fontId="6" fillId="0" borderId="0" xfId="0" applyNumberFormat="1" applyFont="1" applyAlignment="1">
      <alignment horizontal="left" wrapText="1"/>
    </xf>
    <xf numFmtId="4" fontId="2" fillId="0" borderId="0" xfId="0" applyNumberFormat="1" applyFont="1" applyAlignment="1">
      <alignment wrapText="1"/>
    </xf>
    <xf numFmtId="4" fontId="6" fillId="0" borderId="0" xfId="0" applyNumberFormat="1" applyFont="1" applyAlignment="1">
      <alignment wrapText="1"/>
    </xf>
    <xf numFmtId="4" fontId="2" fillId="0" borderId="2" xfId="0" applyNumberFormat="1" applyFont="1" applyBorder="1"/>
    <xf numFmtId="4" fontId="2" fillId="0" borderId="4" xfId="0" applyNumberFormat="1" applyFont="1" applyBorder="1"/>
    <xf numFmtId="4" fontId="0" fillId="0" borderId="4" xfId="0" applyNumberFormat="1" applyBorder="1" applyAlignment="1">
      <alignment horizontal="left"/>
    </xf>
    <xf numFmtId="4" fontId="3" fillId="0" borderId="4" xfId="0" applyNumberFormat="1" applyFont="1" applyBorder="1" applyAlignment="1">
      <alignment horizontal="left"/>
    </xf>
    <xf numFmtId="4" fontId="7" fillId="0" borderId="0" xfId="0" applyNumberFormat="1" applyFont="1"/>
    <xf numFmtId="4" fontId="8" fillId="0" borderId="0" xfId="0" applyNumberFormat="1" applyFont="1"/>
    <xf numFmtId="4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Border="1" applyAlignment="1">
      <alignment horizontal="left" wrapText="1"/>
    </xf>
    <xf numFmtId="4" fontId="8" fillId="0" borderId="2" xfId="0" applyNumberFormat="1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4" fontId="9" fillId="0" borderId="0" xfId="0" applyNumberFormat="1" applyFont="1" applyBorder="1" applyAlignment="1">
      <alignment horizontal="center"/>
    </xf>
    <xf numFmtId="4" fontId="7" fillId="0" borderId="0" xfId="0" applyNumberFormat="1" applyFont="1" applyBorder="1"/>
    <xf numFmtId="4" fontId="7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A5" sqref="A5"/>
    </sheetView>
  </sheetViews>
  <sheetFormatPr defaultRowHeight="15" x14ac:dyDescent="0.25"/>
  <cols>
    <col min="1" max="2" width="17.5703125" customWidth="1"/>
  </cols>
  <sheetData>
    <row r="1" spans="1:6" ht="42" customHeight="1" x14ac:dyDescent="0.25">
      <c r="A1" s="13" t="s">
        <v>95</v>
      </c>
      <c r="B1" s="13" t="s">
        <v>96</v>
      </c>
    </row>
    <row r="2" spans="1:6" ht="42" customHeight="1" x14ac:dyDescent="0.25">
      <c r="A2" s="14">
        <f>'Услуга №1'!I135+'Услуга №2'!I135+'Услуга №3'!I135+'Услуга №4'!I135</f>
        <v>21209725.658380002</v>
      </c>
      <c r="B2" s="14">
        <f>'Услуга №1'!K135+'Услуга №2'!K135+'Услуга №3'!K135+'Услуга №4'!K135</f>
        <v>21209725.658380002</v>
      </c>
    </row>
    <row r="4" spans="1:6" x14ac:dyDescent="0.25">
      <c r="A4" s="9">
        <v>21209725.66</v>
      </c>
      <c r="B4" s="9"/>
      <c r="C4" s="9"/>
      <c r="D4" s="9"/>
      <c r="E4" s="9"/>
      <c r="F4" s="9"/>
    </row>
    <row r="5" spans="1:6" x14ac:dyDescent="0.25">
      <c r="A5" s="9"/>
      <c r="B5" s="9"/>
      <c r="C5" s="9"/>
      <c r="D5" s="9"/>
      <c r="E5" s="9"/>
      <c r="F5" s="9"/>
    </row>
    <row r="6" spans="1:6" x14ac:dyDescent="0.25">
      <c r="A6" s="9"/>
      <c r="B6" s="9"/>
      <c r="C6" s="9"/>
      <c r="D6" s="9"/>
      <c r="E6" s="9"/>
      <c r="F6" s="9"/>
    </row>
    <row r="7" spans="1:6" x14ac:dyDescent="0.25">
      <c r="A7" s="9"/>
      <c r="B7" s="9"/>
      <c r="C7" s="9"/>
      <c r="D7" s="9"/>
      <c r="E7" s="9"/>
      <c r="F7" s="9"/>
    </row>
    <row r="8" spans="1:6" x14ac:dyDescent="0.25">
      <c r="A8" s="9"/>
      <c r="B8" s="9"/>
      <c r="C8" s="9"/>
      <c r="D8" s="9"/>
      <c r="E8" s="9"/>
      <c r="F8" s="9"/>
    </row>
    <row r="9" spans="1:6" x14ac:dyDescent="0.25">
      <c r="A9" s="9"/>
      <c r="B9" s="9"/>
      <c r="C9" s="9"/>
      <c r="D9" s="9"/>
      <c r="E9" s="9"/>
      <c r="F9" s="9"/>
    </row>
    <row r="10" spans="1:6" x14ac:dyDescent="0.25">
      <c r="A10" s="9"/>
      <c r="B10" s="9"/>
      <c r="C10" s="9"/>
      <c r="D10" s="9"/>
      <c r="E10" s="9"/>
      <c r="F10" s="9"/>
    </row>
    <row r="11" spans="1:6" x14ac:dyDescent="0.25">
      <c r="A11" s="9"/>
      <c r="B11" s="9"/>
      <c r="C11" s="9"/>
      <c r="D11" s="9"/>
      <c r="E11" s="9"/>
      <c r="F11" s="9"/>
    </row>
    <row r="12" spans="1:6" x14ac:dyDescent="0.25">
      <c r="A12" s="9"/>
      <c r="B12" s="9"/>
      <c r="C12" s="9"/>
      <c r="D12" s="9"/>
      <c r="E12" s="9"/>
      <c r="F12" s="9"/>
    </row>
    <row r="13" spans="1:6" x14ac:dyDescent="0.25">
      <c r="A13" s="9"/>
      <c r="B13" s="9"/>
      <c r="C13" s="9"/>
      <c r="D13" s="9"/>
      <c r="E13" s="9"/>
      <c r="F13" s="9"/>
    </row>
    <row r="14" spans="1:6" x14ac:dyDescent="0.25">
      <c r="A14" s="9"/>
      <c r="B14" s="9"/>
      <c r="C14" s="9"/>
      <c r="D14" s="9"/>
      <c r="E14" s="9"/>
      <c r="F14" s="9"/>
    </row>
    <row r="15" spans="1:6" x14ac:dyDescent="0.25">
      <c r="A15" s="9"/>
      <c r="B15" s="9"/>
      <c r="C15" s="9"/>
      <c r="D15" s="9"/>
      <c r="E15" s="9"/>
      <c r="F15" s="9"/>
    </row>
    <row r="16" spans="1:6" x14ac:dyDescent="0.25">
      <c r="A16" s="9"/>
      <c r="B16" s="9"/>
      <c r="C16" s="9"/>
      <c r="D16" s="9"/>
      <c r="E16" s="9"/>
      <c r="F16" s="9"/>
    </row>
  </sheetData>
  <pageMargins left="0.19685039370078741" right="0.11811023622047245" top="0.15748031496062992" bottom="0.15748031496062992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0"/>
  <sheetViews>
    <sheetView topLeftCell="A48" zoomScale="90" zoomScaleNormal="90" workbookViewId="0">
      <selection activeCell="N143" sqref="N143"/>
    </sheetView>
  </sheetViews>
  <sheetFormatPr defaultRowHeight="15" x14ac:dyDescent="0.25"/>
  <cols>
    <col min="1" max="3" width="9.140625" style="8" customWidth="1"/>
    <col min="4" max="4" width="8.140625" style="8" customWidth="1"/>
    <col min="5" max="5" width="16.42578125" style="8" customWidth="1"/>
    <col min="6" max="6" width="13.42578125" style="8" customWidth="1"/>
    <col min="7" max="7" width="13.7109375" style="8" customWidth="1"/>
    <col min="8" max="8" width="17.42578125" style="8" customWidth="1"/>
    <col min="9" max="9" width="13.7109375" style="8" customWidth="1"/>
    <col min="10" max="10" width="13.140625" style="8" customWidth="1"/>
    <col min="11" max="11" width="18.5703125" style="8" customWidth="1"/>
    <col min="12" max="12" width="14.5703125" style="8" customWidth="1"/>
    <col min="13" max="13" width="13.5703125" style="8" hidden="1" customWidth="1"/>
    <col min="14" max="16384" width="9.140625" style="8"/>
  </cols>
  <sheetData>
    <row r="1" spans="1:12" ht="15.75" x14ac:dyDescent="0.25">
      <c r="A1" s="16" t="s">
        <v>57</v>
      </c>
      <c r="B1" s="16"/>
      <c r="C1" s="16"/>
      <c r="D1" s="1"/>
    </row>
    <row r="2" spans="1:12" ht="15.75" x14ac:dyDescent="0.25">
      <c r="A2" s="17" t="s">
        <v>58</v>
      </c>
      <c r="B2" s="17"/>
      <c r="C2" s="17"/>
      <c r="D2" s="1"/>
    </row>
    <row r="3" spans="1:12" ht="15.75" x14ac:dyDescent="0.25">
      <c r="A3" s="18"/>
      <c r="B3" s="18"/>
      <c r="C3" s="18"/>
      <c r="D3" s="1"/>
    </row>
    <row r="4" spans="1:12" ht="15.75" x14ac:dyDescent="0.25">
      <c r="A4" s="85" t="s">
        <v>59</v>
      </c>
      <c r="B4" s="85"/>
      <c r="C4" s="85"/>
      <c r="D4" s="86"/>
      <c r="E4" s="86"/>
      <c r="F4" s="86"/>
    </row>
    <row r="5" spans="1:12" ht="15.75" x14ac:dyDescent="0.25">
      <c r="A5" s="87" t="s">
        <v>113</v>
      </c>
      <c r="B5" s="87"/>
      <c r="C5" s="87"/>
      <c r="D5" s="86"/>
    </row>
    <row r="6" spans="1:12" ht="15.75" x14ac:dyDescent="0.25">
      <c r="A6" s="19"/>
      <c r="B6" s="19"/>
      <c r="C6" s="19"/>
      <c r="D6" s="20"/>
    </row>
    <row r="7" spans="1:12" s="21" customFormat="1" x14ac:dyDescent="0.25">
      <c r="A7" s="65" t="s">
        <v>63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</row>
    <row r="8" spans="1:12" s="21" customFormat="1" x14ac:dyDescent="0.25">
      <c r="A8" s="65" t="s">
        <v>97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12" s="21" customFormat="1" ht="13.5" customHeight="1" x14ac:dyDescent="0.25">
      <c r="A9" s="65" t="s">
        <v>114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12" ht="10.5" customHeight="1" x14ac:dyDescent="0.25"/>
    <row r="11" spans="1:12" x14ac:dyDescent="0.25">
      <c r="A11" s="92" t="s">
        <v>116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x14ac:dyDescent="0.25">
      <c r="A12" s="93" t="s">
        <v>117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</row>
    <row r="13" spans="1:12" x14ac:dyDescent="0.25">
      <c r="A13" s="92" t="s">
        <v>118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25">
      <c r="A14" s="92" t="s">
        <v>119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</row>
    <row r="15" spans="1:12" x14ac:dyDescent="0.25">
      <c r="A15" s="92" t="s">
        <v>120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</row>
    <row r="16" spans="1:12" ht="33" customHeight="1" x14ac:dyDescent="0.25">
      <c r="A16" s="94" t="s">
        <v>0</v>
      </c>
      <c r="B16" s="94"/>
      <c r="C16" s="94"/>
      <c r="D16" s="94"/>
      <c r="E16" s="94"/>
      <c r="F16" s="58" t="s">
        <v>1</v>
      </c>
      <c r="G16" s="94" t="s">
        <v>2</v>
      </c>
      <c r="H16" s="94"/>
      <c r="I16" s="94"/>
      <c r="J16" s="94"/>
      <c r="K16" s="94"/>
      <c r="L16" s="58" t="s">
        <v>1</v>
      </c>
    </row>
    <row r="17" spans="1:12" ht="15" hidden="1" customHeight="1" x14ac:dyDescent="0.25">
      <c r="A17" s="61" t="s">
        <v>41</v>
      </c>
      <c r="B17" s="61"/>
      <c r="C17" s="61"/>
      <c r="D17" s="61"/>
      <c r="E17" s="61"/>
      <c r="F17" s="38"/>
      <c r="G17" s="61" t="s">
        <v>3</v>
      </c>
      <c r="H17" s="61"/>
      <c r="I17" s="61"/>
      <c r="J17" s="61"/>
      <c r="K17" s="61"/>
      <c r="L17" s="38">
        <v>0</v>
      </c>
    </row>
    <row r="18" spans="1:12" s="93" customFormat="1" ht="29.25" customHeight="1" x14ac:dyDescent="0.25">
      <c r="A18" s="95" t="s">
        <v>43</v>
      </c>
      <c r="B18" s="95"/>
      <c r="C18" s="95"/>
      <c r="D18" s="95"/>
      <c r="E18" s="95"/>
      <c r="F18" s="38">
        <f>1*2.73%</f>
        <v>2.7300000000000001E-2</v>
      </c>
      <c r="G18" s="95" t="s">
        <v>3</v>
      </c>
      <c r="H18" s="95"/>
      <c r="I18" s="95"/>
      <c r="J18" s="95"/>
      <c r="K18" s="95"/>
      <c r="L18" s="38">
        <f>1*2.73%</f>
        <v>2.7300000000000001E-2</v>
      </c>
    </row>
    <row r="19" spans="1:12" s="93" customFormat="1" ht="15" customHeight="1" x14ac:dyDescent="0.25">
      <c r="A19" s="95" t="s">
        <v>81</v>
      </c>
      <c r="B19" s="95"/>
      <c r="C19" s="95"/>
      <c r="D19" s="95"/>
      <c r="E19" s="95"/>
      <c r="F19" s="38">
        <f t="shared" ref="F19:F42" si="0">1*2.73%</f>
        <v>2.7300000000000001E-2</v>
      </c>
      <c r="G19" s="95" t="s">
        <v>41</v>
      </c>
      <c r="H19" s="95"/>
      <c r="I19" s="95"/>
      <c r="J19" s="95"/>
      <c r="K19" s="95"/>
      <c r="L19" s="38">
        <f>1*2.73%</f>
        <v>2.7300000000000001E-2</v>
      </c>
    </row>
    <row r="20" spans="1:12" s="93" customFormat="1" ht="15" customHeight="1" x14ac:dyDescent="0.25">
      <c r="A20" s="95" t="s">
        <v>46</v>
      </c>
      <c r="B20" s="95"/>
      <c r="C20" s="95"/>
      <c r="D20" s="95"/>
      <c r="E20" s="95"/>
      <c r="F20" s="38">
        <f t="shared" si="0"/>
        <v>2.7300000000000001E-2</v>
      </c>
      <c r="G20" s="95"/>
      <c r="H20" s="95"/>
      <c r="I20" s="95"/>
      <c r="J20" s="95"/>
      <c r="K20" s="95"/>
      <c r="L20" s="38"/>
    </row>
    <row r="21" spans="1:12" s="93" customFormat="1" ht="15" customHeight="1" x14ac:dyDescent="0.25">
      <c r="A21" s="95" t="s">
        <v>47</v>
      </c>
      <c r="B21" s="95"/>
      <c r="C21" s="95"/>
      <c r="D21" s="95"/>
      <c r="E21" s="95"/>
      <c r="F21" s="38">
        <f t="shared" si="0"/>
        <v>2.7300000000000001E-2</v>
      </c>
      <c r="G21" s="95"/>
      <c r="H21" s="95"/>
      <c r="I21" s="95"/>
      <c r="J21" s="95"/>
      <c r="K21" s="95"/>
      <c r="L21" s="38"/>
    </row>
    <row r="22" spans="1:12" s="93" customFormat="1" ht="15" customHeight="1" x14ac:dyDescent="0.25">
      <c r="A22" s="95" t="s">
        <v>83</v>
      </c>
      <c r="B22" s="95"/>
      <c r="C22" s="95"/>
      <c r="D22" s="95"/>
      <c r="E22" s="95"/>
      <c r="F22" s="38">
        <f t="shared" si="0"/>
        <v>2.7300000000000001E-2</v>
      </c>
      <c r="G22" s="95"/>
      <c r="H22" s="95"/>
      <c r="I22" s="95"/>
      <c r="J22" s="95"/>
      <c r="K22" s="95"/>
      <c r="L22" s="38"/>
    </row>
    <row r="23" spans="1:12" s="93" customFormat="1" ht="15" customHeight="1" x14ac:dyDescent="0.25">
      <c r="A23" s="95" t="s">
        <v>84</v>
      </c>
      <c r="B23" s="95"/>
      <c r="C23" s="95"/>
      <c r="D23" s="95"/>
      <c r="E23" s="95"/>
      <c r="F23" s="38">
        <f t="shared" si="0"/>
        <v>2.7300000000000001E-2</v>
      </c>
      <c r="G23" s="95"/>
      <c r="H23" s="95"/>
      <c r="I23" s="95"/>
      <c r="J23" s="95"/>
      <c r="K23" s="95"/>
      <c r="L23" s="38"/>
    </row>
    <row r="24" spans="1:12" s="93" customFormat="1" ht="15" customHeight="1" x14ac:dyDescent="0.25">
      <c r="A24" s="95" t="s">
        <v>85</v>
      </c>
      <c r="B24" s="95"/>
      <c r="C24" s="95"/>
      <c r="D24" s="95"/>
      <c r="E24" s="95"/>
      <c r="F24" s="38">
        <f t="shared" si="0"/>
        <v>2.7300000000000001E-2</v>
      </c>
      <c r="G24" s="95"/>
      <c r="H24" s="95"/>
      <c r="I24" s="95"/>
      <c r="J24" s="95"/>
      <c r="K24" s="95"/>
      <c r="L24" s="38"/>
    </row>
    <row r="25" spans="1:12" s="93" customFormat="1" ht="15" customHeight="1" x14ac:dyDescent="0.25">
      <c r="A25" s="95" t="s">
        <v>86</v>
      </c>
      <c r="B25" s="95"/>
      <c r="C25" s="95"/>
      <c r="D25" s="95"/>
      <c r="E25" s="95"/>
      <c r="F25" s="38">
        <f t="shared" si="0"/>
        <v>2.7300000000000001E-2</v>
      </c>
      <c r="G25" s="95"/>
      <c r="H25" s="95"/>
      <c r="I25" s="95"/>
      <c r="J25" s="95"/>
      <c r="K25" s="95"/>
      <c r="L25" s="38"/>
    </row>
    <row r="26" spans="1:12" s="93" customFormat="1" ht="15" customHeight="1" x14ac:dyDescent="0.25">
      <c r="A26" s="95" t="s">
        <v>87</v>
      </c>
      <c r="B26" s="95"/>
      <c r="C26" s="95"/>
      <c r="D26" s="95"/>
      <c r="E26" s="95"/>
      <c r="F26" s="38">
        <f>1.5*2.73%</f>
        <v>4.095E-2</v>
      </c>
      <c r="G26" s="95"/>
      <c r="H26" s="95"/>
      <c r="I26" s="95"/>
      <c r="J26" s="95"/>
      <c r="K26" s="95"/>
      <c r="L26" s="38"/>
    </row>
    <row r="27" spans="1:12" ht="15" customHeight="1" x14ac:dyDescent="0.25">
      <c r="A27" s="95" t="s">
        <v>49</v>
      </c>
      <c r="B27" s="95"/>
      <c r="C27" s="95"/>
      <c r="D27" s="95"/>
      <c r="E27" s="95"/>
      <c r="F27" s="38">
        <f t="shared" si="0"/>
        <v>2.7300000000000001E-2</v>
      </c>
      <c r="G27" s="61"/>
      <c r="H27" s="61"/>
      <c r="I27" s="61"/>
      <c r="J27" s="61"/>
      <c r="K27" s="61"/>
      <c r="L27" s="38"/>
    </row>
    <row r="28" spans="1:12" ht="15" customHeight="1" x14ac:dyDescent="0.25">
      <c r="A28" s="95" t="s">
        <v>80</v>
      </c>
      <c r="B28" s="95"/>
      <c r="C28" s="95"/>
      <c r="D28" s="95"/>
      <c r="E28" s="95"/>
      <c r="F28" s="38">
        <f t="shared" si="0"/>
        <v>2.7300000000000001E-2</v>
      </c>
      <c r="G28" s="61"/>
      <c r="H28" s="61"/>
      <c r="I28" s="61"/>
      <c r="J28" s="61"/>
      <c r="K28" s="61"/>
      <c r="L28" s="38"/>
    </row>
    <row r="29" spans="1:12" s="93" customFormat="1" ht="30.75" customHeight="1" x14ac:dyDescent="0.25">
      <c r="A29" s="95" t="s">
        <v>42</v>
      </c>
      <c r="B29" s="95"/>
      <c r="C29" s="95"/>
      <c r="D29" s="95"/>
      <c r="E29" s="95"/>
      <c r="F29" s="38">
        <f t="shared" si="0"/>
        <v>2.7300000000000001E-2</v>
      </c>
      <c r="G29" s="95"/>
      <c r="H29" s="95"/>
      <c r="I29" s="95"/>
      <c r="J29" s="95"/>
      <c r="K29" s="95"/>
      <c r="L29" s="38"/>
    </row>
    <row r="30" spans="1:12" s="93" customFormat="1" x14ac:dyDescent="0.25">
      <c r="A30" s="95" t="s">
        <v>44</v>
      </c>
      <c r="B30" s="95"/>
      <c r="C30" s="95"/>
      <c r="D30" s="95"/>
      <c r="E30" s="95"/>
      <c r="F30" s="38">
        <f t="shared" si="0"/>
        <v>2.7300000000000001E-2</v>
      </c>
      <c r="G30" s="95"/>
      <c r="H30" s="95"/>
      <c r="I30" s="95"/>
      <c r="J30" s="95"/>
      <c r="K30" s="95"/>
      <c r="L30" s="38"/>
    </row>
    <row r="31" spans="1:12" x14ac:dyDescent="0.25">
      <c r="A31" s="95" t="s">
        <v>79</v>
      </c>
      <c r="B31" s="95"/>
      <c r="C31" s="95"/>
      <c r="D31" s="95"/>
      <c r="E31" s="95"/>
      <c r="F31" s="38">
        <f t="shared" si="0"/>
        <v>2.7300000000000001E-2</v>
      </c>
      <c r="G31" s="62"/>
      <c r="H31" s="63"/>
      <c r="I31" s="63"/>
      <c r="J31" s="63"/>
      <c r="K31" s="64"/>
      <c r="L31" s="38"/>
    </row>
    <row r="32" spans="1:12" s="93" customFormat="1" x14ac:dyDescent="0.25">
      <c r="A32" s="95" t="s">
        <v>38</v>
      </c>
      <c r="B32" s="95"/>
      <c r="C32" s="95"/>
      <c r="D32" s="95"/>
      <c r="E32" s="95"/>
      <c r="F32" s="38">
        <f>8*2.73%</f>
        <v>0.21840000000000001</v>
      </c>
      <c r="G32" s="96"/>
      <c r="H32" s="97"/>
      <c r="I32" s="97"/>
      <c r="J32" s="97"/>
      <c r="K32" s="64"/>
      <c r="L32" s="38"/>
    </row>
    <row r="33" spans="1:13" s="93" customFormat="1" x14ac:dyDescent="0.25">
      <c r="A33" s="95" t="s">
        <v>82</v>
      </c>
      <c r="B33" s="95"/>
      <c r="C33" s="95"/>
      <c r="D33" s="95"/>
      <c r="E33" s="95"/>
      <c r="F33" s="38">
        <f t="shared" si="0"/>
        <v>2.7300000000000001E-2</v>
      </c>
      <c r="G33" s="96"/>
      <c r="H33" s="97"/>
      <c r="I33" s="97"/>
      <c r="J33" s="97"/>
      <c r="K33" s="64"/>
      <c r="L33" s="38"/>
    </row>
    <row r="34" spans="1:13" s="93" customFormat="1" x14ac:dyDescent="0.25">
      <c r="A34" s="95" t="s">
        <v>45</v>
      </c>
      <c r="B34" s="95"/>
      <c r="C34" s="95"/>
      <c r="D34" s="95"/>
      <c r="E34" s="95"/>
      <c r="F34" s="38">
        <f t="shared" si="0"/>
        <v>2.7300000000000001E-2</v>
      </c>
      <c r="G34" s="96"/>
      <c r="H34" s="97"/>
      <c r="I34" s="97"/>
      <c r="J34" s="97"/>
      <c r="K34" s="64"/>
      <c r="L34" s="38"/>
    </row>
    <row r="35" spans="1:13" x14ac:dyDescent="0.25">
      <c r="A35" s="95" t="s">
        <v>48</v>
      </c>
      <c r="B35" s="95"/>
      <c r="C35" s="95"/>
      <c r="D35" s="95"/>
      <c r="E35" s="95"/>
      <c r="F35" s="38">
        <f>0.5*2.73%</f>
        <v>1.3650000000000001E-2</v>
      </c>
      <c r="G35" s="62"/>
      <c r="H35" s="63"/>
      <c r="I35" s="63"/>
      <c r="J35" s="63"/>
      <c r="K35" s="64"/>
      <c r="L35" s="38"/>
    </row>
    <row r="36" spans="1:13" x14ac:dyDescent="0.25">
      <c r="A36" s="95" t="s">
        <v>88</v>
      </c>
      <c r="B36" s="95"/>
      <c r="C36" s="95"/>
      <c r="D36" s="95"/>
      <c r="E36" s="95"/>
      <c r="F36" s="38">
        <f>7*2.73%</f>
        <v>0.19110000000000002</v>
      </c>
      <c r="G36" s="62"/>
      <c r="H36" s="63"/>
      <c r="I36" s="63"/>
      <c r="J36" s="63"/>
      <c r="K36" s="64"/>
      <c r="L36" s="38"/>
    </row>
    <row r="37" spans="1:13" x14ac:dyDescent="0.25">
      <c r="A37" s="95" t="s">
        <v>50</v>
      </c>
      <c r="B37" s="95"/>
      <c r="C37" s="95"/>
      <c r="D37" s="95"/>
      <c r="E37" s="95"/>
      <c r="F37" s="38">
        <f>8*2.73%</f>
        <v>0.21840000000000001</v>
      </c>
      <c r="G37" s="62"/>
      <c r="H37" s="63"/>
      <c r="I37" s="63"/>
      <c r="J37" s="63"/>
      <c r="K37" s="64"/>
      <c r="L37" s="38"/>
    </row>
    <row r="38" spans="1:13" x14ac:dyDescent="0.25">
      <c r="A38" s="95" t="s">
        <v>90</v>
      </c>
      <c r="B38" s="95"/>
      <c r="C38" s="95"/>
      <c r="D38" s="95"/>
      <c r="E38" s="95"/>
      <c r="F38" s="38">
        <f t="shared" si="0"/>
        <v>2.7300000000000001E-2</v>
      </c>
      <c r="G38" s="62"/>
      <c r="H38" s="63"/>
      <c r="I38" s="63"/>
      <c r="J38" s="63"/>
      <c r="K38" s="64"/>
      <c r="L38" s="38"/>
    </row>
    <row r="39" spans="1:13" x14ac:dyDescent="0.25">
      <c r="A39" s="95" t="s">
        <v>91</v>
      </c>
      <c r="B39" s="95"/>
      <c r="C39" s="95"/>
      <c r="D39" s="95"/>
      <c r="E39" s="95"/>
      <c r="F39" s="38">
        <f t="shared" si="0"/>
        <v>2.7300000000000001E-2</v>
      </c>
      <c r="G39" s="62"/>
      <c r="H39" s="63"/>
      <c r="I39" s="63"/>
      <c r="J39" s="63"/>
      <c r="K39" s="64"/>
      <c r="L39" s="38"/>
    </row>
    <row r="40" spans="1:13" x14ac:dyDescent="0.25">
      <c r="A40" s="95" t="s">
        <v>92</v>
      </c>
      <c r="B40" s="95"/>
      <c r="C40" s="95"/>
      <c r="D40" s="95"/>
      <c r="E40" s="95"/>
      <c r="F40" s="38">
        <f t="shared" si="0"/>
        <v>2.7300000000000001E-2</v>
      </c>
      <c r="G40" s="62"/>
      <c r="H40" s="63"/>
      <c r="I40" s="63"/>
      <c r="J40" s="63"/>
      <c r="K40" s="64"/>
      <c r="L40" s="38"/>
    </row>
    <row r="41" spans="1:13" x14ac:dyDescent="0.25">
      <c r="A41" s="95" t="s">
        <v>52</v>
      </c>
      <c r="B41" s="95"/>
      <c r="C41" s="95"/>
      <c r="D41" s="95"/>
      <c r="E41" s="95"/>
      <c r="F41" s="38">
        <f>9.5*2.73%</f>
        <v>0.25935000000000002</v>
      </c>
      <c r="G41" s="62"/>
      <c r="H41" s="63"/>
      <c r="I41" s="63"/>
      <c r="J41" s="63"/>
      <c r="K41" s="64"/>
      <c r="L41" s="38"/>
    </row>
    <row r="42" spans="1:13" x14ac:dyDescent="0.25">
      <c r="A42" s="95" t="s">
        <v>93</v>
      </c>
      <c r="B42" s="95"/>
      <c r="C42" s="95"/>
      <c r="D42" s="95"/>
      <c r="E42" s="95"/>
      <c r="F42" s="38">
        <f t="shared" si="0"/>
        <v>2.7300000000000001E-2</v>
      </c>
      <c r="G42" s="62"/>
      <c r="H42" s="63"/>
      <c r="I42" s="63"/>
      <c r="J42" s="63"/>
      <c r="K42" s="64"/>
      <c r="L42" s="38"/>
    </row>
    <row r="43" spans="1:13" hidden="1" x14ac:dyDescent="0.25">
      <c r="A43" s="62"/>
      <c r="B43" s="63"/>
      <c r="C43" s="63"/>
      <c r="D43" s="63"/>
      <c r="E43" s="64"/>
      <c r="F43" s="38"/>
      <c r="G43" s="57"/>
      <c r="H43" s="57"/>
      <c r="I43" s="57"/>
      <c r="J43" s="57"/>
      <c r="K43" s="57"/>
      <c r="L43" s="38"/>
    </row>
    <row r="44" spans="1:13" hidden="1" x14ac:dyDescent="0.25">
      <c r="A44" s="62"/>
      <c r="B44" s="63"/>
      <c r="C44" s="63"/>
      <c r="D44" s="63"/>
      <c r="E44" s="64"/>
      <c r="F44" s="38"/>
      <c r="G44" s="57"/>
      <c r="H44" s="57"/>
      <c r="I44" s="57"/>
      <c r="J44" s="57"/>
      <c r="K44" s="57"/>
      <c r="L44" s="38"/>
    </row>
    <row r="45" spans="1:13" x14ac:dyDescent="0.25">
      <c r="A45" s="100" t="s">
        <v>4</v>
      </c>
      <c r="B45" s="100"/>
      <c r="C45" s="100"/>
      <c r="D45" s="100"/>
      <c r="E45" s="100"/>
      <c r="F45" s="59">
        <f>SUM(F17:F42)</f>
        <v>1.4605500000000005</v>
      </c>
      <c r="G45" s="100" t="s">
        <v>4</v>
      </c>
      <c r="H45" s="100"/>
      <c r="I45" s="100"/>
      <c r="J45" s="100"/>
      <c r="K45" s="100"/>
      <c r="L45" s="59">
        <f>SUM(L17:L42)</f>
        <v>5.4600000000000003E-2</v>
      </c>
      <c r="M45" s="8">
        <f>F45+L45+'Услуга №3'!F45+'Услуга №3'!L45+'Услуга №2'!F45+'Услуга №2'!L45+'Услуга №4'!F45+'Услуга №4'!L45</f>
        <v>55.500000000000007</v>
      </c>
    </row>
    <row r="46" spans="1:13" ht="15.75" thickBot="1" x14ac:dyDescent="0.3"/>
    <row r="47" spans="1:13" ht="15.75" thickBot="1" x14ac:dyDescent="0.3">
      <c r="A47" s="22" t="s">
        <v>70</v>
      </c>
      <c r="F47" s="55">
        <v>123</v>
      </c>
    </row>
    <row r="48" spans="1:13" ht="75" x14ac:dyDescent="0.25">
      <c r="A48" s="69" t="s">
        <v>5</v>
      </c>
      <c r="B48" s="70"/>
      <c r="C48" s="70"/>
      <c r="D48" s="70"/>
      <c r="E48" s="71"/>
      <c r="F48" s="54" t="s">
        <v>6</v>
      </c>
      <c r="G48" s="23" t="s">
        <v>1</v>
      </c>
      <c r="H48" s="23" t="s">
        <v>66</v>
      </c>
      <c r="I48" s="23" t="s">
        <v>67</v>
      </c>
      <c r="J48" s="23" t="s">
        <v>68</v>
      </c>
      <c r="K48" s="24" t="s">
        <v>69</v>
      </c>
      <c r="L48" s="33"/>
    </row>
    <row r="49" spans="1:13" ht="15" hidden="1" customHeight="1" x14ac:dyDescent="0.25">
      <c r="A49" s="72" t="s">
        <v>41</v>
      </c>
      <c r="B49" s="72"/>
      <c r="C49" s="72"/>
      <c r="D49" s="72"/>
      <c r="E49" s="72"/>
      <c r="F49" s="7">
        <v>14963</v>
      </c>
      <c r="G49" s="7">
        <v>0.45</v>
      </c>
      <c r="H49" s="7">
        <f>F49*G49*12</f>
        <v>80800.200000000012</v>
      </c>
      <c r="I49" s="7">
        <f>H49*1.302</f>
        <v>105201.86040000002</v>
      </c>
      <c r="J49" s="7">
        <f>F47</f>
        <v>123</v>
      </c>
      <c r="K49" s="7">
        <f>I49/J49</f>
        <v>855.29967804878061</v>
      </c>
      <c r="L49" s="34"/>
    </row>
    <row r="50" spans="1:13" ht="17.25" hidden="1" customHeight="1" x14ac:dyDescent="0.25">
      <c r="A50" s="72" t="s">
        <v>43</v>
      </c>
      <c r="B50" s="72"/>
      <c r="C50" s="72"/>
      <c r="D50" s="72"/>
      <c r="E50" s="72"/>
      <c r="F50" s="7">
        <v>11538</v>
      </c>
      <c r="G50" s="7">
        <v>0.45</v>
      </c>
      <c r="H50" s="7">
        <f t="shared" ref="H50:H61" si="1">F50*G50*12</f>
        <v>62305.200000000004</v>
      </c>
      <c r="I50" s="7">
        <f t="shared" ref="I50:I61" si="2">H50*1.302</f>
        <v>81121.370400000014</v>
      </c>
      <c r="J50" s="7">
        <f t="shared" ref="J50:J57" si="3">J49</f>
        <v>123</v>
      </c>
      <c r="K50" s="7">
        <f>I50/J50</f>
        <v>659.523336585366</v>
      </c>
      <c r="L50" s="34"/>
    </row>
    <row r="51" spans="1:13" ht="15" hidden="1" customHeight="1" x14ac:dyDescent="0.25">
      <c r="A51" s="72" t="s">
        <v>81</v>
      </c>
      <c r="B51" s="72"/>
      <c r="C51" s="72"/>
      <c r="D51" s="72"/>
      <c r="E51" s="72"/>
      <c r="F51" s="7">
        <v>8837</v>
      </c>
      <c r="G51" s="7">
        <v>0.45</v>
      </c>
      <c r="H51" s="7">
        <f t="shared" si="1"/>
        <v>47719.8</v>
      </c>
      <c r="I51" s="7">
        <f t="shared" si="2"/>
        <v>62131.179600000003</v>
      </c>
      <c r="J51" s="7">
        <f t="shared" si="3"/>
        <v>123</v>
      </c>
      <c r="K51" s="7">
        <f t="shared" ref="K51:K61" si="4">I51/J51</f>
        <v>505.13154146341464</v>
      </c>
      <c r="L51" s="34"/>
    </row>
    <row r="52" spans="1:13" ht="15.75" hidden="1" customHeight="1" x14ac:dyDescent="0.25">
      <c r="A52" s="72" t="s">
        <v>46</v>
      </c>
      <c r="B52" s="72"/>
      <c r="C52" s="72"/>
      <c r="D52" s="72"/>
      <c r="E52" s="72"/>
      <c r="F52" s="7">
        <v>6556</v>
      </c>
      <c r="G52" s="7">
        <v>0.45</v>
      </c>
      <c r="H52" s="7">
        <f t="shared" si="1"/>
        <v>35402.400000000001</v>
      </c>
      <c r="I52" s="7">
        <f t="shared" si="2"/>
        <v>46093.924800000001</v>
      </c>
      <c r="J52" s="7">
        <f t="shared" si="3"/>
        <v>123</v>
      </c>
      <c r="K52" s="7">
        <f t="shared" si="4"/>
        <v>374.74735609756095</v>
      </c>
      <c r="L52" s="34"/>
    </row>
    <row r="53" spans="1:13" ht="15" hidden="1" customHeight="1" x14ac:dyDescent="0.25">
      <c r="A53" s="72" t="s">
        <v>47</v>
      </c>
      <c r="B53" s="72"/>
      <c r="C53" s="72"/>
      <c r="D53" s="72"/>
      <c r="E53" s="72"/>
      <c r="F53" s="7">
        <v>11538</v>
      </c>
      <c r="G53" s="7">
        <v>0.45</v>
      </c>
      <c r="H53" s="7">
        <f t="shared" si="1"/>
        <v>62305.200000000004</v>
      </c>
      <c r="I53" s="7">
        <f t="shared" si="2"/>
        <v>81121.370400000014</v>
      </c>
      <c r="J53" s="7">
        <f t="shared" si="3"/>
        <v>123</v>
      </c>
      <c r="K53" s="7">
        <f t="shared" si="4"/>
        <v>659.523336585366</v>
      </c>
      <c r="L53" s="34"/>
    </row>
    <row r="54" spans="1:13" ht="15" hidden="1" customHeight="1" x14ac:dyDescent="0.25">
      <c r="A54" s="72" t="s">
        <v>83</v>
      </c>
      <c r="B54" s="72"/>
      <c r="C54" s="72"/>
      <c r="D54" s="72"/>
      <c r="E54" s="72"/>
      <c r="F54" s="7">
        <v>8837</v>
      </c>
      <c r="G54" s="7">
        <v>0.45</v>
      </c>
      <c r="H54" s="7">
        <f t="shared" si="1"/>
        <v>47719.8</v>
      </c>
      <c r="I54" s="7">
        <f t="shared" si="2"/>
        <v>62131.179600000003</v>
      </c>
      <c r="J54" s="7">
        <f t="shared" si="3"/>
        <v>123</v>
      </c>
      <c r="K54" s="7">
        <f t="shared" si="4"/>
        <v>505.13154146341464</v>
      </c>
      <c r="L54" s="34"/>
    </row>
    <row r="55" spans="1:13" ht="15" hidden="1" customHeight="1" x14ac:dyDescent="0.25">
      <c r="A55" s="72" t="s">
        <v>84</v>
      </c>
      <c r="B55" s="72"/>
      <c r="C55" s="72"/>
      <c r="D55" s="72"/>
      <c r="E55" s="72"/>
      <c r="F55" s="7">
        <v>3993</v>
      </c>
      <c r="G55" s="7">
        <v>0.45</v>
      </c>
      <c r="H55" s="7">
        <f t="shared" si="1"/>
        <v>21562.2</v>
      </c>
      <c r="I55" s="7">
        <f t="shared" si="2"/>
        <v>28073.984400000001</v>
      </c>
      <c r="J55" s="7">
        <f t="shared" si="3"/>
        <v>123</v>
      </c>
      <c r="K55" s="7">
        <f t="shared" si="4"/>
        <v>228.24377560975611</v>
      </c>
      <c r="L55" s="34"/>
    </row>
    <row r="56" spans="1:13" ht="15" hidden="1" customHeight="1" x14ac:dyDescent="0.25">
      <c r="A56" s="72" t="s">
        <v>85</v>
      </c>
      <c r="B56" s="72"/>
      <c r="C56" s="72"/>
      <c r="D56" s="72"/>
      <c r="E56" s="72"/>
      <c r="F56" s="7">
        <v>4496</v>
      </c>
      <c r="G56" s="7">
        <v>0.45</v>
      </c>
      <c r="H56" s="7">
        <f t="shared" si="1"/>
        <v>24278.400000000001</v>
      </c>
      <c r="I56" s="7">
        <f t="shared" si="2"/>
        <v>31610.476800000004</v>
      </c>
      <c r="J56" s="7">
        <f t="shared" si="3"/>
        <v>123</v>
      </c>
      <c r="K56" s="7">
        <f t="shared" si="4"/>
        <v>256.99574634146347</v>
      </c>
      <c r="L56" s="34"/>
    </row>
    <row r="57" spans="1:13" ht="15" hidden="1" customHeight="1" x14ac:dyDescent="0.25">
      <c r="A57" s="72" t="s">
        <v>86</v>
      </c>
      <c r="B57" s="72"/>
      <c r="C57" s="72"/>
      <c r="D57" s="72"/>
      <c r="E57" s="72"/>
      <c r="F57" s="7">
        <v>8837</v>
      </c>
      <c r="G57" s="7">
        <v>0.45</v>
      </c>
      <c r="H57" s="7">
        <f t="shared" si="1"/>
        <v>47719.8</v>
      </c>
      <c r="I57" s="7">
        <f t="shared" si="2"/>
        <v>62131.179600000003</v>
      </c>
      <c r="J57" s="7">
        <f t="shared" si="3"/>
        <v>123</v>
      </c>
      <c r="K57" s="7">
        <f t="shared" si="4"/>
        <v>505.13154146341464</v>
      </c>
      <c r="L57" s="34"/>
    </row>
    <row r="58" spans="1:13" ht="15.75" hidden="1" customHeight="1" x14ac:dyDescent="0.25">
      <c r="A58" s="72" t="s">
        <v>87</v>
      </c>
      <c r="B58" s="72"/>
      <c r="C58" s="72"/>
      <c r="D58" s="72"/>
      <c r="E58" s="72"/>
      <c r="F58" s="7">
        <v>13255.5</v>
      </c>
      <c r="G58" s="7">
        <v>0.45</v>
      </c>
      <c r="H58" s="7">
        <f t="shared" si="1"/>
        <v>71579.700000000012</v>
      </c>
      <c r="I58" s="7">
        <f t="shared" si="2"/>
        <v>93196.769400000019</v>
      </c>
      <c r="J58" s="7">
        <f>J56</f>
        <v>123</v>
      </c>
      <c r="K58" s="7">
        <f t="shared" si="4"/>
        <v>757.69731219512209</v>
      </c>
      <c r="L58" s="34"/>
    </row>
    <row r="59" spans="1:13" ht="15" hidden="1" customHeight="1" x14ac:dyDescent="0.25">
      <c r="A59" s="72" t="s">
        <v>89</v>
      </c>
      <c r="B59" s="72"/>
      <c r="C59" s="72"/>
      <c r="D59" s="72"/>
      <c r="E59" s="72"/>
      <c r="F59" s="7">
        <v>11538</v>
      </c>
      <c r="G59" s="7">
        <v>0.45</v>
      </c>
      <c r="H59" s="7">
        <f t="shared" si="1"/>
        <v>62305.200000000004</v>
      </c>
      <c r="I59" s="7">
        <f t="shared" si="2"/>
        <v>81121.370400000014</v>
      </c>
      <c r="J59" s="7">
        <f>J57</f>
        <v>123</v>
      </c>
      <c r="K59" s="7">
        <f t="shared" si="4"/>
        <v>659.523336585366</v>
      </c>
      <c r="L59" s="34"/>
    </row>
    <row r="60" spans="1:13" ht="15" hidden="1" customHeight="1" x14ac:dyDescent="0.25">
      <c r="A60" s="72" t="s">
        <v>51</v>
      </c>
      <c r="B60" s="72"/>
      <c r="C60" s="72"/>
      <c r="D60" s="72"/>
      <c r="E60" s="72"/>
      <c r="F60" s="7">
        <v>11538</v>
      </c>
      <c r="G60" s="7">
        <v>0.45</v>
      </c>
      <c r="H60" s="7">
        <f t="shared" si="1"/>
        <v>62305.200000000004</v>
      </c>
      <c r="I60" s="7">
        <f t="shared" si="2"/>
        <v>81121.370400000014</v>
      </c>
      <c r="J60" s="7">
        <f>J58</f>
        <v>123</v>
      </c>
      <c r="K60" s="7">
        <f t="shared" si="4"/>
        <v>659.523336585366</v>
      </c>
      <c r="L60" s="34"/>
    </row>
    <row r="61" spans="1:13" ht="17.25" hidden="1" customHeight="1" x14ac:dyDescent="0.25">
      <c r="A61" s="72" t="s">
        <v>49</v>
      </c>
      <c r="B61" s="72"/>
      <c r="C61" s="72"/>
      <c r="D61" s="72"/>
      <c r="E61" s="72"/>
      <c r="F61" s="7">
        <v>8837</v>
      </c>
      <c r="G61" s="7">
        <v>0.45</v>
      </c>
      <c r="H61" s="7">
        <f t="shared" si="1"/>
        <v>47719.8</v>
      </c>
      <c r="I61" s="7">
        <f t="shared" si="2"/>
        <v>62131.179600000003</v>
      </c>
      <c r="J61" s="7">
        <f>J59</f>
        <v>123</v>
      </c>
      <c r="K61" s="7">
        <f t="shared" si="4"/>
        <v>505.13154146341464</v>
      </c>
      <c r="L61" s="34"/>
    </row>
    <row r="62" spans="1:13" s="9" customFormat="1" ht="15.75" customHeight="1" x14ac:dyDescent="0.25">
      <c r="A62" s="75" t="s">
        <v>71</v>
      </c>
      <c r="B62" s="76"/>
      <c r="C62" s="76"/>
      <c r="D62" s="76"/>
      <c r="E62" s="76"/>
      <c r="F62" s="26">
        <v>22486.400000000001</v>
      </c>
      <c r="G62" s="26">
        <f>F45</f>
        <v>1.4605500000000005</v>
      </c>
      <c r="H62" s="26">
        <v>393961.73</v>
      </c>
      <c r="I62" s="2">
        <f>(H62*1.302)+0.05</f>
        <v>512938.22245999996</v>
      </c>
      <c r="J62" s="2">
        <f>F47</f>
        <v>123</v>
      </c>
      <c r="K62" s="2">
        <f>I62/F47</f>
        <v>4170.2294508943087</v>
      </c>
      <c r="L62" s="34"/>
      <c r="M62" s="8">
        <f>I62+I116+'Услуга №2'!I62+'Услуга №2'!I116+'Услуга №3'!I62+'Услуга №3'!I116+'Услуга №4'!I62+'Услуга №4'!I116</f>
        <v>19491422.678380001</v>
      </c>
    </row>
    <row r="63" spans="1:13" ht="13.5" customHeight="1" x14ac:dyDescent="0.25"/>
    <row r="64" spans="1:13" ht="14.25" customHeight="1" x14ac:dyDescent="0.25">
      <c r="A64" s="73" t="s">
        <v>8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  <c r="M64" s="8">
        <f>M62-19491422.69</f>
        <v>-1.1620000004768372E-2</v>
      </c>
    </row>
    <row r="65" spans="1:13" ht="45" x14ac:dyDescent="0.25">
      <c r="A65" s="79" t="s">
        <v>9</v>
      </c>
      <c r="B65" s="79"/>
      <c r="C65" s="79"/>
      <c r="D65" s="79"/>
      <c r="E65" s="79"/>
      <c r="F65" s="23" t="s">
        <v>7</v>
      </c>
      <c r="G65" s="23" t="s">
        <v>65</v>
      </c>
      <c r="H65" s="23" t="s">
        <v>64</v>
      </c>
      <c r="I65" s="23" t="s">
        <v>72</v>
      </c>
      <c r="J65" s="23" t="s">
        <v>68</v>
      </c>
      <c r="K65" s="27" t="s">
        <v>69</v>
      </c>
      <c r="L65" s="28"/>
    </row>
    <row r="66" spans="1:13" x14ac:dyDescent="0.25">
      <c r="A66" s="66" t="s">
        <v>39</v>
      </c>
      <c r="B66" s="67"/>
      <c r="C66" s="67"/>
      <c r="D66" s="67"/>
      <c r="E66" s="68"/>
      <c r="F66" s="25" t="s">
        <v>40</v>
      </c>
      <c r="G66" s="25">
        <v>65000</v>
      </c>
      <c r="H66" s="25">
        <v>5.3</v>
      </c>
      <c r="I66" s="25">
        <f>344500*2.73%</f>
        <v>9404.85</v>
      </c>
      <c r="J66" s="7">
        <f>J61</f>
        <v>123</v>
      </c>
      <c r="K66" s="29">
        <f>I66/J66</f>
        <v>76.462195121951225</v>
      </c>
      <c r="L66" s="28"/>
    </row>
    <row r="67" spans="1:13" x14ac:dyDescent="0.25">
      <c r="A67" s="74" t="s">
        <v>10</v>
      </c>
      <c r="B67" s="74"/>
      <c r="C67" s="74"/>
      <c r="D67" s="74"/>
      <c r="E67" s="74"/>
      <c r="F67" s="7" t="s">
        <v>13</v>
      </c>
      <c r="G67" s="7">
        <v>450</v>
      </c>
      <c r="H67" s="7">
        <v>1744.64</v>
      </c>
      <c r="I67" s="25">
        <f>829162.21*2.73%</f>
        <v>22636.128333000001</v>
      </c>
      <c r="J67" s="7">
        <f>J66</f>
        <v>123</v>
      </c>
      <c r="K67" s="29">
        <f t="shared" ref="K67:K70" si="5">I67/J67</f>
        <v>184.03356368292683</v>
      </c>
      <c r="L67" s="30"/>
    </row>
    <row r="68" spans="1:13" x14ac:dyDescent="0.25">
      <c r="A68" s="74" t="s">
        <v>11</v>
      </c>
      <c r="B68" s="74"/>
      <c r="C68" s="74"/>
      <c r="D68" s="74"/>
      <c r="E68" s="74"/>
      <c r="F68" s="7" t="s">
        <v>14</v>
      </c>
      <c r="G68" s="7">
        <v>450</v>
      </c>
      <c r="H68" s="7">
        <v>42.84</v>
      </c>
      <c r="I68" s="25">
        <f>19278*2.73%</f>
        <v>526.2894</v>
      </c>
      <c r="J68" s="7">
        <f>J67</f>
        <v>123</v>
      </c>
      <c r="K68" s="29">
        <f t="shared" si="5"/>
        <v>4.2787756097560976</v>
      </c>
      <c r="L68" s="30"/>
    </row>
    <row r="69" spans="1:13" x14ac:dyDescent="0.25">
      <c r="A69" s="74" t="s">
        <v>12</v>
      </c>
      <c r="B69" s="74"/>
      <c r="C69" s="74"/>
      <c r="D69" s="74"/>
      <c r="E69" s="74"/>
      <c r="F69" s="7" t="s">
        <v>14</v>
      </c>
      <c r="G69" s="7">
        <v>450</v>
      </c>
      <c r="H69" s="7">
        <v>62.4</v>
      </c>
      <c r="I69" s="25">
        <f>28075.5*2.73%</f>
        <v>766.46115000000009</v>
      </c>
      <c r="J69" s="7">
        <f>J67</f>
        <v>123</v>
      </c>
      <c r="K69" s="29">
        <f t="shared" si="5"/>
        <v>6.231391463414635</v>
      </c>
      <c r="L69" s="30"/>
    </row>
    <row r="70" spans="1:13" x14ac:dyDescent="0.25">
      <c r="A70" s="66" t="s">
        <v>16</v>
      </c>
      <c r="B70" s="76"/>
      <c r="C70" s="76"/>
      <c r="D70" s="76"/>
      <c r="E70" s="76"/>
      <c r="F70" s="7" t="s">
        <v>14</v>
      </c>
      <c r="G70" s="7">
        <v>12</v>
      </c>
      <c r="H70" s="31">
        <v>4312.28</v>
      </c>
      <c r="I70" s="25">
        <f>51747.36*2.73%</f>
        <v>1412.7029280000002</v>
      </c>
      <c r="J70" s="7">
        <f>J69</f>
        <v>123</v>
      </c>
      <c r="K70" s="29">
        <f t="shared" si="5"/>
        <v>11.485389658536587</v>
      </c>
      <c r="L70" s="30"/>
    </row>
    <row r="71" spans="1:13" x14ac:dyDescent="0.25">
      <c r="A71" s="75" t="s">
        <v>53</v>
      </c>
      <c r="B71" s="80"/>
      <c r="C71" s="80"/>
      <c r="D71" s="80"/>
      <c r="E71" s="80"/>
      <c r="F71" s="80"/>
      <c r="G71" s="80"/>
      <c r="H71" s="80"/>
      <c r="I71" s="2">
        <f>SUM(I66:I70)</f>
        <v>34746.431811000002</v>
      </c>
      <c r="J71" s="46">
        <f>J70</f>
        <v>123</v>
      </c>
      <c r="K71" s="2">
        <f>I71/J71</f>
        <v>282.49131553658538</v>
      </c>
      <c r="L71" s="30"/>
      <c r="M71" s="8">
        <f>I71+'Услуга №2'!I71+'Услуга №3'!I71+'Услуга №4'!I71</f>
        <v>1272763.0699999998</v>
      </c>
    </row>
    <row r="72" spans="1:13" ht="12" customHeight="1" x14ac:dyDescent="0.25"/>
    <row r="73" spans="1:13" x14ac:dyDescent="0.25">
      <c r="A73" s="73" t="s">
        <v>15</v>
      </c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</row>
    <row r="74" spans="1:13" ht="45" x14ac:dyDescent="0.25">
      <c r="A74" s="69" t="s">
        <v>19</v>
      </c>
      <c r="B74" s="70"/>
      <c r="C74" s="70"/>
      <c r="D74" s="70"/>
      <c r="E74" s="71"/>
      <c r="F74" s="23" t="s">
        <v>7</v>
      </c>
      <c r="G74" s="23" t="s">
        <v>65</v>
      </c>
      <c r="H74" s="23" t="s">
        <v>64</v>
      </c>
      <c r="I74" s="23" t="s">
        <v>72</v>
      </c>
      <c r="J74" s="23" t="s">
        <v>68</v>
      </c>
      <c r="K74" s="27" t="s">
        <v>69</v>
      </c>
      <c r="L74" s="28"/>
    </row>
    <row r="75" spans="1:13" x14ac:dyDescent="0.25">
      <c r="A75" s="74" t="s">
        <v>56</v>
      </c>
      <c r="B75" s="74"/>
      <c r="C75" s="74"/>
      <c r="D75" s="74"/>
      <c r="E75" s="74"/>
      <c r="F75" s="7" t="s">
        <v>17</v>
      </c>
      <c r="G75" s="7">
        <v>6200</v>
      </c>
      <c r="H75" s="7"/>
      <c r="I75" s="7">
        <f>74400*2.73%</f>
        <v>2031.1200000000001</v>
      </c>
      <c r="J75" s="7">
        <f>J71</f>
        <v>123</v>
      </c>
      <c r="K75" s="32">
        <f t="shared" ref="K75:K79" si="6">I75/J75</f>
        <v>16.513170731707319</v>
      </c>
      <c r="L75" s="30"/>
    </row>
    <row r="76" spans="1:13" ht="15" customHeight="1" x14ac:dyDescent="0.25">
      <c r="A76" s="72" t="s">
        <v>55</v>
      </c>
      <c r="B76" s="72"/>
      <c r="C76" s="72"/>
      <c r="D76" s="72"/>
      <c r="E76" s="72"/>
      <c r="F76" s="7" t="s">
        <v>17</v>
      </c>
      <c r="G76" s="7">
        <v>773.4</v>
      </c>
      <c r="H76" s="7"/>
      <c r="I76" s="7">
        <f>9280.8*2.73%</f>
        <v>253.36583999999999</v>
      </c>
      <c r="J76" s="7">
        <f>J75</f>
        <v>123</v>
      </c>
      <c r="K76" s="32">
        <f t="shared" si="6"/>
        <v>2.0598848780487806</v>
      </c>
      <c r="L76" s="30"/>
    </row>
    <row r="77" spans="1:13" ht="16.5" customHeight="1" x14ac:dyDescent="0.25">
      <c r="A77" s="74" t="s">
        <v>98</v>
      </c>
      <c r="B77" s="74"/>
      <c r="C77" s="74"/>
      <c r="D77" s="74"/>
      <c r="E77" s="74"/>
      <c r="F77" s="7" t="s">
        <v>17</v>
      </c>
      <c r="G77" s="7">
        <v>2000</v>
      </c>
      <c r="H77" s="7"/>
      <c r="I77" s="7">
        <f>24000*2.73%</f>
        <v>655.20000000000005</v>
      </c>
      <c r="J77" s="7">
        <f>J76</f>
        <v>123</v>
      </c>
      <c r="K77" s="32">
        <f t="shared" si="6"/>
        <v>5.3268292682926832</v>
      </c>
      <c r="L77" s="30"/>
    </row>
    <row r="78" spans="1:13" ht="16.5" customHeight="1" x14ac:dyDescent="0.25">
      <c r="A78" s="72" t="s">
        <v>94</v>
      </c>
      <c r="B78" s="72"/>
      <c r="C78" s="72"/>
      <c r="D78" s="72"/>
      <c r="E78" s="72"/>
      <c r="F78" s="7" t="s">
        <v>17</v>
      </c>
      <c r="G78" s="7">
        <v>2100</v>
      </c>
      <c r="H78" s="7"/>
      <c r="I78" s="7">
        <f>25200*2.73%</f>
        <v>687.96</v>
      </c>
      <c r="J78" s="7">
        <f>J76</f>
        <v>123</v>
      </c>
      <c r="K78" s="32">
        <f t="shared" si="6"/>
        <v>5.5931707317073176</v>
      </c>
      <c r="L78" s="30"/>
    </row>
    <row r="79" spans="1:13" ht="15" hidden="1" customHeight="1" x14ac:dyDescent="0.25">
      <c r="A79" s="72" t="s">
        <v>99</v>
      </c>
      <c r="B79" s="72"/>
      <c r="C79" s="72"/>
      <c r="D79" s="72"/>
      <c r="E79" s="72"/>
      <c r="F79" s="7" t="s">
        <v>17</v>
      </c>
      <c r="G79" s="7"/>
      <c r="H79" s="7"/>
      <c r="I79" s="7">
        <v>0</v>
      </c>
      <c r="J79" s="7">
        <f>J76</f>
        <v>123</v>
      </c>
      <c r="K79" s="32">
        <f t="shared" si="6"/>
        <v>0</v>
      </c>
      <c r="L79" s="30"/>
    </row>
    <row r="80" spans="1:13" s="9" customFormat="1" ht="18.75" customHeight="1" x14ac:dyDescent="0.25">
      <c r="A80" s="75" t="s">
        <v>18</v>
      </c>
      <c r="B80" s="80"/>
      <c r="C80" s="80"/>
      <c r="D80" s="80"/>
      <c r="E80" s="80"/>
      <c r="F80" s="80"/>
      <c r="G80" s="80"/>
      <c r="H80" s="91"/>
      <c r="I80" s="2">
        <f>SUM(I75:I79)</f>
        <v>3627.6458400000001</v>
      </c>
      <c r="J80" s="46">
        <f>J77</f>
        <v>123</v>
      </c>
      <c r="K80" s="4">
        <f>I80/J80</f>
        <v>29.493055609756098</v>
      </c>
      <c r="L80" s="30"/>
      <c r="M80" s="8">
        <f>I80+'Услуга №2'!I80+'Услуга №3'!I80+'Услуга №4'!I80</f>
        <v>132880.79999999999</v>
      </c>
    </row>
    <row r="81" spans="1:13" ht="12.75" customHeight="1" x14ac:dyDescent="0.25"/>
    <row r="82" spans="1:13" x14ac:dyDescent="0.25">
      <c r="A82" s="73" t="s">
        <v>73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</row>
    <row r="83" spans="1:13" ht="60" customHeight="1" x14ac:dyDescent="0.25">
      <c r="A83" s="69" t="s">
        <v>19</v>
      </c>
      <c r="B83" s="70"/>
      <c r="C83" s="70"/>
      <c r="D83" s="70"/>
      <c r="E83" s="71"/>
      <c r="F83" s="23" t="s">
        <v>7</v>
      </c>
      <c r="G83" s="23" t="s">
        <v>65</v>
      </c>
      <c r="H83" s="23" t="s">
        <v>64</v>
      </c>
      <c r="I83" s="23" t="s">
        <v>72</v>
      </c>
      <c r="J83" s="23" t="s">
        <v>68</v>
      </c>
      <c r="K83" s="24" t="s">
        <v>69</v>
      </c>
      <c r="L83" s="33"/>
    </row>
    <row r="84" spans="1:13" ht="34.5" customHeight="1" x14ac:dyDescent="0.25">
      <c r="A84" s="81" t="s">
        <v>100</v>
      </c>
      <c r="B84" s="82"/>
      <c r="C84" s="82"/>
      <c r="D84" s="82"/>
      <c r="E84" s="83"/>
      <c r="F84" s="7" t="s">
        <v>17</v>
      </c>
      <c r="G84" s="7">
        <v>11</v>
      </c>
      <c r="H84" s="7">
        <v>4116.8999999999996</v>
      </c>
      <c r="I84" s="7">
        <f>45285.9*2.73%</f>
        <v>1236.3050700000001</v>
      </c>
      <c r="J84" s="7">
        <f>J79</f>
        <v>123</v>
      </c>
      <c r="K84" s="7">
        <f t="shared" ref="K84:K85" si="7">I84/J84</f>
        <v>10.051260731707318</v>
      </c>
      <c r="L84" s="34"/>
    </row>
    <row r="85" spans="1:13" ht="18.75" customHeight="1" x14ac:dyDescent="0.25">
      <c r="A85" s="66" t="s">
        <v>101</v>
      </c>
      <c r="B85" s="76"/>
      <c r="C85" s="76"/>
      <c r="D85" s="76"/>
      <c r="E85" s="90"/>
      <c r="F85" s="7" t="s">
        <v>17</v>
      </c>
      <c r="G85" s="7"/>
      <c r="H85" s="7"/>
      <c r="I85" s="7">
        <f>15000*2.73%</f>
        <v>409.5</v>
      </c>
      <c r="J85" s="7">
        <f>J84</f>
        <v>123</v>
      </c>
      <c r="K85" s="7">
        <f t="shared" si="7"/>
        <v>3.3292682926829267</v>
      </c>
      <c r="L85" s="34"/>
    </row>
    <row r="86" spans="1:13" ht="18.75" customHeight="1" x14ac:dyDescent="0.25">
      <c r="A86" s="66" t="s">
        <v>102</v>
      </c>
      <c r="B86" s="67"/>
      <c r="C86" s="67"/>
      <c r="D86" s="67"/>
      <c r="E86" s="68"/>
      <c r="F86" s="7" t="s">
        <v>17</v>
      </c>
      <c r="G86" s="7"/>
      <c r="H86" s="7"/>
      <c r="I86" s="7">
        <f>10000*2.73%</f>
        <v>273</v>
      </c>
      <c r="J86" s="7">
        <f>J78</f>
        <v>123</v>
      </c>
      <c r="K86" s="7">
        <f>I86/J86</f>
        <v>2.2195121951219514</v>
      </c>
      <c r="L86" s="34"/>
    </row>
    <row r="87" spans="1:13" ht="18.75" customHeight="1" x14ac:dyDescent="0.25">
      <c r="A87" s="66" t="s">
        <v>115</v>
      </c>
      <c r="B87" s="67"/>
      <c r="C87" s="67"/>
      <c r="D87" s="67"/>
      <c r="E87" s="68"/>
      <c r="F87" s="7" t="s">
        <v>17</v>
      </c>
      <c r="G87" s="7">
        <v>12</v>
      </c>
      <c r="H87" s="7"/>
      <c r="I87" s="7">
        <f>8280*2.73%</f>
        <v>226.04400000000001</v>
      </c>
      <c r="J87" s="7">
        <f>J79</f>
        <v>123</v>
      </c>
      <c r="K87" s="7">
        <f>I87/J87</f>
        <v>1.8377560975609757</v>
      </c>
      <c r="L87" s="34"/>
    </row>
    <row r="88" spans="1:13" ht="14.25" customHeight="1" x14ac:dyDescent="0.25">
      <c r="A88" s="75" t="s">
        <v>74</v>
      </c>
      <c r="B88" s="80"/>
      <c r="C88" s="80"/>
      <c r="D88" s="80"/>
      <c r="E88" s="80"/>
      <c r="F88" s="80"/>
      <c r="G88" s="80"/>
      <c r="H88" s="80"/>
      <c r="I88" s="5">
        <f>SUM(I84:I87)</f>
        <v>2144.8490700000002</v>
      </c>
      <c r="J88" s="46">
        <f>J79</f>
        <v>123</v>
      </c>
      <c r="K88" s="5">
        <f>I88/J88</f>
        <v>17.437797317073173</v>
      </c>
      <c r="L88" s="34"/>
      <c r="M88" s="8">
        <f>I88+'Услуга №2'!I88+'Услуга №3'!I88+'Услуга №4'!I88</f>
        <v>78569.099999999991</v>
      </c>
    </row>
    <row r="89" spans="1:13" x14ac:dyDescent="0.25">
      <c r="A89" s="35"/>
      <c r="B89" s="35"/>
      <c r="C89" s="35"/>
      <c r="D89" s="35"/>
      <c r="E89" s="35"/>
      <c r="F89" s="35"/>
      <c r="G89" s="35"/>
      <c r="H89" s="35"/>
      <c r="I89" s="6"/>
      <c r="J89" s="6"/>
      <c r="K89" s="6"/>
      <c r="L89" s="34"/>
    </row>
    <row r="90" spans="1:13" x14ac:dyDescent="0.25">
      <c r="A90" s="73" t="s">
        <v>75</v>
      </c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</row>
    <row r="91" spans="1:13" ht="45.75" customHeight="1" x14ac:dyDescent="0.25">
      <c r="A91" s="69" t="s">
        <v>20</v>
      </c>
      <c r="B91" s="70"/>
      <c r="C91" s="70"/>
      <c r="D91" s="70"/>
      <c r="E91" s="71"/>
      <c r="F91" s="23" t="s">
        <v>7</v>
      </c>
      <c r="G91" s="23" t="s">
        <v>65</v>
      </c>
      <c r="H91" s="23" t="s">
        <v>64</v>
      </c>
      <c r="I91" s="23" t="s">
        <v>72</v>
      </c>
      <c r="J91" s="36" t="s">
        <v>68</v>
      </c>
      <c r="K91" s="24" t="s">
        <v>69</v>
      </c>
      <c r="L91" s="33"/>
      <c r="M91" s="33"/>
    </row>
    <row r="92" spans="1:13" ht="23.25" customHeight="1" x14ac:dyDescent="0.25">
      <c r="A92" s="66" t="s">
        <v>103</v>
      </c>
      <c r="B92" s="67"/>
      <c r="C92" s="67"/>
      <c r="D92" s="67"/>
      <c r="E92" s="68"/>
      <c r="F92" s="37" t="s">
        <v>106</v>
      </c>
      <c r="G92" s="7">
        <v>4</v>
      </c>
      <c r="H92" s="7">
        <v>563.75</v>
      </c>
      <c r="I92" s="7">
        <f>27059.76*2.73%</f>
        <v>738.731448</v>
      </c>
      <c r="J92" s="32">
        <f>J86</f>
        <v>123</v>
      </c>
      <c r="K92" s="7">
        <f>I92/J92</f>
        <v>6.0059467317073167</v>
      </c>
      <c r="L92" s="34"/>
      <c r="M92" s="34"/>
    </row>
    <row r="93" spans="1:13" ht="26.25" customHeight="1" x14ac:dyDescent="0.25">
      <c r="A93" s="66" t="s">
        <v>104</v>
      </c>
      <c r="B93" s="76"/>
      <c r="C93" s="76"/>
      <c r="D93" s="76"/>
      <c r="E93" s="90"/>
      <c r="F93" s="37" t="s">
        <v>106</v>
      </c>
      <c r="G93" s="7">
        <v>1</v>
      </c>
      <c r="H93" s="7">
        <v>80.540000000000006</v>
      </c>
      <c r="I93" s="7">
        <f>966.42*2.73%</f>
        <v>26.383265999999999</v>
      </c>
      <c r="J93" s="32">
        <f>J92</f>
        <v>123</v>
      </c>
      <c r="K93" s="7">
        <f t="shared" ref="K93:K94" si="8">I93/J93</f>
        <v>0.2144980975609756</v>
      </c>
      <c r="L93" s="34"/>
      <c r="M93" s="34"/>
    </row>
    <row r="94" spans="1:13" ht="28.5" customHeight="1" x14ac:dyDescent="0.25">
      <c r="A94" s="66" t="s">
        <v>105</v>
      </c>
      <c r="B94" s="76"/>
      <c r="C94" s="76"/>
      <c r="D94" s="76"/>
      <c r="E94" s="90"/>
      <c r="F94" s="37" t="s">
        <v>106</v>
      </c>
      <c r="G94" s="7">
        <v>1</v>
      </c>
      <c r="H94" s="7"/>
      <c r="I94" s="7">
        <f>6481.44*2.73%</f>
        <v>176.94331199999999</v>
      </c>
      <c r="J94" s="32">
        <f>J93</f>
        <v>123</v>
      </c>
      <c r="K94" s="7">
        <f t="shared" si="8"/>
        <v>1.4385635121951219</v>
      </c>
      <c r="L94" s="34"/>
      <c r="M94" s="34"/>
    </row>
    <row r="95" spans="1:13" ht="37.5" customHeight="1" x14ac:dyDescent="0.25">
      <c r="A95" s="66" t="s">
        <v>76</v>
      </c>
      <c r="B95" s="67"/>
      <c r="C95" s="67"/>
      <c r="D95" s="67"/>
      <c r="E95" s="68"/>
      <c r="F95" s="37" t="s">
        <v>106</v>
      </c>
      <c r="G95" s="7">
        <v>1</v>
      </c>
      <c r="H95" s="7">
        <v>1901.87</v>
      </c>
      <c r="I95" s="7">
        <f>22822.38*2.73%</f>
        <v>623.05097400000011</v>
      </c>
      <c r="J95" s="32">
        <f>J92</f>
        <v>123</v>
      </c>
      <c r="K95" s="7">
        <f>I95/J95</f>
        <v>5.0654550731707326</v>
      </c>
      <c r="L95" s="34"/>
      <c r="M95" s="34"/>
    </row>
    <row r="96" spans="1:13" x14ac:dyDescent="0.25">
      <c r="A96" s="75" t="s">
        <v>21</v>
      </c>
      <c r="B96" s="80"/>
      <c r="C96" s="80"/>
      <c r="D96" s="80"/>
      <c r="E96" s="80"/>
      <c r="F96" s="80"/>
      <c r="G96" s="80"/>
      <c r="H96" s="91"/>
      <c r="I96" s="5">
        <f t="shared" ref="I96" si="9">SUM(I92:I95)</f>
        <v>1565.1090000000002</v>
      </c>
      <c r="J96" s="5">
        <f>J95</f>
        <v>123</v>
      </c>
      <c r="K96" s="5">
        <f>I96/J96</f>
        <v>12.724463414634148</v>
      </c>
      <c r="L96" s="6"/>
      <c r="M96" s="34">
        <f>I96+'Услуга №2'!I96+'Услуга №3'!I96+'Услуга №4'!I96</f>
        <v>57330</v>
      </c>
    </row>
    <row r="97" spans="1:13" x14ac:dyDescent="0.25">
      <c r="A97" s="35"/>
      <c r="B97" s="35"/>
      <c r="C97" s="35"/>
      <c r="D97" s="35"/>
      <c r="E97" s="35"/>
      <c r="F97" s="35"/>
      <c r="G97" s="35"/>
      <c r="H97" s="35"/>
      <c r="I97" s="6"/>
      <c r="J97" s="6"/>
      <c r="K97" s="6"/>
      <c r="L97" s="6"/>
      <c r="M97" s="34"/>
    </row>
    <row r="98" spans="1:13" x14ac:dyDescent="0.25">
      <c r="A98" s="73" t="s">
        <v>37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</row>
    <row r="99" spans="1:13" ht="60.75" customHeight="1" x14ac:dyDescent="0.25">
      <c r="A99" s="69" t="s">
        <v>5</v>
      </c>
      <c r="B99" s="70"/>
      <c r="C99" s="70"/>
      <c r="D99" s="70"/>
      <c r="E99" s="71"/>
      <c r="F99" s="23" t="s">
        <v>6</v>
      </c>
      <c r="G99" s="23" t="s">
        <v>1</v>
      </c>
      <c r="H99" s="23" t="s">
        <v>66</v>
      </c>
      <c r="I99" s="23" t="s">
        <v>67</v>
      </c>
      <c r="J99" s="23" t="s">
        <v>68</v>
      </c>
      <c r="K99" s="24" t="s">
        <v>69</v>
      </c>
      <c r="L99" s="33"/>
    </row>
    <row r="100" spans="1:13" ht="15" hidden="1" customHeight="1" x14ac:dyDescent="0.25">
      <c r="A100" s="72" t="s">
        <v>3</v>
      </c>
      <c r="B100" s="72"/>
      <c r="C100" s="72"/>
      <c r="D100" s="72"/>
      <c r="E100" s="72"/>
      <c r="F100" s="38">
        <v>16626</v>
      </c>
      <c r="G100" s="7">
        <v>0.45</v>
      </c>
      <c r="H100" s="3">
        <f>F100*12*G100</f>
        <v>89780.400000000009</v>
      </c>
      <c r="I100" s="7">
        <f>H100*1.302</f>
        <v>116894.08080000001</v>
      </c>
      <c r="J100" s="7">
        <f>J95</f>
        <v>123</v>
      </c>
      <c r="K100" s="7">
        <f>I100/J100</f>
        <v>950.35838048780499</v>
      </c>
      <c r="L100" s="34"/>
    </row>
    <row r="101" spans="1:13" ht="15" hidden="1" customHeight="1" x14ac:dyDescent="0.25">
      <c r="A101" s="72" t="s">
        <v>80</v>
      </c>
      <c r="B101" s="72"/>
      <c r="C101" s="72"/>
      <c r="D101" s="72"/>
      <c r="E101" s="72"/>
      <c r="F101" s="7">
        <v>11538</v>
      </c>
      <c r="G101" s="7">
        <v>0.45</v>
      </c>
      <c r="H101" s="3">
        <f t="shared" ref="H101:H115" si="10">F101*12*G101</f>
        <v>62305.200000000004</v>
      </c>
      <c r="I101" s="7">
        <f t="shared" ref="I101:I115" si="11">H101*1.302</f>
        <v>81121.370400000014</v>
      </c>
      <c r="J101" s="7">
        <f>J100</f>
        <v>123</v>
      </c>
      <c r="K101" s="7">
        <f>I101/J101</f>
        <v>659.523336585366</v>
      </c>
      <c r="L101" s="34"/>
    </row>
    <row r="102" spans="1:13" ht="15" hidden="1" customHeight="1" x14ac:dyDescent="0.25">
      <c r="A102" s="72" t="s">
        <v>42</v>
      </c>
      <c r="B102" s="72"/>
      <c r="C102" s="72"/>
      <c r="D102" s="72"/>
      <c r="E102" s="72"/>
      <c r="F102" s="7">
        <v>11538</v>
      </c>
      <c r="G102" s="7">
        <v>0.45</v>
      </c>
      <c r="H102" s="3">
        <f t="shared" si="10"/>
        <v>62305.200000000004</v>
      </c>
      <c r="I102" s="7">
        <f t="shared" si="11"/>
        <v>81121.370400000014</v>
      </c>
      <c r="J102" s="7">
        <f>J101</f>
        <v>123</v>
      </c>
      <c r="K102" s="7">
        <f>I102/J102</f>
        <v>659.523336585366</v>
      </c>
      <c r="L102" s="34"/>
    </row>
    <row r="103" spans="1:13" ht="15" hidden="1" customHeight="1" x14ac:dyDescent="0.25">
      <c r="A103" s="72" t="s">
        <v>44</v>
      </c>
      <c r="B103" s="72"/>
      <c r="C103" s="72"/>
      <c r="D103" s="72"/>
      <c r="E103" s="72"/>
      <c r="F103" s="7">
        <v>11538</v>
      </c>
      <c r="G103" s="7">
        <v>0.45</v>
      </c>
      <c r="H103" s="3">
        <f t="shared" si="10"/>
        <v>62305.200000000004</v>
      </c>
      <c r="I103" s="7">
        <f t="shared" si="11"/>
        <v>81121.370400000014</v>
      </c>
      <c r="J103" s="7">
        <f>J101</f>
        <v>123</v>
      </c>
      <c r="K103" s="7">
        <f t="shared" ref="K103:K115" si="12">I103/J103</f>
        <v>659.523336585366</v>
      </c>
      <c r="L103" s="34"/>
    </row>
    <row r="104" spans="1:13" ht="15.75" hidden="1" customHeight="1" x14ac:dyDescent="0.25">
      <c r="A104" s="72" t="s">
        <v>79</v>
      </c>
      <c r="B104" s="72"/>
      <c r="C104" s="72"/>
      <c r="D104" s="72"/>
      <c r="E104" s="72"/>
      <c r="F104" s="7">
        <v>11538</v>
      </c>
      <c r="G104" s="7">
        <v>0.45</v>
      </c>
      <c r="H104" s="3">
        <f t="shared" si="10"/>
        <v>62305.200000000004</v>
      </c>
      <c r="I104" s="7">
        <f t="shared" si="11"/>
        <v>81121.370400000014</v>
      </c>
      <c r="J104" s="7">
        <f>J102</f>
        <v>123</v>
      </c>
      <c r="K104" s="7">
        <f t="shared" si="12"/>
        <v>659.523336585366</v>
      </c>
      <c r="L104" s="34"/>
    </row>
    <row r="105" spans="1:13" ht="14.25" hidden="1" customHeight="1" x14ac:dyDescent="0.25">
      <c r="A105" s="72" t="s">
        <v>38</v>
      </c>
      <c r="B105" s="72"/>
      <c r="C105" s="72"/>
      <c r="D105" s="72"/>
      <c r="E105" s="72"/>
      <c r="F105" s="38">
        <v>6556</v>
      </c>
      <c r="G105" s="7">
        <v>2.25</v>
      </c>
      <c r="H105" s="3">
        <f t="shared" si="10"/>
        <v>177012</v>
      </c>
      <c r="I105" s="7">
        <f t="shared" si="11"/>
        <v>230469.62400000001</v>
      </c>
      <c r="J105" s="7">
        <f>J103</f>
        <v>123</v>
      </c>
      <c r="K105" s="7">
        <f t="shared" si="12"/>
        <v>1873.7367804878049</v>
      </c>
      <c r="L105" s="34"/>
    </row>
    <row r="106" spans="1:13" ht="15" hidden="1" customHeight="1" x14ac:dyDescent="0.25">
      <c r="A106" s="72" t="s">
        <v>82</v>
      </c>
      <c r="B106" s="72"/>
      <c r="C106" s="72"/>
      <c r="D106" s="72"/>
      <c r="E106" s="72"/>
      <c r="F106" s="38">
        <v>6556</v>
      </c>
      <c r="G106" s="7">
        <v>0.45</v>
      </c>
      <c r="H106" s="3">
        <f t="shared" si="10"/>
        <v>35402.400000000001</v>
      </c>
      <c r="I106" s="7">
        <f t="shared" si="11"/>
        <v>46093.924800000001</v>
      </c>
      <c r="J106" s="7">
        <f t="shared" ref="J106:J115" si="13">J104</f>
        <v>123</v>
      </c>
      <c r="K106" s="7">
        <f t="shared" si="12"/>
        <v>374.74735609756095</v>
      </c>
      <c r="L106" s="34"/>
    </row>
    <row r="107" spans="1:13" ht="15" hidden="1" customHeight="1" x14ac:dyDescent="0.25">
      <c r="A107" s="72" t="s">
        <v>45</v>
      </c>
      <c r="B107" s="72"/>
      <c r="C107" s="72"/>
      <c r="D107" s="72"/>
      <c r="E107" s="72"/>
      <c r="F107" s="38">
        <v>6556</v>
      </c>
      <c r="G107" s="7">
        <v>0.45</v>
      </c>
      <c r="H107" s="3">
        <f t="shared" si="10"/>
        <v>35402.400000000001</v>
      </c>
      <c r="I107" s="7">
        <f t="shared" si="11"/>
        <v>46093.924800000001</v>
      </c>
      <c r="J107" s="7">
        <f t="shared" si="13"/>
        <v>123</v>
      </c>
      <c r="K107" s="7">
        <f t="shared" si="12"/>
        <v>374.74735609756095</v>
      </c>
      <c r="L107" s="34"/>
    </row>
    <row r="108" spans="1:13" ht="15" hidden="1" customHeight="1" x14ac:dyDescent="0.25">
      <c r="A108" s="72" t="s">
        <v>48</v>
      </c>
      <c r="B108" s="72"/>
      <c r="C108" s="72"/>
      <c r="D108" s="72"/>
      <c r="E108" s="72"/>
      <c r="F108" s="38">
        <v>5669</v>
      </c>
      <c r="G108" s="7">
        <v>0.23</v>
      </c>
      <c r="H108" s="3">
        <f t="shared" si="10"/>
        <v>15646.44</v>
      </c>
      <c r="I108" s="7">
        <f t="shared" si="11"/>
        <v>20371.66488</v>
      </c>
      <c r="J108" s="7">
        <f t="shared" si="13"/>
        <v>123</v>
      </c>
      <c r="K108" s="7">
        <f t="shared" si="12"/>
        <v>165.62329170731707</v>
      </c>
      <c r="L108" s="34"/>
    </row>
    <row r="109" spans="1:13" ht="15.75" hidden="1" customHeight="1" x14ac:dyDescent="0.25">
      <c r="A109" s="72" t="s">
        <v>88</v>
      </c>
      <c r="B109" s="72"/>
      <c r="C109" s="72"/>
      <c r="D109" s="72"/>
      <c r="E109" s="72"/>
      <c r="F109" s="38">
        <v>11538</v>
      </c>
      <c r="G109" s="7">
        <v>3.15</v>
      </c>
      <c r="H109" s="3">
        <f t="shared" si="10"/>
        <v>436136.39999999997</v>
      </c>
      <c r="I109" s="7">
        <f t="shared" si="11"/>
        <v>567849.59279999998</v>
      </c>
      <c r="J109" s="7">
        <f t="shared" si="13"/>
        <v>123</v>
      </c>
      <c r="K109" s="7">
        <f t="shared" si="12"/>
        <v>4616.6633560975606</v>
      </c>
      <c r="L109" s="34"/>
    </row>
    <row r="110" spans="1:13" ht="15.75" hidden="1" customHeight="1" x14ac:dyDescent="0.25">
      <c r="A110" s="72" t="s">
        <v>50</v>
      </c>
      <c r="B110" s="72"/>
      <c r="C110" s="72"/>
      <c r="D110" s="72"/>
      <c r="E110" s="72"/>
      <c r="F110" s="38">
        <v>8837</v>
      </c>
      <c r="G110" s="7">
        <v>3.6</v>
      </c>
      <c r="H110" s="3">
        <f t="shared" si="10"/>
        <v>381758.4</v>
      </c>
      <c r="I110" s="7">
        <f t="shared" si="11"/>
        <v>497049.43680000002</v>
      </c>
      <c r="J110" s="7">
        <f t="shared" si="13"/>
        <v>123</v>
      </c>
      <c r="K110" s="7">
        <f t="shared" si="12"/>
        <v>4041.0523317073171</v>
      </c>
      <c r="L110" s="34"/>
    </row>
    <row r="111" spans="1:13" ht="15.75" hidden="1" customHeight="1" x14ac:dyDescent="0.25">
      <c r="A111" s="72" t="s">
        <v>90</v>
      </c>
      <c r="B111" s="72"/>
      <c r="C111" s="72"/>
      <c r="D111" s="72"/>
      <c r="E111" s="72"/>
      <c r="F111" s="38">
        <v>11538</v>
      </c>
      <c r="G111" s="7">
        <v>0.45</v>
      </c>
      <c r="H111" s="3">
        <f t="shared" si="10"/>
        <v>62305.200000000004</v>
      </c>
      <c r="I111" s="7">
        <f t="shared" si="11"/>
        <v>81121.370400000014</v>
      </c>
      <c r="J111" s="7">
        <f t="shared" si="13"/>
        <v>123</v>
      </c>
      <c r="K111" s="7">
        <f t="shared" si="12"/>
        <v>659.523336585366</v>
      </c>
      <c r="L111" s="34"/>
    </row>
    <row r="112" spans="1:13" ht="15.75" hidden="1" customHeight="1" x14ac:dyDescent="0.25">
      <c r="A112" s="72" t="s">
        <v>91</v>
      </c>
      <c r="B112" s="72"/>
      <c r="C112" s="72"/>
      <c r="D112" s="72"/>
      <c r="E112" s="72"/>
      <c r="F112" s="38">
        <v>11538</v>
      </c>
      <c r="G112" s="7">
        <v>0.45</v>
      </c>
      <c r="H112" s="3">
        <f t="shared" si="10"/>
        <v>62305.200000000004</v>
      </c>
      <c r="I112" s="7">
        <f t="shared" si="11"/>
        <v>81121.370400000014</v>
      </c>
      <c r="J112" s="7">
        <f t="shared" si="13"/>
        <v>123</v>
      </c>
      <c r="K112" s="7">
        <f t="shared" si="12"/>
        <v>659.523336585366</v>
      </c>
      <c r="L112" s="34"/>
    </row>
    <row r="113" spans="1:13" ht="13.5" hidden="1" customHeight="1" x14ac:dyDescent="0.25">
      <c r="A113" s="72" t="s">
        <v>92</v>
      </c>
      <c r="B113" s="72"/>
      <c r="C113" s="72"/>
      <c r="D113" s="72"/>
      <c r="E113" s="72"/>
      <c r="F113" s="38">
        <v>11538</v>
      </c>
      <c r="G113" s="7">
        <v>0.45</v>
      </c>
      <c r="H113" s="3">
        <f>F113*12*G113</f>
        <v>62305.200000000004</v>
      </c>
      <c r="I113" s="7">
        <f t="shared" si="11"/>
        <v>81121.370400000014</v>
      </c>
      <c r="J113" s="7">
        <f t="shared" si="13"/>
        <v>123</v>
      </c>
      <c r="K113" s="7">
        <f t="shared" si="12"/>
        <v>659.523336585366</v>
      </c>
      <c r="L113" s="34"/>
    </row>
    <row r="114" spans="1:13" ht="17.25" hidden="1" customHeight="1" x14ac:dyDescent="0.25">
      <c r="A114" s="72" t="s">
        <v>52</v>
      </c>
      <c r="B114" s="72"/>
      <c r="C114" s="72"/>
      <c r="D114" s="72"/>
      <c r="E114" s="72"/>
      <c r="F114" s="38">
        <v>8837</v>
      </c>
      <c r="G114" s="7">
        <v>4.28</v>
      </c>
      <c r="H114" s="3">
        <f t="shared" si="10"/>
        <v>453868.32</v>
      </c>
      <c r="I114" s="7">
        <f t="shared" si="11"/>
        <v>590936.55264000001</v>
      </c>
      <c r="J114" s="7">
        <f t="shared" si="13"/>
        <v>123</v>
      </c>
      <c r="K114" s="7">
        <f t="shared" si="12"/>
        <v>4804.3622165853658</v>
      </c>
      <c r="L114" s="34"/>
    </row>
    <row r="115" spans="1:13" ht="17.25" hidden="1" customHeight="1" x14ac:dyDescent="0.25">
      <c r="A115" s="72" t="s">
        <v>93</v>
      </c>
      <c r="B115" s="72"/>
      <c r="C115" s="72"/>
      <c r="D115" s="72"/>
      <c r="E115" s="72"/>
      <c r="F115" s="38">
        <v>11538</v>
      </c>
      <c r="G115" s="7">
        <v>0.45</v>
      </c>
      <c r="H115" s="3">
        <f t="shared" si="10"/>
        <v>62305.200000000004</v>
      </c>
      <c r="I115" s="7">
        <f t="shared" si="11"/>
        <v>81121.370400000014</v>
      </c>
      <c r="J115" s="7">
        <f t="shared" si="13"/>
        <v>123</v>
      </c>
      <c r="K115" s="7">
        <f t="shared" si="12"/>
        <v>659.523336585366</v>
      </c>
      <c r="L115" s="34"/>
    </row>
    <row r="116" spans="1:13" s="9" customFormat="1" ht="20.25" customHeight="1" x14ac:dyDescent="0.25">
      <c r="A116" s="39" t="s">
        <v>22</v>
      </c>
      <c r="B116" s="40"/>
      <c r="C116" s="40"/>
      <c r="D116" s="40"/>
      <c r="E116" s="40"/>
      <c r="F116" s="2">
        <v>24546.01</v>
      </c>
      <c r="G116" s="2">
        <f>L45</f>
        <v>5.4600000000000003E-2</v>
      </c>
      <c r="H116" s="41">
        <v>14727.61</v>
      </c>
      <c r="I116" s="5">
        <f>(H116*1.302)-0.01</f>
        <v>19175.338220000001</v>
      </c>
      <c r="J116" s="5">
        <f>J96</f>
        <v>123</v>
      </c>
      <c r="K116" s="5">
        <f>I116/J115</f>
        <v>155.897058699187</v>
      </c>
      <c r="L116" s="34"/>
      <c r="M116" s="8"/>
    </row>
    <row r="117" spans="1:13" ht="12" customHeight="1" x14ac:dyDescent="0.25">
      <c r="F117" s="42"/>
      <c r="G117" s="42"/>
      <c r="H117" s="42"/>
      <c r="I117" s="42"/>
      <c r="J117" s="42"/>
      <c r="K117" s="42"/>
      <c r="L117" s="42"/>
    </row>
    <row r="118" spans="1:13" s="9" customFormat="1" x14ac:dyDescent="0.25">
      <c r="A118" s="78" t="s">
        <v>77</v>
      </c>
      <c r="B118" s="78"/>
      <c r="C118" s="78"/>
      <c r="D118" s="78"/>
      <c r="E118" s="78"/>
      <c r="F118" s="78"/>
      <c r="G118" s="78"/>
      <c r="H118" s="78"/>
      <c r="I118" s="78"/>
      <c r="J118" s="78"/>
      <c r="K118" s="78"/>
      <c r="L118" s="84"/>
      <c r="M118" s="8"/>
    </row>
    <row r="119" spans="1:13" s="9" customFormat="1" ht="44.25" customHeight="1" x14ac:dyDescent="0.25">
      <c r="A119" s="79" t="s">
        <v>54</v>
      </c>
      <c r="B119" s="79"/>
      <c r="C119" s="79"/>
      <c r="D119" s="79"/>
      <c r="E119" s="79"/>
      <c r="F119" s="23" t="s">
        <v>7</v>
      </c>
      <c r="G119" s="23" t="s">
        <v>65</v>
      </c>
      <c r="H119" s="23" t="s">
        <v>64</v>
      </c>
      <c r="I119" s="23" t="s">
        <v>72</v>
      </c>
      <c r="J119" s="23" t="s">
        <v>68</v>
      </c>
      <c r="K119" s="27" t="s">
        <v>69</v>
      </c>
      <c r="L119" s="28"/>
      <c r="M119" s="8"/>
    </row>
    <row r="120" spans="1:13" s="9" customFormat="1" ht="23.25" customHeight="1" x14ac:dyDescent="0.25">
      <c r="A120" s="66" t="s">
        <v>107</v>
      </c>
      <c r="B120" s="67"/>
      <c r="C120" s="67"/>
      <c r="D120" s="67"/>
      <c r="E120" s="68"/>
      <c r="F120" s="23"/>
      <c r="G120" s="43"/>
      <c r="H120" s="43"/>
      <c r="I120" s="43">
        <f>68360*2.73%</f>
        <v>1866.2280000000001</v>
      </c>
      <c r="J120" s="43">
        <f>J116</f>
        <v>123</v>
      </c>
      <c r="K120" s="32">
        <f>I120/J120</f>
        <v>15.172585365853658</v>
      </c>
      <c r="L120" s="28"/>
      <c r="M120" s="8"/>
    </row>
    <row r="121" spans="1:13" s="9" customFormat="1" ht="30.75" hidden="1" customHeight="1" x14ac:dyDescent="0.25">
      <c r="A121" s="81" t="s">
        <v>108</v>
      </c>
      <c r="B121" s="82"/>
      <c r="C121" s="82"/>
      <c r="D121" s="82"/>
      <c r="E121" s="83"/>
      <c r="F121" s="23"/>
      <c r="G121" s="43"/>
      <c r="H121" s="43"/>
      <c r="I121" s="43">
        <v>0</v>
      </c>
      <c r="J121" s="43">
        <f>J120</f>
        <v>123</v>
      </c>
      <c r="K121" s="32">
        <f t="shared" ref="K121" si="14">I121/J121</f>
        <v>0</v>
      </c>
      <c r="L121" s="28"/>
      <c r="M121" s="8"/>
    </row>
    <row r="122" spans="1:13" s="9" customFormat="1" x14ac:dyDescent="0.25">
      <c r="A122" s="75" t="s">
        <v>78</v>
      </c>
      <c r="B122" s="80"/>
      <c r="C122" s="80"/>
      <c r="D122" s="80"/>
      <c r="E122" s="80"/>
      <c r="F122" s="80"/>
      <c r="G122" s="80"/>
      <c r="H122" s="80"/>
      <c r="I122" s="5">
        <f>SUM(I120:I121)</f>
        <v>1866.2280000000001</v>
      </c>
      <c r="J122" s="5">
        <f>J121</f>
        <v>123</v>
      </c>
      <c r="K122" s="5">
        <f>I122/J122</f>
        <v>15.172585365853658</v>
      </c>
      <c r="L122" s="30"/>
      <c r="M122" s="8">
        <f>I122+'Услуга №2'!I122+'Услуга №3'!I122+'Услуга №4'!I122</f>
        <v>68360</v>
      </c>
    </row>
    <row r="123" spans="1:13" ht="12" customHeight="1" x14ac:dyDescent="0.25">
      <c r="F123" s="42"/>
      <c r="G123" s="42"/>
      <c r="H123" s="42"/>
      <c r="I123" s="42"/>
      <c r="J123" s="42"/>
      <c r="K123" s="42"/>
      <c r="L123" s="42"/>
    </row>
    <row r="124" spans="1:13" s="9" customFormat="1" x14ac:dyDescent="0.25">
      <c r="A124" s="78" t="s">
        <v>109</v>
      </c>
      <c r="B124" s="78"/>
      <c r="C124" s="78"/>
      <c r="D124" s="78"/>
      <c r="E124" s="78"/>
      <c r="F124" s="78"/>
      <c r="G124" s="78"/>
      <c r="H124" s="78"/>
      <c r="I124" s="78"/>
      <c r="J124" s="78"/>
      <c r="K124" s="78"/>
      <c r="L124" s="84"/>
      <c r="M124" s="8"/>
    </row>
    <row r="125" spans="1:13" s="9" customFormat="1" ht="44.25" customHeight="1" x14ac:dyDescent="0.25">
      <c r="A125" s="79" t="s">
        <v>54</v>
      </c>
      <c r="B125" s="79"/>
      <c r="C125" s="79"/>
      <c r="D125" s="79"/>
      <c r="E125" s="79"/>
      <c r="F125" s="23" t="s">
        <v>7</v>
      </c>
      <c r="G125" s="23" t="s">
        <v>65</v>
      </c>
      <c r="H125" s="23" t="s">
        <v>64</v>
      </c>
      <c r="I125" s="23" t="s">
        <v>72</v>
      </c>
      <c r="J125" s="23" t="s">
        <v>68</v>
      </c>
      <c r="K125" s="27" t="s">
        <v>69</v>
      </c>
      <c r="L125" s="28"/>
      <c r="M125" s="8"/>
    </row>
    <row r="126" spans="1:13" s="9" customFormat="1" ht="23.25" customHeight="1" x14ac:dyDescent="0.25">
      <c r="A126" s="66" t="s">
        <v>110</v>
      </c>
      <c r="B126" s="67"/>
      <c r="C126" s="67"/>
      <c r="D126" s="67"/>
      <c r="E126" s="68"/>
      <c r="F126" s="23"/>
      <c r="G126" s="43"/>
      <c r="H126" s="43"/>
      <c r="I126" s="43">
        <f>108400*2.73%</f>
        <v>2959.32</v>
      </c>
      <c r="J126" s="43">
        <f>J122</f>
        <v>123</v>
      </c>
      <c r="K126" s="32">
        <f>I126/J126</f>
        <v>24.059512195121954</v>
      </c>
      <c r="L126" s="28"/>
      <c r="M126" s="8"/>
    </row>
    <row r="127" spans="1:13" s="9" customFormat="1" x14ac:dyDescent="0.25">
      <c r="A127" s="75" t="s">
        <v>111</v>
      </c>
      <c r="B127" s="80"/>
      <c r="C127" s="80"/>
      <c r="D127" s="80"/>
      <c r="E127" s="80"/>
      <c r="F127" s="80"/>
      <c r="G127" s="80"/>
      <c r="H127" s="80"/>
      <c r="I127" s="5">
        <f>SUM(I126:I126)</f>
        <v>2959.32</v>
      </c>
      <c r="J127" s="5">
        <f>J126</f>
        <v>123</v>
      </c>
      <c r="K127" s="5">
        <f>I127/J127</f>
        <v>24.059512195121954</v>
      </c>
      <c r="L127" s="30"/>
      <c r="M127" s="8">
        <f>I127+'Услуга №2'!I127+'Услуга №3'!I127+'Услуга №4'!I127</f>
        <v>108400</v>
      </c>
    </row>
    <row r="128" spans="1:13" s="9" customFormat="1" x14ac:dyDescent="0.25">
      <c r="A128" s="44"/>
      <c r="B128" s="44"/>
      <c r="C128" s="44"/>
      <c r="D128" s="44"/>
      <c r="E128" s="44"/>
      <c r="F128" s="44"/>
      <c r="G128" s="44"/>
      <c r="H128" s="44"/>
      <c r="I128" s="15"/>
      <c r="J128" s="15"/>
      <c r="K128" s="15"/>
      <c r="L128" s="34"/>
      <c r="M128" s="8"/>
    </row>
    <row r="129" spans="1:12" ht="12.75" customHeight="1" x14ac:dyDescent="0.25">
      <c r="A129" s="78" t="s">
        <v>23</v>
      </c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78"/>
    </row>
    <row r="130" spans="1:12" ht="15" customHeight="1" x14ac:dyDescent="0.25">
      <c r="A130" s="77" t="s">
        <v>24</v>
      </c>
      <c r="B130" s="77"/>
      <c r="C130" s="77"/>
      <c r="D130" s="69" t="s">
        <v>25</v>
      </c>
      <c r="E130" s="70"/>
      <c r="F130" s="70"/>
      <c r="G130" s="70"/>
      <c r="H130" s="70"/>
      <c r="I130" s="70"/>
      <c r="J130" s="71"/>
      <c r="K130" s="77" t="s">
        <v>36</v>
      </c>
      <c r="L130" s="77"/>
    </row>
    <row r="131" spans="1:12" ht="30" x14ac:dyDescent="0.25">
      <c r="A131" s="7" t="s">
        <v>26</v>
      </c>
      <c r="B131" s="25" t="s">
        <v>27</v>
      </c>
      <c r="C131" s="7" t="s">
        <v>28</v>
      </c>
      <c r="D131" s="7" t="s">
        <v>29</v>
      </c>
      <c r="E131" s="7" t="s">
        <v>30</v>
      </c>
      <c r="F131" s="7" t="s">
        <v>31</v>
      </c>
      <c r="G131" s="7" t="s">
        <v>32</v>
      </c>
      <c r="H131" s="7" t="s">
        <v>33</v>
      </c>
      <c r="I131" s="7" t="s">
        <v>34</v>
      </c>
      <c r="J131" s="7" t="s">
        <v>35</v>
      </c>
      <c r="K131" s="77"/>
      <c r="L131" s="77"/>
    </row>
    <row r="132" spans="1:12" x14ac:dyDescent="0.25">
      <c r="A132" s="7">
        <f>K62</f>
        <v>4170.2294508943087</v>
      </c>
      <c r="B132" s="7"/>
      <c r="C132" s="7"/>
      <c r="D132" s="7">
        <f>K71</f>
        <v>282.49131553658538</v>
      </c>
      <c r="E132" s="7">
        <f>K80</f>
        <v>29.493055609756098</v>
      </c>
      <c r="F132" s="7"/>
      <c r="G132" s="7">
        <f>K96</f>
        <v>12.724463414634148</v>
      </c>
      <c r="H132" s="7"/>
      <c r="I132" s="7">
        <f>K116</f>
        <v>155.897058699187</v>
      </c>
      <c r="J132" s="7">
        <f>K122+K127+K88</f>
        <v>56.66989487804878</v>
      </c>
      <c r="K132" s="88">
        <f>SUM(A132:J132)</f>
        <v>4707.5052390325209</v>
      </c>
      <c r="L132" s="89"/>
    </row>
    <row r="133" spans="1:12" ht="13.5" customHeight="1" x14ac:dyDescent="0.25"/>
    <row r="134" spans="1:12" ht="15.75" x14ac:dyDescent="0.25">
      <c r="A134" s="16" t="s">
        <v>60</v>
      </c>
      <c r="B134" s="16"/>
      <c r="C134" s="16"/>
      <c r="D134" s="16"/>
      <c r="E134" s="16"/>
      <c r="F134" s="16" t="s">
        <v>61</v>
      </c>
    </row>
    <row r="135" spans="1:12" ht="15.75" customHeight="1" x14ac:dyDescent="0.25">
      <c r="I135" s="11">
        <f>I122+I96+I88+I80+I71+I62+I127+I116+0.01</f>
        <v>579023.15440100001</v>
      </c>
      <c r="J135" s="10"/>
      <c r="K135" s="11">
        <f>K132*J126+0.01</f>
        <v>579023.15440100012</v>
      </c>
      <c r="L135" s="12"/>
    </row>
    <row r="136" spans="1:12" ht="10.5" customHeight="1" x14ac:dyDescent="0.25"/>
    <row r="137" spans="1:12" hidden="1" x14ac:dyDescent="0.25"/>
    <row r="138" spans="1:12" hidden="1" x14ac:dyDescent="0.25"/>
    <row r="139" spans="1:12" ht="13.5" customHeight="1" x14ac:dyDescent="0.25">
      <c r="A139" s="45" t="s">
        <v>112</v>
      </c>
      <c r="B139" s="45"/>
      <c r="C139" s="45"/>
    </row>
    <row r="140" spans="1:12" x14ac:dyDescent="0.25">
      <c r="A140" s="45" t="s">
        <v>62</v>
      </c>
      <c r="B140" s="45"/>
      <c r="C140" s="45"/>
    </row>
  </sheetData>
  <mergeCells count="140">
    <mergeCell ref="G40:K40"/>
    <mergeCell ref="G41:K41"/>
    <mergeCell ref="G42:K42"/>
    <mergeCell ref="G31:K31"/>
    <mergeCell ref="G32:K32"/>
    <mergeCell ref="G33:K33"/>
    <mergeCell ref="G34:K34"/>
    <mergeCell ref="G35:K35"/>
    <mergeCell ref="G36:K36"/>
    <mergeCell ref="G37:K37"/>
    <mergeCell ref="G38:K38"/>
    <mergeCell ref="G39:K39"/>
    <mergeCell ref="A87:E87"/>
    <mergeCell ref="A19:E19"/>
    <mergeCell ref="G19:K19"/>
    <mergeCell ref="A20:E20"/>
    <mergeCell ref="G20:K20"/>
    <mergeCell ref="A21:E21"/>
    <mergeCell ref="A71:H71"/>
    <mergeCell ref="A118:L118"/>
    <mergeCell ref="G21:K21"/>
    <mergeCell ref="A24:E24"/>
    <mergeCell ref="G24:K24"/>
    <mergeCell ref="A27:E27"/>
    <mergeCell ref="G27:K27"/>
    <mergeCell ref="A28:E28"/>
    <mergeCell ref="G28:K28"/>
    <mergeCell ref="A25:E25"/>
    <mergeCell ref="G25:K25"/>
    <mergeCell ref="A26:E26"/>
    <mergeCell ref="A80:H80"/>
    <mergeCell ref="A82:L82"/>
    <mergeCell ref="A83:E83"/>
    <mergeCell ref="A85:E85"/>
    <mergeCell ref="A103:E103"/>
    <mergeCell ref="A104:E104"/>
    <mergeCell ref="A105:E105"/>
    <mergeCell ref="A106:E106"/>
    <mergeCell ref="A86:E86"/>
    <mergeCell ref="A74:E74"/>
    <mergeCell ref="A59:E59"/>
    <mergeCell ref="A60:E60"/>
    <mergeCell ref="A64:L64"/>
    <mergeCell ref="A93:E93"/>
    <mergeCell ref="A94:E94"/>
    <mergeCell ref="A77:E77"/>
    <mergeCell ref="A78:E78"/>
    <mergeCell ref="A79:E79"/>
    <mergeCell ref="A101:E101"/>
    <mergeCell ref="A102:E102"/>
    <mergeCell ref="A98:L98"/>
    <mergeCell ref="A99:E99"/>
    <mergeCell ref="A84:E84"/>
    <mergeCell ref="A100:E100"/>
    <mergeCell ref="A96:H96"/>
    <mergeCell ref="A92:E92"/>
    <mergeCell ref="A73:L73"/>
    <mergeCell ref="A88:H88"/>
    <mergeCell ref="G26:K26"/>
    <mergeCell ref="A29:E29"/>
    <mergeCell ref="G29:K29"/>
    <mergeCell ref="A58:E58"/>
    <mergeCell ref="A4:F4"/>
    <mergeCell ref="A5:D5"/>
    <mergeCell ref="K132:L132"/>
    <mergeCell ref="A65:E65"/>
    <mergeCell ref="A66:E66"/>
    <mergeCell ref="A67:E67"/>
    <mergeCell ref="A53:E53"/>
    <mergeCell ref="A54:E54"/>
    <mergeCell ref="A55:E55"/>
    <mergeCell ref="A16:E16"/>
    <mergeCell ref="G16:K16"/>
    <mergeCell ref="A17:E17"/>
    <mergeCell ref="G17:K17"/>
    <mergeCell ref="A18:E18"/>
    <mergeCell ref="G18:K18"/>
    <mergeCell ref="A22:E22"/>
    <mergeCell ref="G22:K22"/>
    <mergeCell ref="A23:E23"/>
    <mergeCell ref="G23:K23"/>
    <mergeCell ref="K130:L131"/>
    <mergeCell ref="A130:C130"/>
    <mergeCell ref="D130:J130"/>
    <mergeCell ref="A107:E107"/>
    <mergeCell ref="A108:E108"/>
    <mergeCell ref="A109:E109"/>
    <mergeCell ref="A113:E113"/>
    <mergeCell ref="A114:E114"/>
    <mergeCell ref="A110:E110"/>
    <mergeCell ref="A111:E111"/>
    <mergeCell ref="A112:E112"/>
    <mergeCell ref="A129:L129"/>
    <mergeCell ref="A119:E119"/>
    <mergeCell ref="A122:H122"/>
    <mergeCell ref="A115:E115"/>
    <mergeCell ref="A120:E120"/>
    <mergeCell ref="A121:E121"/>
    <mergeCell ref="A124:L124"/>
    <mergeCell ref="A125:E125"/>
    <mergeCell ref="A126:E126"/>
    <mergeCell ref="A127:H127"/>
    <mergeCell ref="A31:E31"/>
    <mergeCell ref="A32:E32"/>
    <mergeCell ref="A7:L7"/>
    <mergeCell ref="A8:L8"/>
    <mergeCell ref="A9:L9"/>
    <mergeCell ref="A95:E95"/>
    <mergeCell ref="A30:E30"/>
    <mergeCell ref="G30:K30"/>
    <mergeCell ref="A48:E48"/>
    <mergeCell ref="A49:E49"/>
    <mergeCell ref="A45:E45"/>
    <mergeCell ref="G45:K45"/>
    <mergeCell ref="A50:E50"/>
    <mergeCell ref="A51:E51"/>
    <mergeCell ref="A52:E52"/>
    <mergeCell ref="A56:E56"/>
    <mergeCell ref="A57:E57"/>
    <mergeCell ref="A61:E61"/>
    <mergeCell ref="A90:L90"/>
    <mergeCell ref="A91:E91"/>
    <mergeCell ref="A68:E68"/>
    <mergeCell ref="A69:E69"/>
    <mergeCell ref="A62:E62"/>
    <mergeCell ref="A70:E70"/>
    <mergeCell ref="A75:E75"/>
    <mergeCell ref="A76:E76"/>
    <mergeCell ref="A42:E42"/>
    <mergeCell ref="A43:E43"/>
    <mergeCell ref="A44:E44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</mergeCells>
  <pageMargins left="0.35433070866141736" right="0.35433070866141736" top="0.35433070866141736" bottom="0.35433070866141736" header="0.31496062992125984" footer="0.31496062992125984"/>
  <pageSetup paperSize="9" scale="7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0"/>
  <sheetViews>
    <sheetView topLeftCell="A36" zoomScale="90" zoomScaleNormal="90" workbookViewId="0">
      <selection activeCell="I85" sqref="I85"/>
    </sheetView>
  </sheetViews>
  <sheetFormatPr defaultRowHeight="15" x14ac:dyDescent="0.25"/>
  <cols>
    <col min="1" max="3" width="9.140625" style="8" customWidth="1"/>
    <col min="4" max="4" width="8.140625" style="8" customWidth="1"/>
    <col min="5" max="5" width="16.42578125" style="8" customWidth="1"/>
    <col min="6" max="6" width="13.42578125" style="8" customWidth="1"/>
    <col min="7" max="7" width="13.7109375" style="8" customWidth="1"/>
    <col min="8" max="8" width="17.42578125" style="8" customWidth="1"/>
    <col min="9" max="9" width="13.7109375" style="8" customWidth="1"/>
    <col min="10" max="10" width="12.85546875" style="8" customWidth="1"/>
    <col min="11" max="11" width="18.5703125" style="8" customWidth="1"/>
    <col min="12" max="12" width="8.5703125" style="8" customWidth="1"/>
    <col min="13" max="13" width="13.5703125" style="8" customWidth="1"/>
    <col min="14" max="16384" width="9.140625" style="8"/>
  </cols>
  <sheetData>
    <row r="1" spans="1:12" ht="15.75" x14ac:dyDescent="0.25">
      <c r="A1" s="16" t="s">
        <v>57</v>
      </c>
      <c r="B1" s="16"/>
      <c r="C1" s="16"/>
      <c r="D1" s="1"/>
    </row>
    <row r="2" spans="1:12" ht="15.75" x14ac:dyDescent="0.25">
      <c r="A2" s="17" t="s">
        <v>58</v>
      </c>
      <c r="B2" s="17"/>
      <c r="C2" s="17"/>
      <c r="D2" s="1"/>
    </row>
    <row r="3" spans="1:12" ht="15.75" x14ac:dyDescent="0.25">
      <c r="A3" s="18"/>
      <c r="B3" s="18"/>
      <c r="C3" s="18"/>
      <c r="D3" s="1"/>
    </row>
    <row r="4" spans="1:12" ht="15.75" x14ac:dyDescent="0.25">
      <c r="A4" s="85" t="s">
        <v>59</v>
      </c>
      <c r="B4" s="85"/>
      <c r="C4" s="85"/>
      <c r="D4" s="86"/>
      <c r="E4" s="86"/>
      <c r="F4" s="86"/>
    </row>
    <row r="5" spans="1:12" ht="15.75" x14ac:dyDescent="0.25">
      <c r="A5" s="87" t="s">
        <v>113</v>
      </c>
      <c r="B5" s="87"/>
      <c r="C5" s="87"/>
      <c r="D5" s="86"/>
    </row>
    <row r="6" spans="1:12" ht="15.75" x14ac:dyDescent="0.25">
      <c r="A6" s="51"/>
      <c r="B6" s="51"/>
      <c r="C6" s="51"/>
      <c r="D6" s="50"/>
    </row>
    <row r="7" spans="1:12" s="21" customFormat="1" x14ac:dyDescent="0.25">
      <c r="A7" s="65" t="s">
        <v>63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</row>
    <row r="8" spans="1:12" s="21" customFormat="1" x14ac:dyDescent="0.25">
      <c r="A8" s="65" t="s">
        <v>97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12" s="21" customFormat="1" ht="13.5" customHeight="1" x14ac:dyDescent="0.25">
      <c r="A9" s="65" t="s">
        <v>114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12" ht="10.5" customHeight="1" x14ac:dyDescent="0.25"/>
    <row r="11" spans="1:12" x14ac:dyDescent="0.25">
      <c r="A11" s="92" t="s">
        <v>116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x14ac:dyDescent="0.25">
      <c r="A12" s="93" t="s">
        <v>117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</row>
    <row r="13" spans="1:12" x14ac:dyDescent="0.25">
      <c r="A13" s="92" t="s">
        <v>118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25">
      <c r="A14" s="92" t="s">
        <v>121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</row>
    <row r="15" spans="1:12" x14ac:dyDescent="0.25">
      <c r="A15" s="92" t="s">
        <v>120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</row>
    <row r="16" spans="1:12" ht="33" customHeight="1" x14ac:dyDescent="0.25">
      <c r="A16" s="94" t="s">
        <v>0</v>
      </c>
      <c r="B16" s="94"/>
      <c r="C16" s="94"/>
      <c r="D16" s="94"/>
      <c r="E16" s="94"/>
      <c r="F16" s="58" t="s">
        <v>1</v>
      </c>
      <c r="G16" s="94" t="s">
        <v>2</v>
      </c>
      <c r="H16" s="94"/>
      <c r="I16" s="94"/>
      <c r="J16" s="94"/>
      <c r="K16" s="94"/>
      <c r="L16" s="58" t="s">
        <v>1</v>
      </c>
    </row>
    <row r="17" spans="1:12" ht="15" hidden="1" customHeight="1" x14ac:dyDescent="0.25">
      <c r="A17" s="61" t="s">
        <v>41</v>
      </c>
      <c r="B17" s="61"/>
      <c r="C17" s="61"/>
      <c r="D17" s="61"/>
      <c r="E17" s="61"/>
      <c r="F17" s="38"/>
      <c r="G17" s="61" t="s">
        <v>3</v>
      </c>
      <c r="H17" s="61"/>
      <c r="I17" s="61"/>
      <c r="J17" s="61"/>
      <c r="K17" s="61"/>
      <c r="L17" s="38">
        <v>0</v>
      </c>
    </row>
    <row r="18" spans="1:12" s="93" customFormat="1" ht="29.25" customHeight="1" x14ac:dyDescent="0.25">
      <c r="A18" s="95" t="s">
        <v>43</v>
      </c>
      <c r="B18" s="95"/>
      <c r="C18" s="95"/>
      <c r="D18" s="95"/>
      <c r="E18" s="95"/>
      <c r="F18" s="38">
        <f>1*30.61%</f>
        <v>0.30609999999999998</v>
      </c>
      <c r="G18" s="95" t="s">
        <v>3</v>
      </c>
      <c r="H18" s="95"/>
      <c r="I18" s="95"/>
      <c r="J18" s="95"/>
      <c r="K18" s="95"/>
      <c r="L18" s="38">
        <f>1*30.61%</f>
        <v>0.30609999999999998</v>
      </c>
    </row>
    <row r="19" spans="1:12" s="93" customFormat="1" ht="15" customHeight="1" x14ac:dyDescent="0.25">
      <c r="A19" s="95" t="s">
        <v>81</v>
      </c>
      <c r="B19" s="95"/>
      <c r="C19" s="95"/>
      <c r="D19" s="95"/>
      <c r="E19" s="95"/>
      <c r="F19" s="38">
        <f>1*30.61%</f>
        <v>0.30609999999999998</v>
      </c>
      <c r="G19" s="95" t="s">
        <v>41</v>
      </c>
      <c r="H19" s="95"/>
      <c r="I19" s="95"/>
      <c r="J19" s="95"/>
      <c r="K19" s="95"/>
      <c r="L19" s="38">
        <f>1*30.61%</f>
        <v>0.30609999999999998</v>
      </c>
    </row>
    <row r="20" spans="1:12" s="93" customFormat="1" ht="15" customHeight="1" x14ac:dyDescent="0.25">
      <c r="A20" s="95" t="s">
        <v>46</v>
      </c>
      <c r="B20" s="95"/>
      <c r="C20" s="95"/>
      <c r="D20" s="95"/>
      <c r="E20" s="95"/>
      <c r="F20" s="38">
        <f>1*30.61%</f>
        <v>0.30609999999999998</v>
      </c>
      <c r="G20" s="95"/>
      <c r="H20" s="95"/>
      <c r="I20" s="95"/>
      <c r="J20" s="95"/>
      <c r="K20" s="95"/>
      <c r="L20" s="38"/>
    </row>
    <row r="21" spans="1:12" s="93" customFormat="1" ht="15" customHeight="1" x14ac:dyDescent="0.25">
      <c r="A21" s="95" t="s">
        <v>47</v>
      </c>
      <c r="B21" s="95"/>
      <c r="C21" s="95"/>
      <c r="D21" s="95"/>
      <c r="E21" s="95"/>
      <c r="F21" s="38">
        <f>1*30.61%</f>
        <v>0.30609999999999998</v>
      </c>
      <c r="G21" s="95"/>
      <c r="H21" s="95"/>
      <c r="I21" s="95"/>
      <c r="J21" s="95"/>
      <c r="K21" s="95"/>
      <c r="L21" s="38"/>
    </row>
    <row r="22" spans="1:12" s="93" customFormat="1" ht="15" customHeight="1" x14ac:dyDescent="0.25">
      <c r="A22" s="95" t="s">
        <v>83</v>
      </c>
      <c r="B22" s="95"/>
      <c r="C22" s="95"/>
      <c r="D22" s="95"/>
      <c r="E22" s="95"/>
      <c r="F22" s="38">
        <f>1*30.61%</f>
        <v>0.30609999999999998</v>
      </c>
      <c r="G22" s="95"/>
      <c r="H22" s="95"/>
      <c r="I22" s="95"/>
      <c r="J22" s="95"/>
      <c r="K22" s="95"/>
      <c r="L22" s="38"/>
    </row>
    <row r="23" spans="1:12" s="93" customFormat="1" ht="15" customHeight="1" x14ac:dyDescent="0.25">
      <c r="A23" s="95" t="s">
        <v>84</v>
      </c>
      <c r="B23" s="95"/>
      <c r="C23" s="95"/>
      <c r="D23" s="95"/>
      <c r="E23" s="95"/>
      <c r="F23" s="38">
        <f>1*30.61%</f>
        <v>0.30609999999999998</v>
      </c>
      <c r="G23" s="95"/>
      <c r="H23" s="95"/>
      <c r="I23" s="95"/>
      <c r="J23" s="95"/>
      <c r="K23" s="95"/>
      <c r="L23" s="38"/>
    </row>
    <row r="24" spans="1:12" s="93" customFormat="1" ht="15" customHeight="1" x14ac:dyDescent="0.25">
      <c r="A24" s="95" t="s">
        <v>85</v>
      </c>
      <c r="B24" s="95"/>
      <c r="C24" s="95"/>
      <c r="D24" s="95"/>
      <c r="E24" s="95"/>
      <c r="F24" s="38">
        <f>1*30.61%</f>
        <v>0.30609999999999998</v>
      </c>
      <c r="G24" s="95"/>
      <c r="H24" s="95"/>
      <c r="I24" s="95"/>
      <c r="J24" s="95"/>
      <c r="K24" s="95"/>
      <c r="L24" s="38"/>
    </row>
    <row r="25" spans="1:12" s="93" customFormat="1" ht="15" customHeight="1" x14ac:dyDescent="0.25">
      <c r="A25" s="95" t="s">
        <v>86</v>
      </c>
      <c r="B25" s="95"/>
      <c r="C25" s="95"/>
      <c r="D25" s="95"/>
      <c r="E25" s="95"/>
      <c r="F25" s="38">
        <f>1*30.61%</f>
        <v>0.30609999999999998</v>
      </c>
      <c r="G25" s="95"/>
      <c r="H25" s="95"/>
      <c r="I25" s="95"/>
      <c r="J25" s="95"/>
      <c r="K25" s="95"/>
      <c r="L25" s="38"/>
    </row>
    <row r="26" spans="1:12" s="93" customFormat="1" ht="15" customHeight="1" x14ac:dyDescent="0.25">
      <c r="A26" s="95" t="s">
        <v>87</v>
      </c>
      <c r="B26" s="95"/>
      <c r="C26" s="95"/>
      <c r="D26" s="95"/>
      <c r="E26" s="95"/>
      <c r="F26" s="38">
        <f>1.5*30.61%</f>
        <v>0.45914999999999995</v>
      </c>
      <c r="G26" s="95"/>
      <c r="H26" s="95"/>
      <c r="I26" s="95"/>
      <c r="J26" s="95"/>
      <c r="K26" s="95"/>
      <c r="L26" s="38"/>
    </row>
    <row r="27" spans="1:12" ht="15" customHeight="1" x14ac:dyDescent="0.25">
      <c r="A27" s="95" t="s">
        <v>49</v>
      </c>
      <c r="B27" s="95"/>
      <c r="C27" s="95"/>
      <c r="D27" s="95"/>
      <c r="E27" s="95"/>
      <c r="F27" s="38">
        <f>1*30.61%</f>
        <v>0.30609999999999998</v>
      </c>
      <c r="G27" s="61"/>
      <c r="H27" s="61"/>
      <c r="I27" s="61"/>
      <c r="J27" s="61"/>
      <c r="K27" s="61"/>
      <c r="L27" s="38"/>
    </row>
    <row r="28" spans="1:12" ht="15" customHeight="1" x14ac:dyDescent="0.25">
      <c r="A28" s="95" t="s">
        <v>80</v>
      </c>
      <c r="B28" s="95"/>
      <c r="C28" s="95"/>
      <c r="D28" s="95"/>
      <c r="E28" s="95"/>
      <c r="F28" s="38">
        <f>1*30.61%</f>
        <v>0.30609999999999998</v>
      </c>
      <c r="G28" s="61"/>
      <c r="H28" s="61"/>
      <c r="I28" s="61"/>
      <c r="J28" s="61"/>
      <c r="K28" s="61"/>
      <c r="L28" s="38"/>
    </row>
    <row r="29" spans="1:12" s="93" customFormat="1" ht="30.75" customHeight="1" x14ac:dyDescent="0.25">
      <c r="A29" s="95" t="s">
        <v>42</v>
      </c>
      <c r="B29" s="95"/>
      <c r="C29" s="95"/>
      <c r="D29" s="95"/>
      <c r="E29" s="95"/>
      <c r="F29" s="38">
        <f>1*30.61%</f>
        <v>0.30609999999999998</v>
      </c>
      <c r="G29" s="95"/>
      <c r="H29" s="95"/>
      <c r="I29" s="95"/>
      <c r="J29" s="95"/>
      <c r="K29" s="95"/>
      <c r="L29" s="38"/>
    </row>
    <row r="30" spans="1:12" s="93" customFormat="1" x14ac:dyDescent="0.25">
      <c r="A30" s="95" t="s">
        <v>44</v>
      </c>
      <c r="B30" s="95"/>
      <c r="C30" s="95"/>
      <c r="D30" s="95"/>
      <c r="E30" s="95"/>
      <c r="F30" s="38">
        <f>1*30.61%</f>
        <v>0.30609999999999998</v>
      </c>
      <c r="G30" s="95"/>
      <c r="H30" s="95"/>
      <c r="I30" s="95"/>
      <c r="J30" s="95"/>
      <c r="K30" s="95"/>
      <c r="L30" s="38"/>
    </row>
    <row r="31" spans="1:12" x14ac:dyDescent="0.25">
      <c r="A31" s="95" t="s">
        <v>79</v>
      </c>
      <c r="B31" s="95"/>
      <c r="C31" s="95"/>
      <c r="D31" s="95"/>
      <c r="E31" s="95"/>
      <c r="F31" s="38">
        <f>1*30.61%</f>
        <v>0.30609999999999998</v>
      </c>
      <c r="G31" s="62"/>
      <c r="H31" s="63"/>
      <c r="I31" s="63"/>
      <c r="J31" s="63"/>
      <c r="K31" s="64"/>
      <c r="L31" s="38"/>
    </row>
    <row r="32" spans="1:12" s="93" customFormat="1" x14ac:dyDescent="0.25">
      <c r="A32" s="95" t="s">
        <v>38</v>
      </c>
      <c r="B32" s="95"/>
      <c r="C32" s="95"/>
      <c r="D32" s="95"/>
      <c r="E32" s="95"/>
      <c r="F32" s="38">
        <f>8*30.61%</f>
        <v>2.4487999999999999</v>
      </c>
      <c r="G32" s="96"/>
      <c r="H32" s="97"/>
      <c r="I32" s="97"/>
      <c r="J32" s="97"/>
      <c r="K32" s="64"/>
      <c r="L32" s="38"/>
    </row>
    <row r="33" spans="1:12" s="93" customFormat="1" x14ac:dyDescent="0.25">
      <c r="A33" s="95" t="s">
        <v>82</v>
      </c>
      <c r="B33" s="95"/>
      <c r="C33" s="95"/>
      <c r="D33" s="95"/>
      <c r="E33" s="95"/>
      <c r="F33" s="38">
        <f>1*30.61%</f>
        <v>0.30609999999999998</v>
      </c>
      <c r="G33" s="96"/>
      <c r="H33" s="97"/>
      <c r="I33" s="97"/>
      <c r="J33" s="97"/>
      <c r="K33" s="64"/>
      <c r="L33" s="38"/>
    </row>
    <row r="34" spans="1:12" s="93" customFormat="1" x14ac:dyDescent="0.25">
      <c r="A34" s="95" t="s">
        <v>45</v>
      </c>
      <c r="B34" s="95"/>
      <c r="C34" s="95"/>
      <c r="D34" s="95"/>
      <c r="E34" s="95"/>
      <c r="F34" s="38">
        <f>1*30.61%</f>
        <v>0.30609999999999998</v>
      </c>
      <c r="G34" s="96"/>
      <c r="H34" s="97"/>
      <c r="I34" s="97"/>
      <c r="J34" s="97"/>
      <c r="K34" s="64"/>
      <c r="L34" s="38"/>
    </row>
    <row r="35" spans="1:12" x14ac:dyDescent="0.25">
      <c r="A35" s="95" t="s">
        <v>48</v>
      </c>
      <c r="B35" s="95"/>
      <c r="C35" s="95"/>
      <c r="D35" s="95"/>
      <c r="E35" s="95"/>
      <c r="F35" s="38">
        <f>0.5*30.61%</f>
        <v>0.15304999999999999</v>
      </c>
      <c r="G35" s="62"/>
      <c r="H35" s="63"/>
      <c r="I35" s="63"/>
      <c r="J35" s="63"/>
      <c r="K35" s="64"/>
      <c r="L35" s="38"/>
    </row>
    <row r="36" spans="1:12" x14ac:dyDescent="0.25">
      <c r="A36" s="95" t="s">
        <v>88</v>
      </c>
      <c r="B36" s="95"/>
      <c r="C36" s="95"/>
      <c r="D36" s="95"/>
      <c r="E36" s="95"/>
      <c r="F36" s="38">
        <f>7*30.61%</f>
        <v>2.1427</v>
      </c>
      <c r="G36" s="62"/>
      <c r="H36" s="63"/>
      <c r="I36" s="63"/>
      <c r="J36" s="63"/>
      <c r="K36" s="64"/>
      <c r="L36" s="38"/>
    </row>
    <row r="37" spans="1:12" x14ac:dyDescent="0.25">
      <c r="A37" s="95" t="s">
        <v>50</v>
      </c>
      <c r="B37" s="95"/>
      <c r="C37" s="95"/>
      <c r="D37" s="95"/>
      <c r="E37" s="95"/>
      <c r="F37" s="38">
        <f>8*30.61%</f>
        <v>2.4487999999999999</v>
      </c>
      <c r="G37" s="62"/>
      <c r="H37" s="63"/>
      <c r="I37" s="63"/>
      <c r="J37" s="63"/>
      <c r="K37" s="64"/>
      <c r="L37" s="38"/>
    </row>
    <row r="38" spans="1:12" x14ac:dyDescent="0.25">
      <c r="A38" s="95" t="s">
        <v>90</v>
      </c>
      <c r="B38" s="95"/>
      <c r="C38" s="95"/>
      <c r="D38" s="95"/>
      <c r="E38" s="95"/>
      <c r="F38" s="38">
        <f>1*30.61%</f>
        <v>0.30609999999999998</v>
      </c>
      <c r="G38" s="62"/>
      <c r="H38" s="63"/>
      <c r="I38" s="63"/>
      <c r="J38" s="63"/>
      <c r="K38" s="64"/>
      <c r="L38" s="38"/>
    </row>
    <row r="39" spans="1:12" x14ac:dyDescent="0.25">
      <c r="A39" s="95" t="s">
        <v>91</v>
      </c>
      <c r="B39" s="95"/>
      <c r="C39" s="95"/>
      <c r="D39" s="95"/>
      <c r="E39" s="95"/>
      <c r="F39" s="38">
        <f>1*30.61%</f>
        <v>0.30609999999999998</v>
      </c>
      <c r="G39" s="62"/>
      <c r="H39" s="63"/>
      <c r="I39" s="63"/>
      <c r="J39" s="63"/>
      <c r="K39" s="64"/>
      <c r="L39" s="38"/>
    </row>
    <row r="40" spans="1:12" x14ac:dyDescent="0.25">
      <c r="A40" s="95" t="s">
        <v>92</v>
      </c>
      <c r="B40" s="95"/>
      <c r="C40" s="95"/>
      <c r="D40" s="95"/>
      <c r="E40" s="95"/>
      <c r="F40" s="38">
        <f>1*30.61%</f>
        <v>0.30609999999999998</v>
      </c>
      <c r="G40" s="62"/>
      <c r="H40" s="63"/>
      <c r="I40" s="63"/>
      <c r="J40" s="63"/>
      <c r="K40" s="64"/>
      <c r="L40" s="38"/>
    </row>
    <row r="41" spans="1:12" x14ac:dyDescent="0.25">
      <c r="A41" s="95" t="s">
        <v>52</v>
      </c>
      <c r="B41" s="95"/>
      <c r="C41" s="95"/>
      <c r="D41" s="95"/>
      <c r="E41" s="95"/>
      <c r="F41" s="38">
        <f>9.5*30.61%</f>
        <v>2.90795</v>
      </c>
      <c r="G41" s="62"/>
      <c r="H41" s="63"/>
      <c r="I41" s="63"/>
      <c r="J41" s="63"/>
      <c r="K41" s="64"/>
      <c r="L41" s="38"/>
    </row>
    <row r="42" spans="1:12" x14ac:dyDescent="0.25">
      <c r="A42" s="95" t="s">
        <v>93</v>
      </c>
      <c r="B42" s="95"/>
      <c r="C42" s="95"/>
      <c r="D42" s="95"/>
      <c r="E42" s="95"/>
      <c r="F42" s="38">
        <f>1*30.61%</f>
        <v>0.30609999999999998</v>
      </c>
      <c r="G42" s="62"/>
      <c r="H42" s="63"/>
      <c r="I42" s="63"/>
      <c r="J42" s="63"/>
      <c r="K42" s="64"/>
      <c r="L42" s="38"/>
    </row>
    <row r="43" spans="1:12" hidden="1" x14ac:dyDescent="0.25">
      <c r="A43" s="62"/>
      <c r="B43" s="63"/>
      <c r="C43" s="63"/>
      <c r="D43" s="63"/>
      <c r="E43" s="64"/>
      <c r="F43" s="38"/>
      <c r="G43" s="60"/>
      <c r="H43" s="60"/>
      <c r="I43" s="60"/>
      <c r="J43" s="60"/>
      <c r="K43" s="60"/>
      <c r="L43" s="38"/>
    </row>
    <row r="44" spans="1:12" hidden="1" x14ac:dyDescent="0.25">
      <c r="A44" s="62"/>
      <c r="B44" s="63"/>
      <c r="C44" s="63"/>
      <c r="D44" s="63"/>
      <c r="E44" s="64"/>
      <c r="F44" s="38"/>
      <c r="G44" s="60"/>
      <c r="H44" s="60"/>
      <c r="I44" s="60"/>
      <c r="J44" s="60"/>
      <c r="K44" s="60"/>
      <c r="L44" s="38"/>
    </row>
    <row r="45" spans="1:12" x14ac:dyDescent="0.25">
      <c r="A45" s="100" t="s">
        <v>4</v>
      </c>
      <c r="B45" s="100"/>
      <c r="C45" s="100"/>
      <c r="D45" s="100"/>
      <c r="E45" s="100"/>
      <c r="F45" s="59">
        <f>SUM(F17:F42)</f>
        <v>16.376350000000002</v>
      </c>
      <c r="G45" s="100" t="s">
        <v>4</v>
      </c>
      <c r="H45" s="100"/>
      <c r="I45" s="100"/>
      <c r="J45" s="100"/>
      <c r="K45" s="100"/>
      <c r="L45" s="59">
        <f>SUM(L17:L42)</f>
        <v>0.61219999999999997</v>
      </c>
    </row>
    <row r="46" spans="1:12" ht="15.75" thickBot="1" x14ac:dyDescent="0.3">
      <c r="A46" s="98"/>
      <c r="B46" s="98"/>
      <c r="C46" s="98"/>
      <c r="D46" s="98"/>
      <c r="E46" s="98"/>
      <c r="F46" s="99"/>
      <c r="G46" s="98"/>
      <c r="H46" s="98"/>
      <c r="I46" s="98"/>
      <c r="J46" s="98"/>
      <c r="K46" s="98"/>
      <c r="L46" s="99"/>
    </row>
    <row r="47" spans="1:12" ht="15.75" thickBot="1" x14ac:dyDescent="0.3">
      <c r="A47" s="22" t="s">
        <v>70</v>
      </c>
      <c r="F47" s="55">
        <v>1382</v>
      </c>
    </row>
    <row r="48" spans="1:12" ht="75" x14ac:dyDescent="0.25">
      <c r="A48" s="69" t="s">
        <v>5</v>
      </c>
      <c r="B48" s="70"/>
      <c r="C48" s="70"/>
      <c r="D48" s="70"/>
      <c r="E48" s="71"/>
      <c r="F48" s="54" t="s">
        <v>6</v>
      </c>
      <c r="G48" s="53" t="s">
        <v>1</v>
      </c>
      <c r="H48" s="53" t="s">
        <v>66</v>
      </c>
      <c r="I48" s="53" t="s">
        <v>67</v>
      </c>
      <c r="J48" s="53" t="s">
        <v>68</v>
      </c>
      <c r="K48" s="24" t="s">
        <v>69</v>
      </c>
      <c r="L48" s="33"/>
    </row>
    <row r="49" spans="1:13" ht="15" hidden="1" customHeight="1" x14ac:dyDescent="0.25">
      <c r="A49" s="72" t="s">
        <v>41</v>
      </c>
      <c r="B49" s="72"/>
      <c r="C49" s="72"/>
      <c r="D49" s="72"/>
      <c r="E49" s="72"/>
      <c r="F49" s="7">
        <v>14963</v>
      </c>
      <c r="G49" s="7">
        <v>0.45</v>
      </c>
      <c r="H49" s="7">
        <f>F49*G49*12</f>
        <v>80800.200000000012</v>
      </c>
      <c r="I49" s="7">
        <f>H49*1.302</f>
        <v>105201.86040000002</v>
      </c>
      <c r="J49" s="7">
        <f>F47</f>
        <v>1382</v>
      </c>
      <c r="K49" s="7">
        <f>I49/J49</f>
        <v>76.122909117221425</v>
      </c>
      <c r="L49" s="34"/>
    </row>
    <row r="50" spans="1:13" ht="17.25" hidden="1" customHeight="1" x14ac:dyDescent="0.25">
      <c r="A50" s="72" t="s">
        <v>43</v>
      </c>
      <c r="B50" s="72"/>
      <c r="C50" s="72"/>
      <c r="D50" s="72"/>
      <c r="E50" s="72"/>
      <c r="F50" s="7">
        <v>11538</v>
      </c>
      <c r="G50" s="7">
        <v>0.45</v>
      </c>
      <c r="H50" s="7">
        <f t="shared" ref="H50:H61" si="0">F50*G50*12</f>
        <v>62305.200000000004</v>
      </c>
      <c r="I50" s="7">
        <f t="shared" ref="I50:I61" si="1">H50*1.302</f>
        <v>81121.370400000014</v>
      </c>
      <c r="J50" s="7">
        <f t="shared" ref="J50:J57" si="2">J49</f>
        <v>1382</v>
      </c>
      <c r="K50" s="7">
        <f>I50/J50</f>
        <v>58.698531403762672</v>
      </c>
      <c r="L50" s="34"/>
    </row>
    <row r="51" spans="1:13" ht="15" hidden="1" customHeight="1" x14ac:dyDescent="0.25">
      <c r="A51" s="72" t="s">
        <v>81</v>
      </c>
      <c r="B51" s="72"/>
      <c r="C51" s="72"/>
      <c r="D51" s="72"/>
      <c r="E51" s="72"/>
      <c r="F51" s="7">
        <v>8837</v>
      </c>
      <c r="G51" s="7">
        <v>0.45</v>
      </c>
      <c r="H51" s="7">
        <f t="shared" si="0"/>
        <v>47719.8</v>
      </c>
      <c r="I51" s="7">
        <f t="shared" si="1"/>
        <v>62131.179600000003</v>
      </c>
      <c r="J51" s="7">
        <f t="shared" si="2"/>
        <v>1382</v>
      </c>
      <c r="K51" s="7">
        <f t="shared" ref="K51:K61" si="3">I51/J51</f>
        <v>44.95743820549928</v>
      </c>
      <c r="L51" s="34"/>
    </row>
    <row r="52" spans="1:13" ht="15.75" hidden="1" customHeight="1" x14ac:dyDescent="0.25">
      <c r="A52" s="72" t="s">
        <v>46</v>
      </c>
      <c r="B52" s="72"/>
      <c r="C52" s="72"/>
      <c r="D52" s="72"/>
      <c r="E52" s="72"/>
      <c r="F52" s="7">
        <v>6556</v>
      </c>
      <c r="G52" s="7">
        <v>0.45</v>
      </c>
      <c r="H52" s="7">
        <f t="shared" si="0"/>
        <v>35402.400000000001</v>
      </c>
      <c r="I52" s="7">
        <f t="shared" si="1"/>
        <v>46093.924800000001</v>
      </c>
      <c r="J52" s="7">
        <f t="shared" si="2"/>
        <v>1382</v>
      </c>
      <c r="K52" s="7">
        <f t="shared" si="3"/>
        <v>33.353057018813317</v>
      </c>
      <c r="L52" s="34"/>
    </row>
    <row r="53" spans="1:13" ht="15" hidden="1" customHeight="1" x14ac:dyDescent="0.25">
      <c r="A53" s="72" t="s">
        <v>47</v>
      </c>
      <c r="B53" s="72"/>
      <c r="C53" s="72"/>
      <c r="D53" s="72"/>
      <c r="E53" s="72"/>
      <c r="F53" s="7">
        <v>11538</v>
      </c>
      <c r="G53" s="7">
        <v>0.45</v>
      </c>
      <c r="H53" s="7">
        <f t="shared" si="0"/>
        <v>62305.200000000004</v>
      </c>
      <c r="I53" s="7">
        <f t="shared" si="1"/>
        <v>81121.370400000014</v>
      </c>
      <c r="J53" s="7">
        <f t="shared" si="2"/>
        <v>1382</v>
      </c>
      <c r="K53" s="7">
        <f t="shared" si="3"/>
        <v>58.698531403762672</v>
      </c>
      <c r="L53" s="34"/>
    </row>
    <row r="54" spans="1:13" ht="15" hidden="1" customHeight="1" x14ac:dyDescent="0.25">
      <c r="A54" s="72" t="s">
        <v>83</v>
      </c>
      <c r="B54" s="72"/>
      <c r="C54" s="72"/>
      <c r="D54" s="72"/>
      <c r="E54" s="72"/>
      <c r="F54" s="7">
        <v>8837</v>
      </c>
      <c r="G54" s="7">
        <v>0.45</v>
      </c>
      <c r="H54" s="7">
        <f t="shared" si="0"/>
        <v>47719.8</v>
      </c>
      <c r="I54" s="7">
        <f t="shared" si="1"/>
        <v>62131.179600000003</v>
      </c>
      <c r="J54" s="7">
        <f t="shared" si="2"/>
        <v>1382</v>
      </c>
      <c r="K54" s="7">
        <f t="shared" si="3"/>
        <v>44.95743820549928</v>
      </c>
      <c r="L54" s="34"/>
    </row>
    <row r="55" spans="1:13" ht="15" hidden="1" customHeight="1" x14ac:dyDescent="0.25">
      <c r="A55" s="72" t="s">
        <v>84</v>
      </c>
      <c r="B55" s="72"/>
      <c r="C55" s="72"/>
      <c r="D55" s="72"/>
      <c r="E55" s="72"/>
      <c r="F55" s="7">
        <v>3993</v>
      </c>
      <c r="G55" s="7">
        <v>0.45</v>
      </c>
      <c r="H55" s="7">
        <f t="shared" si="0"/>
        <v>21562.2</v>
      </c>
      <c r="I55" s="7">
        <f t="shared" si="1"/>
        <v>28073.984400000001</v>
      </c>
      <c r="J55" s="7">
        <f t="shared" si="2"/>
        <v>1382</v>
      </c>
      <c r="K55" s="7">
        <f t="shared" si="3"/>
        <v>20.314026338639653</v>
      </c>
      <c r="L55" s="34"/>
    </row>
    <row r="56" spans="1:13" ht="15" hidden="1" customHeight="1" x14ac:dyDescent="0.25">
      <c r="A56" s="72" t="s">
        <v>85</v>
      </c>
      <c r="B56" s="72"/>
      <c r="C56" s="72"/>
      <c r="D56" s="72"/>
      <c r="E56" s="72"/>
      <c r="F56" s="7">
        <v>4496</v>
      </c>
      <c r="G56" s="7">
        <v>0.45</v>
      </c>
      <c r="H56" s="7">
        <f t="shared" si="0"/>
        <v>24278.400000000001</v>
      </c>
      <c r="I56" s="7">
        <f t="shared" si="1"/>
        <v>31610.476800000004</v>
      </c>
      <c r="J56" s="7">
        <f t="shared" si="2"/>
        <v>1382</v>
      </c>
      <c r="K56" s="7">
        <f t="shared" si="3"/>
        <v>22.872993342981189</v>
      </c>
      <c r="L56" s="34"/>
    </row>
    <row r="57" spans="1:13" ht="15" hidden="1" customHeight="1" x14ac:dyDescent="0.25">
      <c r="A57" s="72" t="s">
        <v>86</v>
      </c>
      <c r="B57" s="72"/>
      <c r="C57" s="72"/>
      <c r="D57" s="72"/>
      <c r="E57" s="72"/>
      <c r="F57" s="7">
        <v>8837</v>
      </c>
      <c r="G57" s="7">
        <v>0.45</v>
      </c>
      <c r="H57" s="7">
        <f t="shared" si="0"/>
        <v>47719.8</v>
      </c>
      <c r="I57" s="7">
        <f t="shared" si="1"/>
        <v>62131.179600000003</v>
      </c>
      <c r="J57" s="7">
        <f t="shared" si="2"/>
        <v>1382</v>
      </c>
      <c r="K57" s="7">
        <f t="shared" si="3"/>
        <v>44.95743820549928</v>
      </c>
      <c r="L57" s="34"/>
    </row>
    <row r="58" spans="1:13" ht="15.75" hidden="1" customHeight="1" x14ac:dyDescent="0.25">
      <c r="A58" s="72" t="s">
        <v>87</v>
      </c>
      <c r="B58" s="72"/>
      <c r="C58" s="72"/>
      <c r="D58" s="72"/>
      <c r="E58" s="72"/>
      <c r="F58" s="7">
        <v>13255.5</v>
      </c>
      <c r="G58" s="7">
        <v>0.45</v>
      </c>
      <c r="H58" s="7">
        <f t="shared" si="0"/>
        <v>71579.700000000012</v>
      </c>
      <c r="I58" s="7">
        <f t="shared" si="1"/>
        <v>93196.769400000019</v>
      </c>
      <c r="J58" s="7">
        <f>J56</f>
        <v>1382</v>
      </c>
      <c r="K58" s="7">
        <f t="shared" si="3"/>
        <v>67.436157308248923</v>
      </c>
      <c r="L58" s="34"/>
    </row>
    <row r="59" spans="1:13" ht="15" hidden="1" customHeight="1" x14ac:dyDescent="0.25">
      <c r="A59" s="72" t="s">
        <v>89</v>
      </c>
      <c r="B59" s="72"/>
      <c r="C59" s="72"/>
      <c r="D59" s="72"/>
      <c r="E59" s="72"/>
      <c r="F59" s="7">
        <v>11538</v>
      </c>
      <c r="G59" s="7">
        <v>0.45</v>
      </c>
      <c r="H59" s="7">
        <f t="shared" si="0"/>
        <v>62305.200000000004</v>
      </c>
      <c r="I59" s="7">
        <f t="shared" si="1"/>
        <v>81121.370400000014</v>
      </c>
      <c r="J59" s="7">
        <f>J57</f>
        <v>1382</v>
      </c>
      <c r="K59" s="7">
        <f t="shared" si="3"/>
        <v>58.698531403762672</v>
      </c>
      <c r="L59" s="34"/>
    </row>
    <row r="60" spans="1:13" ht="15" hidden="1" customHeight="1" x14ac:dyDescent="0.25">
      <c r="A60" s="72" t="s">
        <v>51</v>
      </c>
      <c r="B60" s="72"/>
      <c r="C60" s="72"/>
      <c r="D60" s="72"/>
      <c r="E60" s="72"/>
      <c r="F60" s="7">
        <v>11538</v>
      </c>
      <c r="G60" s="7">
        <v>0.45</v>
      </c>
      <c r="H60" s="7">
        <f t="shared" si="0"/>
        <v>62305.200000000004</v>
      </c>
      <c r="I60" s="7">
        <f t="shared" si="1"/>
        <v>81121.370400000014</v>
      </c>
      <c r="J60" s="7">
        <f>J58</f>
        <v>1382</v>
      </c>
      <c r="K60" s="7">
        <f t="shared" si="3"/>
        <v>58.698531403762672</v>
      </c>
      <c r="L60" s="34"/>
    </row>
    <row r="61" spans="1:13" ht="17.25" hidden="1" customHeight="1" x14ac:dyDescent="0.25">
      <c r="A61" s="72" t="s">
        <v>49</v>
      </c>
      <c r="B61" s="72"/>
      <c r="C61" s="72"/>
      <c r="D61" s="72"/>
      <c r="E61" s="72"/>
      <c r="F61" s="7">
        <v>8837</v>
      </c>
      <c r="G61" s="7">
        <v>0.45</v>
      </c>
      <c r="H61" s="7">
        <f t="shared" si="0"/>
        <v>47719.8</v>
      </c>
      <c r="I61" s="7">
        <f t="shared" si="1"/>
        <v>62131.179600000003</v>
      </c>
      <c r="J61" s="7">
        <f>J59</f>
        <v>1382</v>
      </c>
      <c r="K61" s="7">
        <f t="shared" si="3"/>
        <v>44.95743820549928</v>
      </c>
      <c r="L61" s="34"/>
    </row>
    <row r="62" spans="1:13" s="9" customFormat="1" ht="15.75" customHeight="1" x14ac:dyDescent="0.25">
      <c r="A62" s="75" t="s">
        <v>71</v>
      </c>
      <c r="B62" s="76"/>
      <c r="C62" s="76"/>
      <c r="D62" s="76"/>
      <c r="E62" s="76"/>
      <c r="F62" s="26">
        <v>22473.03</v>
      </c>
      <c r="G62" s="26">
        <f>F45</f>
        <v>16.376350000000002</v>
      </c>
      <c r="H62" s="26">
        <v>4417298.78</v>
      </c>
      <c r="I62" s="2">
        <f>(H62*1.302)</f>
        <v>5751323.0115600005</v>
      </c>
      <c r="J62" s="2">
        <f>F47</f>
        <v>1382</v>
      </c>
      <c r="K62" s="2">
        <f>I62/F47</f>
        <v>4161.5940749348774</v>
      </c>
      <c r="L62" s="34"/>
      <c r="M62" s="8"/>
    </row>
    <row r="63" spans="1:13" ht="13.5" customHeight="1" x14ac:dyDescent="0.25"/>
    <row r="64" spans="1:13" ht="14.25" customHeight="1" x14ac:dyDescent="0.25">
      <c r="A64" s="73" t="s">
        <v>8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</row>
    <row r="65" spans="1:13" ht="45" x14ac:dyDescent="0.25">
      <c r="A65" s="79" t="s">
        <v>9</v>
      </c>
      <c r="B65" s="79"/>
      <c r="C65" s="79"/>
      <c r="D65" s="79"/>
      <c r="E65" s="79"/>
      <c r="F65" s="53" t="s">
        <v>7</v>
      </c>
      <c r="G65" s="53" t="s">
        <v>65</v>
      </c>
      <c r="H65" s="53" t="s">
        <v>64</v>
      </c>
      <c r="I65" s="53" t="s">
        <v>72</v>
      </c>
      <c r="J65" s="53" t="s">
        <v>68</v>
      </c>
      <c r="K65" s="27" t="s">
        <v>69</v>
      </c>
      <c r="L65" s="28"/>
    </row>
    <row r="66" spans="1:13" x14ac:dyDescent="0.25">
      <c r="A66" s="66" t="s">
        <v>39</v>
      </c>
      <c r="B66" s="67"/>
      <c r="C66" s="67"/>
      <c r="D66" s="67"/>
      <c r="E66" s="68"/>
      <c r="F66" s="25" t="s">
        <v>40</v>
      </c>
      <c r="G66" s="25">
        <v>65000</v>
      </c>
      <c r="H66" s="25">
        <v>5.3</v>
      </c>
      <c r="I66" s="25">
        <f>344500*30.61%</f>
        <v>105451.45</v>
      </c>
      <c r="J66" s="7">
        <f>J61</f>
        <v>1382</v>
      </c>
      <c r="K66" s="29">
        <f>I66/J66</f>
        <v>76.303509406657014</v>
      </c>
      <c r="L66" s="28"/>
    </row>
    <row r="67" spans="1:13" x14ac:dyDescent="0.25">
      <c r="A67" s="74" t="s">
        <v>10</v>
      </c>
      <c r="B67" s="74"/>
      <c r="C67" s="74"/>
      <c r="D67" s="74"/>
      <c r="E67" s="74"/>
      <c r="F67" s="7" t="s">
        <v>13</v>
      </c>
      <c r="G67" s="7">
        <v>450</v>
      </c>
      <c r="H67" s="7">
        <v>1744.64</v>
      </c>
      <c r="I67" s="25">
        <f>829162.21*30.61%</f>
        <v>253806.55248099996</v>
      </c>
      <c r="J67" s="7">
        <f>J66</f>
        <v>1382</v>
      </c>
      <c r="K67" s="29">
        <f t="shared" ref="K67:K70" si="4">I67/J67</f>
        <v>183.65162987047754</v>
      </c>
      <c r="L67" s="30"/>
    </row>
    <row r="68" spans="1:13" x14ac:dyDescent="0.25">
      <c r="A68" s="74" t="s">
        <v>11</v>
      </c>
      <c r="B68" s="74"/>
      <c r="C68" s="74"/>
      <c r="D68" s="74"/>
      <c r="E68" s="74"/>
      <c r="F68" s="7" t="s">
        <v>14</v>
      </c>
      <c r="G68" s="7">
        <v>450</v>
      </c>
      <c r="H68" s="7">
        <v>42.84</v>
      </c>
      <c r="I68" s="25">
        <f>19278*30.61%</f>
        <v>5900.9957999999997</v>
      </c>
      <c r="J68" s="7">
        <f>J67</f>
        <v>1382</v>
      </c>
      <c r="K68" s="29">
        <f t="shared" si="4"/>
        <v>4.2698956584659911</v>
      </c>
      <c r="L68" s="30"/>
    </row>
    <row r="69" spans="1:13" x14ac:dyDescent="0.25">
      <c r="A69" s="74" t="s">
        <v>12</v>
      </c>
      <c r="B69" s="74"/>
      <c r="C69" s="74"/>
      <c r="D69" s="74"/>
      <c r="E69" s="74"/>
      <c r="F69" s="7" t="s">
        <v>14</v>
      </c>
      <c r="G69" s="7">
        <v>450</v>
      </c>
      <c r="H69" s="7">
        <v>62.4</v>
      </c>
      <c r="I69" s="25">
        <f>28075.5*30.61%</f>
        <v>8593.9105499999987</v>
      </c>
      <c r="J69" s="7">
        <f>J67</f>
        <v>1382</v>
      </c>
      <c r="K69" s="29">
        <f t="shared" si="4"/>
        <v>6.2184591534008673</v>
      </c>
      <c r="L69" s="30"/>
    </row>
    <row r="70" spans="1:13" x14ac:dyDescent="0.25">
      <c r="A70" s="66" t="s">
        <v>16</v>
      </c>
      <c r="B70" s="76"/>
      <c r="C70" s="76"/>
      <c r="D70" s="76"/>
      <c r="E70" s="76"/>
      <c r="F70" s="7" t="s">
        <v>14</v>
      </c>
      <c r="G70" s="7">
        <v>12</v>
      </c>
      <c r="H70" s="31">
        <v>4312.28</v>
      </c>
      <c r="I70" s="25">
        <f>51747.36*30.61%</f>
        <v>15839.866896</v>
      </c>
      <c r="J70" s="7">
        <f>J69</f>
        <v>1382</v>
      </c>
      <c r="K70" s="29">
        <f t="shared" si="4"/>
        <v>11.46155347033285</v>
      </c>
      <c r="L70" s="30"/>
    </row>
    <row r="71" spans="1:13" x14ac:dyDescent="0.25">
      <c r="A71" s="75" t="s">
        <v>53</v>
      </c>
      <c r="B71" s="80"/>
      <c r="C71" s="80"/>
      <c r="D71" s="80"/>
      <c r="E71" s="80"/>
      <c r="F71" s="80"/>
      <c r="G71" s="80"/>
      <c r="H71" s="80"/>
      <c r="I71" s="2">
        <f>SUM(I66:I70)</f>
        <v>389592.77572699991</v>
      </c>
      <c r="J71" s="46">
        <f>J70</f>
        <v>1382</v>
      </c>
      <c r="K71" s="2">
        <f>I71/J71</f>
        <v>281.90504755933421</v>
      </c>
      <c r="L71" s="30"/>
    </row>
    <row r="72" spans="1:13" ht="12" customHeight="1" x14ac:dyDescent="0.25"/>
    <row r="73" spans="1:13" x14ac:dyDescent="0.25">
      <c r="A73" s="73" t="s">
        <v>15</v>
      </c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</row>
    <row r="74" spans="1:13" ht="45" x14ac:dyDescent="0.25">
      <c r="A74" s="69" t="s">
        <v>19</v>
      </c>
      <c r="B74" s="70"/>
      <c r="C74" s="70"/>
      <c r="D74" s="70"/>
      <c r="E74" s="71"/>
      <c r="F74" s="53" t="s">
        <v>7</v>
      </c>
      <c r="G74" s="53" t="s">
        <v>65</v>
      </c>
      <c r="H74" s="53" t="s">
        <v>64</v>
      </c>
      <c r="I74" s="53" t="s">
        <v>72</v>
      </c>
      <c r="J74" s="53" t="s">
        <v>68</v>
      </c>
      <c r="K74" s="27" t="s">
        <v>69</v>
      </c>
      <c r="L74" s="28"/>
    </row>
    <row r="75" spans="1:13" x14ac:dyDescent="0.25">
      <c r="A75" s="74" t="s">
        <v>56</v>
      </c>
      <c r="B75" s="74"/>
      <c r="C75" s="74"/>
      <c r="D75" s="74"/>
      <c r="E75" s="74"/>
      <c r="F75" s="7" t="s">
        <v>17</v>
      </c>
      <c r="G75" s="7">
        <v>6200</v>
      </c>
      <c r="H75" s="7"/>
      <c r="I75" s="7">
        <f>74400*30.61%</f>
        <v>22773.84</v>
      </c>
      <c r="J75" s="7">
        <f>J71</f>
        <v>1382</v>
      </c>
      <c r="K75" s="52">
        <f t="shared" ref="K75:K79" si="5">I75/J75</f>
        <v>16.478900144717802</v>
      </c>
      <c r="L75" s="30"/>
    </row>
    <row r="76" spans="1:13" ht="15" customHeight="1" x14ac:dyDescent="0.25">
      <c r="A76" s="72" t="s">
        <v>55</v>
      </c>
      <c r="B76" s="72"/>
      <c r="C76" s="72"/>
      <c r="D76" s="72"/>
      <c r="E76" s="72"/>
      <c r="F76" s="7" t="s">
        <v>17</v>
      </c>
      <c r="G76" s="7">
        <v>773.4</v>
      </c>
      <c r="H76" s="7"/>
      <c r="I76" s="7">
        <f>9280.8*30.61%</f>
        <v>2840.8528799999995</v>
      </c>
      <c r="J76" s="7">
        <f>J75</f>
        <v>1382</v>
      </c>
      <c r="K76" s="52">
        <f t="shared" si="5"/>
        <v>2.0556098986975395</v>
      </c>
      <c r="L76" s="30"/>
    </row>
    <row r="77" spans="1:13" ht="16.5" customHeight="1" x14ac:dyDescent="0.25">
      <c r="A77" s="74" t="s">
        <v>98</v>
      </c>
      <c r="B77" s="74"/>
      <c r="C77" s="74"/>
      <c r="D77" s="74"/>
      <c r="E77" s="74"/>
      <c r="F77" s="7" t="s">
        <v>17</v>
      </c>
      <c r="G77" s="7">
        <v>2000</v>
      </c>
      <c r="H77" s="7"/>
      <c r="I77" s="7">
        <f>24000*30.61%</f>
        <v>7346.4</v>
      </c>
      <c r="J77" s="7">
        <f>J76</f>
        <v>1382</v>
      </c>
      <c r="K77" s="52">
        <f t="shared" si="5"/>
        <v>5.3157742402315487</v>
      </c>
      <c r="L77" s="30"/>
    </row>
    <row r="78" spans="1:13" ht="16.5" customHeight="1" x14ac:dyDescent="0.25">
      <c r="A78" s="72" t="s">
        <v>94</v>
      </c>
      <c r="B78" s="72"/>
      <c r="C78" s="72"/>
      <c r="D78" s="72"/>
      <c r="E78" s="72"/>
      <c r="F78" s="7" t="s">
        <v>17</v>
      </c>
      <c r="G78" s="7">
        <v>2100</v>
      </c>
      <c r="H78" s="7"/>
      <c r="I78" s="7">
        <f>25200*30.61%</f>
        <v>7713.7199999999993</v>
      </c>
      <c r="J78" s="7">
        <f>J76</f>
        <v>1382</v>
      </c>
      <c r="K78" s="52">
        <f t="shared" si="5"/>
        <v>5.5815629522431252</v>
      </c>
      <c r="L78" s="30"/>
    </row>
    <row r="79" spans="1:13" ht="15" hidden="1" customHeight="1" x14ac:dyDescent="0.25">
      <c r="A79" s="72" t="s">
        <v>99</v>
      </c>
      <c r="B79" s="72"/>
      <c r="C79" s="72"/>
      <c r="D79" s="72"/>
      <c r="E79" s="72"/>
      <c r="F79" s="7" t="s">
        <v>17</v>
      </c>
      <c r="G79" s="7"/>
      <c r="H79" s="7"/>
      <c r="I79" s="7">
        <v>0</v>
      </c>
      <c r="J79" s="7">
        <f>J76</f>
        <v>1382</v>
      </c>
      <c r="K79" s="52">
        <f t="shared" si="5"/>
        <v>0</v>
      </c>
      <c r="L79" s="30"/>
    </row>
    <row r="80" spans="1:13" s="9" customFormat="1" ht="18.75" customHeight="1" x14ac:dyDescent="0.25">
      <c r="A80" s="75" t="s">
        <v>18</v>
      </c>
      <c r="B80" s="80"/>
      <c r="C80" s="80"/>
      <c r="D80" s="80"/>
      <c r="E80" s="80"/>
      <c r="F80" s="80"/>
      <c r="G80" s="80"/>
      <c r="H80" s="91"/>
      <c r="I80" s="2">
        <f>SUM(I75:I79)</f>
        <v>40674.812879999998</v>
      </c>
      <c r="J80" s="46">
        <f>J77</f>
        <v>1382</v>
      </c>
      <c r="K80" s="4">
        <f>I80/J80</f>
        <v>29.431847235890015</v>
      </c>
      <c r="L80" s="30"/>
      <c r="M80" s="8"/>
    </row>
    <row r="81" spans="1:13" ht="12.75" customHeight="1" x14ac:dyDescent="0.25"/>
    <row r="82" spans="1:13" x14ac:dyDescent="0.25">
      <c r="A82" s="73" t="s">
        <v>73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</row>
    <row r="83" spans="1:13" ht="60" customHeight="1" x14ac:dyDescent="0.25">
      <c r="A83" s="69" t="s">
        <v>19</v>
      </c>
      <c r="B83" s="70"/>
      <c r="C83" s="70"/>
      <c r="D83" s="70"/>
      <c r="E83" s="71"/>
      <c r="F83" s="53" t="s">
        <v>7</v>
      </c>
      <c r="G83" s="53" t="s">
        <v>65</v>
      </c>
      <c r="H83" s="53" t="s">
        <v>64</v>
      </c>
      <c r="I83" s="53" t="s">
        <v>72</v>
      </c>
      <c r="J83" s="53" t="s">
        <v>68</v>
      </c>
      <c r="K83" s="24" t="s">
        <v>69</v>
      </c>
      <c r="L83" s="33"/>
    </row>
    <row r="84" spans="1:13" ht="34.5" customHeight="1" x14ac:dyDescent="0.25">
      <c r="A84" s="81" t="s">
        <v>100</v>
      </c>
      <c r="B84" s="82"/>
      <c r="C84" s="82"/>
      <c r="D84" s="82"/>
      <c r="E84" s="83"/>
      <c r="F84" s="7" t="s">
        <v>17</v>
      </c>
      <c r="G84" s="7">
        <v>11</v>
      </c>
      <c r="H84" s="7">
        <v>4116.8999999999996</v>
      </c>
      <c r="I84" s="7">
        <f>45285.9*30.61%+3.2</f>
        <v>13865.21399</v>
      </c>
      <c r="J84" s="7">
        <f>J79</f>
        <v>1382</v>
      </c>
      <c r="K84" s="7">
        <f t="shared" ref="K84:K85" si="6">I84/J84</f>
        <v>10.032716345875542</v>
      </c>
      <c r="L84" s="34"/>
    </row>
    <row r="85" spans="1:13" ht="18.75" customHeight="1" x14ac:dyDescent="0.25">
      <c r="A85" s="66" t="s">
        <v>101</v>
      </c>
      <c r="B85" s="76"/>
      <c r="C85" s="76"/>
      <c r="D85" s="76"/>
      <c r="E85" s="90"/>
      <c r="F85" s="7" t="s">
        <v>17</v>
      </c>
      <c r="G85" s="7"/>
      <c r="H85" s="7"/>
      <c r="I85" s="7">
        <f>15000*30.61%</f>
        <v>4591.5</v>
      </c>
      <c r="J85" s="7">
        <f>J84</f>
        <v>1382</v>
      </c>
      <c r="K85" s="7">
        <f t="shared" si="6"/>
        <v>3.3223589001447178</v>
      </c>
      <c r="L85" s="34"/>
    </row>
    <row r="86" spans="1:13" ht="18.75" customHeight="1" x14ac:dyDescent="0.25">
      <c r="A86" s="66" t="s">
        <v>102</v>
      </c>
      <c r="B86" s="67"/>
      <c r="C86" s="67"/>
      <c r="D86" s="67"/>
      <c r="E86" s="68"/>
      <c r="F86" s="7" t="s">
        <v>17</v>
      </c>
      <c r="G86" s="7"/>
      <c r="H86" s="7"/>
      <c r="I86" s="7">
        <f>10000*30.61%</f>
        <v>3061</v>
      </c>
      <c r="J86" s="7">
        <f>J78</f>
        <v>1382</v>
      </c>
      <c r="K86" s="7">
        <f>I86/J86</f>
        <v>2.214905933429812</v>
      </c>
      <c r="L86" s="34"/>
    </row>
    <row r="87" spans="1:13" ht="18.75" customHeight="1" x14ac:dyDescent="0.25">
      <c r="A87" s="66" t="s">
        <v>115</v>
      </c>
      <c r="B87" s="67"/>
      <c r="C87" s="67"/>
      <c r="D87" s="67"/>
      <c r="E87" s="68"/>
      <c r="F87" s="7" t="s">
        <v>17</v>
      </c>
      <c r="G87" s="7">
        <v>12</v>
      </c>
      <c r="H87" s="7"/>
      <c r="I87" s="7">
        <f>8280*30.61%</f>
        <v>2534.5079999999998</v>
      </c>
      <c r="J87" s="7">
        <f>J79</f>
        <v>1382</v>
      </c>
      <c r="K87" s="7">
        <f>I87/J87</f>
        <v>1.8339421128798841</v>
      </c>
      <c r="L87" s="34"/>
    </row>
    <row r="88" spans="1:13" x14ac:dyDescent="0.25">
      <c r="A88" s="75" t="s">
        <v>74</v>
      </c>
      <c r="B88" s="80"/>
      <c r="C88" s="80"/>
      <c r="D88" s="80"/>
      <c r="E88" s="80"/>
      <c r="F88" s="80"/>
      <c r="G88" s="80"/>
      <c r="H88" s="80"/>
      <c r="I88" s="5">
        <f>SUM(I84:I87)</f>
        <v>24052.221989999998</v>
      </c>
      <c r="J88" s="46">
        <f>J79</f>
        <v>1382</v>
      </c>
      <c r="K88" s="5">
        <f>I88/J88</f>
        <v>17.403923292329956</v>
      </c>
      <c r="L88" s="34"/>
    </row>
    <row r="89" spans="1:13" x14ac:dyDescent="0.25">
      <c r="A89" s="35"/>
      <c r="B89" s="35"/>
      <c r="C89" s="35"/>
      <c r="D89" s="35"/>
      <c r="E89" s="35"/>
      <c r="F89" s="35"/>
      <c r="G89" s="35"/>
      <c r="H89" s="35"/>
      <c r="I89" s="6"/>
      <c r="J89" s="6"/>
      <c r="K89" s="6"/>
      <c r="L89" s="34"/>
    </row>
    <row r="90" spans="1:13" x14ac:dyDescent="0.25">
      <c r="A90" s="73" t="s">
        <v>75</v>
      </c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</row>
    <row r="91" spans="1:13" ht="45.75" customHeight="1" x14ac:dyDescent="0.25">
      <c r="A91" s="69" t="s">
        <v>20</v>
      </c>
      <c r="B91" s="70"/>
      <c r="C91" s="70"/>
      <c r="D91" s="70"/>
      <c r="E91" s="71"/>
      <c r="F91" s="53" t="s">
        <v>7</v>
      </c>
      <c r="G91" s="53" t="s">
        <v>65</v>
      </c>
      <c r="H91" s="53" t="s">
        <v>64</v>
      </c>
      <c r="I91" s="53" t="s">
        <v>72</v>
      </c>
      <c r="J91" s="36" t="s">
        <v>68</v>
      </c>
      <c r="K91" s="24" t="s">
        <v>69</v>
      </c>
      <c r="L91" s="33"/>
      <c r="M91" s="33"/>
    </row>
    <row r="92" spans="1:13" ht="23.25" customHeight="1" x14ac:dyDescent="0.25">
      <c r="A92" s="66" t="s">
        <v>103</v>
      </c>
      <c r="B92" s="67"/>
      <c r="C92" s="67"/>
      <c r="D92" s="67"/>
      <c r="E92" s="68"/>
      <c r="F92" s="37" t="s">
        <v>106</v>
      </c>
      <c r="G92" s="7">
        <v>4</v>
      </c>
      <c r="H92" s="7">
        <v>563.75</v>
      </c>
      <c r="I92" s="7">
        <f>27059.76*30.61%</f>
        <v>8282.9925359999997</v>
      </c>
      <c r="J92" s="52">
        <f>J86</f>
        <v>1382</v>
      </c>
      <c r="K92" s="7">
        <f>I92/J92</f>
        <v>5.9934822981186686</v>
      </c>
      <c r="L92" s="34"/>
      <c r="M92" s="34"/>
    </row>
    <row r="93" spans="1:13" ht="26.25" customHeight="1" x14ac:dyDescent="0.25">
      <c r="A93" s="66" t="s">
        <v>104</v>
      </c>
      <c r="B93" s="76"/>
      <c r="C93" s="76"/>
      <c r="D93" s="76"/>
      <c r="E93" s="90"/>
      <c r="F93" s="37" t="s">
        <v>106</v>
      </c>
      <c r="G93" s="7">
        <v>1</v>
      </c>
      <c r="H93" s="7">
        <v>80.540000000000006</v>
      </c>
      <c r="I93" s="7">
        <f>966.42*30.61%</f>
        <v>295.82116199999996</v>
      </c>
      <c r="J93" s="52">
        <f>J92</f>
        <v>1382</v>
      </c>
      <c r="K93" s="7">
        <f t="shared" ref="K93:K94" si="7">I93/J93</f>
        <v>0.21405293921852384</v>
      </c>
      <c r="L93" s="34"/>
      <c r="M93" s="34"/>
    </row>
    <row r="94" spans="1:13" ht="28.5" customHeight="1" x14ac:dyDescent="0.25">
      <c r="A94" s="66" t="s">
        <v>105</v>
      </c>
      <c r="B94" s="76"/>
      <c r="C94" s="76"/>
      <c r="D94" s="76"/>
      <c r="E94" s="90"/>
      <c r="F94" s="37" t="s">
        <v>106</v>
      </c>
      <c r="G94" s="7">
        <v>1</v>
      </c>
      <c r="H94" s="7"/>
      <c r="I94" s="7">
        <f>6481.44*30.61%</f>
        <v>1983.9687839999997</v>
      </c>
      <c r="J94" s="52">
        <f>J93</f>
        <v>1382</v>
      </c>
      <c r="K94" s="7">
        <f t="shared" si="7"/>
        <v>1.4355779913169318</v>
      </c>
      <c r="L94" s="34"/>
      <c r="M94" s="34"/>
    </row>
    <row r="95" spans="1:13" ht="37.5" customHeight="1" x14ac:dyDescent="0.25">
      <c r="A95" s="66" t="s">
        <v>76</v>
      </c>
      <c r="B95" s="67"/>
      <c r="C95" s="67"/>
      <c r="D95" s="67"/>
      <c r="E95" s="68"/>
      <c r="F95" s="37" t="s">
        <v>106</v>
      </c>
      <c r="G95" s="7">
        <v>1</v>
      </c>
      <c r="H95" s="7">
        <v>1901.87</v>
      </c>
      <c r="I95" s="7">
        <f>22822.38*30.61%</f>
        <v>6985.9305180000001</v>
      </c>
      <c r="J95" s="52">
        <f>J92</f>
        <v>1382</v>
      </c>
      <c r="K95" s="7">
        <f>I95/J95</f>
        <v>5.0549424876989875</v>
      </c>
      <c r="L95" s="34"/>
      <c r="M95" s="34"/>
    </row>
    <row r="96" spans="1:13" x14ac:dyDescent="0.25">
      <c r="A96" s="75" t="s">
        <v>21</v>
      </c>
      <c r="B96" s="80"/>
      <c r="C96" s="80"/>
      <c r="D96" s="80"/>
      <c r="E96" s="80"/>
      <c r="F96" s="80"/>
      <c r="G96" s="80"/>
      <c r="H96" s="91"/>
      <c r="I96" s="5">
        <f t="shared" ref="I96" si="8">SUM(I92:I95)</f>
        <v>17548.713</v>
      </c>
      <c r="J96" s="5">
        <f>J95</f>
        <v>1382</v>
      </c>
      <c r="K96" s="5">
        <f>I96/J96</f>
        <v>12.698055716353112</v>
      </c>
      <c r="L96" s="6"/>
      <c r="M96" s="34"/>
    </row>
    <row r="97" spans="1:13" x14ac:dyDescent="0.25">
      <c r="A97" s="35"/>
      <c r="B97" s="35"/>
      <c r="C97" s="35"/>
      <c r="D97" s="35"/>
      <c r="E97" s="35"/>
      <c r="F97" s="35"/>
      <c r="G97" s="35"/>
      <c r="H97" s="35"/>
      <c r="I97" s="6"/>
      <c r="J97" s="6"/>
      <c r="K97" s="6"/>
      <c r="L97" s="6"/>
      <c r="M97" s="34"/>
    </row>
    <row r="98" spans="1:13" x14ac:dyDescent="0.25">
      <c r="A98" s="73" t="s">
        <v>37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</row>
    <row r="99" spans="1:13" ht="60.75" customHeight="1" x14ac:dyDescent="0.25">
      <c r="A99" s="69" t="s">
        <v>5</v>
      </c>
      <c r="B99" s="70"/>
      <c r="C99" s="70"/>
      <c r="D99" s="70"/>
      <c r="E99" s="71"/>
      <c r="F99" s="53" t="s">
        <v>6</v>
      </c>
      <c r="G99" s="53" t="s">
        <v>1</v>
      </c>
      <c r="H99" s="53" t="s">
        <v>66</v>
      </c>
      <c r="I99" s="53" t="s">
        <v>67</v>
      </c>
      <c r="J99" s="53" t="s">
        <v>68</v>
      </c>
      <c r="K99" s="24" t="s">
        <v>69</v>
      </c>
      <c r="L99" s="33"/>
    </row>
    <row r="100" spans="1:13" ht="15" hidden="1" customHeight="1" x14ac:dyDescent="0.25">
      <c r="A100" s="72" t="s">
        <v>3</v>
      </c>
      <c r="B100" s="72"/>
      <c r="C100" s="72"/>
      <c r="D100" s="72"/>
      <c r="E100" s="72"/>
      <c r="F100" s="38">
        <v>16626</v>
      </c>
      <c r="G100" s="7">
        <v>0.45</v>
      </c>
      <c r="H100" s="3">
        <f>F100*12*G100</f>
        <v>89780.400000000009</v>
      </c>
      <c r="I100" s="7">
        <f>H100*1.302</f>
        <v>116894.08080000001</v>
      </c>
      <c r="J100" s="7">
        <f>J95</f>
        <v>1382</v>
      </c>
      <c r="K100" s="7">
        <f>I100/J100</f>
        <v>84.583271201157757</v>
      </c>
      <c r="L100" s="34"/>
    </row>
    <row r="101" spans="1:13" ht="15" hidden="1" customHeight="1" x14ac:dyDescent="0.25">
      <c r="A101" s="72" t="s">
        <v>80</v>
      </c>
      <c r="B101" s="72"/>
      <c r="C101" s="72"/>
      <c r="D101" s="72"/>
      <c r="E101" s="72"/>
      <c r="F101" s="7">
        <v>11538</v>
      </c>
      <c r="G101" s="7">
        <v>0.45</v>
      </c>
      <c r="H101" s="3">
        <f t="shared" ref="H101:H115" si="9">F101*12*G101</f>
        <v>62305.200000000004</v>
      </c>
      <c r="I101" s="7">
        <f t="shared" ref="I101:I115" si="10">H101*1.302</f>
        <v>81121.370400000014</v>
      </c>
      <c r="J101" s="7">
        <f>J100</f>
        <v>1382</v>
      </c>
      <c r="K101" s="7">
        <f>I101/J101</f>
        <v>58.698531403762672</v>
      </c>
      <c r="L101" s="34"/>
    </row>
    <row r="102" spans="1:13" ht="15" hidden="1" customHeight="1" x14ac:dyDescent="0.25">
      <c r="A102" s="72" t="s">
        <v>42</v>
      </c>
      <c r="B102" s="72"/>
      <c r="C102" s="72"/>
      <c r="D102" s="72"/>
      <c r="E102" s="72"/>
      <c r="F102" s="7">
        <v>11538</v>
      </c>
      <c r="G102" s="7">
        <v>0.45</v>
      </c>
      <c r="H102" s="3">
        <f t="shared" si="9"/>
        <v>62305.200000000004</v>
      </c>
      <c r="I102" s="7">
        <f t="shared" si="10"/>
        <v>81121.370400000014</v>
      </c>
      <c r="J102" s="7">
        <f>J101</f>
        <v>1382</v>
      </c>
      <c r="K102" s="7">
        <f>I102/J102</f>
        <v>58.698531403762672</v>
      </c>
      <c r="L102" s="34"/>
    </row>
    <row r="103" spans="1:13" ht="15" hidden="1" customHeight="1" x14ac:dyDescent="0.25">
      <c r="A103" s="72" t="s">
        <v>44</v>
      </c>
      <c r="B103" s="72"/>
      <c r="C103" s="72"/>
      <c r="D103" s="72"/>
      <c r="E103" s="72"/>
      <c r="F103" s="7">
        <v>11538</v>
      </c>
      <c r="G103" s="7">
        <v>0.45</v>
      </c>
      <c r="H103" s="3">
        <f t="shared" si="9"/>
        <v>62305.200000000004</v>
      </c>
      <c r="I103" s="7">
        <f t="shared" si="10"/>
        <v>81121.370400000014</v>
      </c>
      <c r="J103" s="7">
        <f>J101</f>
        <v>1382</v>
      </c>
      <c r="K103" s="7">
        <f t="shared" ref="K103:K115" si="11">I103/J103</f>
        <v>58.698531403762672</v>
      </c>
      <c r="L103" s="34"/>
    </row>
    <row r="104" spans="1:13" ht="15.75" hidden="1" customHeight="1" x14ac:dyDescent="0.25">
      <c r="A104" s="72" t="s">
        <v>79</v>
      </c>
      <c r="B104" s="72"/>
      <c r="C104" s="72"/>
      <c r="D104" s="72"/>
      <c r="E104" s="72"/>
      <c r="F104" s="7">
        <v>11538</v>
      </c>
      <c r="G104" s="7">
        <v>0.45</v>
      </c>
      <c r="H104" s="3">
        <f t="shared" si="9"/>
        <v>62305.200000000004</v>
      </c>
      <c r="I104" s="7">
        <f t="shared" si="10"/>
        <v>81121.370400000014</v>
      </c>
      <c r="J104" s="7">
        <f>J102</f>
        <v>1382</v>
      </c>
      <c r="K104" s="7">
        <f t="shared" si="11"/>
        <v>58.698531403762672</v>
      </c>
      <c r="L104" s="34"/>
    </row>
    <row r="105" spans="1:13" ht="14.25" hidden="1" customHeight="1" x14ac:dyDescent="0.25">
      <c r="A105" s="72" t="s">
        <v>38</v>
      </c>
      <c r="B105" s="72"/>
      <c r="C105" s="72"/>
      <c r="D105" s="72"/>
      <c r="E105" s="72"/>
      <c r="F105" s="38">
        <v>6556</v>
      </c>
      <c r="G105" s="7">
        <v>2.25</v>
      </c>
      <c r="H105" s="3">
        <f t="shared" si="9"/>
        <v>177012</v>
      </c>
      <c r="I105" s="7">
        <f t="shared" si="10"/>
        <v>230469.62400000001</v>
      </c>
      <c r="J105" s="7">
        <f>J103</f>
        <v>1382</v>
      </c>
      <c r="K105" s="7">
        <f t="shared" si="11"/>
        <v>166.76528509406657</v>
      </c>
      <c r="L105" s="34"/>
    </row>
    <row r="106" spans="1:13" ht="15" hidden="1" customHeight="1" x14ac:dyDescent="0.25">
      <c r="A106" s="72" t="s">
        <v>82</v>
      </c>
      <c r="B106" s="72"/>
      <c r="C106" s="72"/>
      <c r="D106" s="72"/>
      <c r="E106" s="72"/>
      <c r="F106" s="38">
        <v>6556</v>
      </c>
      <c r="G106" s="7">
        <v>0.45</v>
      </c>
      <c r="H106" s="3">
        <f t="shared" si="9"/>
        <v>35402.400000000001</v>
      </c>
      <c r="I106" s="7">
        <f t="shared" si="10"/>
        <v>46093.924800000001</v>
      </c>
      <c r="J106" s="7">
        <f t="shared" ref="J106:J115" si="12">J104</f>
        <v>1382</v>
      </c>
      <c r="K106" s="7">
        <f t="shared" si="11"/>
        <v>33.353057018813317</v>
      </c>
      <c r="L106" s="34"/>
    </row>
    <row r="107" spans="1:13" ht="15" hidden="1" customHeight="1" x14ac:dyDescent="0.25">
      <c r="A107" s="72" t="s">
        <v>45</v>
      </c>
      <c r="B107" s="72"/>
      <c r="C107" s="72"/>
      <c r="D107" s="72"/>
      <c r="E107" s="72"/>
      <c r="F107" s="38">
        <v>6556</v>
      </c>
      <c r="G107" s="7">
        <v>0.45</v>
      </c>
      <c r="H107" s="3">
        <f t="shared" si="9"/>
        <v>35402.400000000001</v>
      </c>
      <c r="I107" s="7">
        <f t="shared" si="10"/>
        <v>46093.924800000001</v>
      </c>
      <c r="J107" s="7">
        <f t="shared" si="12"/>
        <v>1382</v>
      </c>
      <c r="K107" s="7">
        <f t="shared" si="11"/>
        <v>33.353057018813317</v>
      </c>
      <c r="L107" s="34"/>
    </row>
    <row r="108" spans="1:13" ht="15" hidden="1" customHeight="1" x14ac:dyDescent="0.25">
      <c r="A108" s="72" t="s">
        <v>48</v>
      </c>
      <c r="B108" s="72"/>
      <c r="C108" s="72"/>
      <c r="D108" s="72"/>
      <c r="E108" s="72"/>
      <c r="F108" s="38">
        <v>5669</v>
      </c>
      <c r="G108" s="7">
        <v>0.23</v>
      </c>
      <c r="H108" s="3">
        <f t="shared" si="9"/>
        <v>15646.44</v>
      </c>
      <c r="I108" s="7">
        <f t="shared" si="10"/>
        <v>20371.66488</v>
      </c>
      <c r="J108" s="7">
        <f t="shared" si="12"/>
        <v>1382</v>
      </c>
      <c r="K108" s="7">
        <f t="shared" si="11"/>
        <v>14.740712648335746</v>
      </c>
      <c r="L108" s="34"/>
    </row>
    <row r="109" spans="1:13" ht="15.75" hidden="1" customHeight="1" x14ac:dyDescent="0.25">
      <c r="A109" s="72" t="s">
        <v>88</v>
      </c>
      <c r="B109" s="72"/>
      <c r="C109" s="72"/>
      <c r="D109" s="72"/>
      <c r="E109" s="72"/>
      <c r="F109" s="38">
        <v>11538</v>
      </c>
      <c r="G109" s="7">
        <v>3.15</v>
      </c>
      <c r="H109" s="3">
        <f t="shared" si="9"/>
        <v>436136.39999999997</v>
      </c>
      <c r="I109" s="7">
        <f t="shared" si="10"/>
        <v>567849.59279999998</v>
      </c>
      <c r="J109" s="7">
        <f t="shared" si="12"/>
        <v>1382</v>
      </c>
      <c r="K109" s="7">
        <f t="shared" si="11"/>
        <v>410.88971982633865</v>
      </c>
      <c r="L109" s="34"/>
    </row>
    <row r="110" spans="1:13" ht="15.75" hidden="1" customHeight="1" x14ac:dyDescent="0.25">
      <c r="A110" s="72" t="s">
        <v>50</v>
      </c>
      <c r="B110" s="72"/>
      <c r="C110" s="72"/>
      <c r="D110" s="72"/>
      <c r="E110" s="72"/>
      <c r="F110" s="38">
        <v>8837</v>
      </c>
      <c r="G110" s="7">
        <v>3.6</v>
      </c>
      <c r="H110" s="3">
        <f t="shared" si="9"/>
        <v>381758.4</v>
      </c>
      <c r="I110" s="7">
        <f t="shared" si="10"/>
        <v>497049.43680000002</v>
      </c>
      <c r="J110" s="7">
        <f t="shared" si="12"/>
        <v>1382</v>
      </c>
      <c r="K110" s="7">
        <f t="shared" si="11"/>
        <v>359.65950564399424</v>
      </c>
      <c r="L110" s="34"/>
    </row>
    <row r="111" spans="1:13" ht="15.75" hidden="1" customHeight="1" x14ac:dyDescent="0.25">
      <c r="A111" s="72" t="s">
        <v>90</v>
      </c>
      <c r="B111" s="72"/>
      <c r="C111" s="72"/>
      <c r="D111" s="72"/>
      <c r="E111" s="72"/>
      <c r="F111" s="38">
        <v>11538</v>
      </c>
      <c r="G111" s="7">
        <v>0.45</v>
      </c>
      <c r="H111" s="3">
        <f t="shared" si="9"/>
        <v>62305.200000000004</v>
      </c>
      <c r="I111" s="7">
        <f t="shared" si="10"/>
        <v>81121.370400000014</v>
      </c>
      <c r="J111" s="7">
        <f t="shared" si="12"/>
        <v>1382</v>
      </c>
      <c r="K111" s="7">
        <f t="shared" si="11"/>
        <v>58.698531403762672</v>
      </c>
      <c r="L111" s="34"/>
    </row>
    <row r="112" spans="1:13" ht="15.75" hidden="1" customHeight="1" x14ac:dyDescent="0.25">
      <c r="A112" s="72" t="s">
        <v>91</v>
      </c>
      <c r="B112" s="72"/>
      <c r="C112" s="72"/>
      <c r="D112" s="72"/>
      <c r="E112" s="72"/>
      <c r="F112" s="38">
        <v>11538</v>
      </c>
      <c r="G112" s="7">
        <v>0.45</v>
      </c>
      <c r="H112" s="3">
        <f t="shared" si="9"/>
        <v>62305.200000000004</v>
      </c>
      <c r="I112" s="7">
        <f t="shared" si="10"/>
        <v>81121.370400000014</v>
      </c>
      <c r="J112" s="7">
        <f t="shared" si="12"/>
        <v>1382</v>
      </c>
      <c r="K112" s="7">
        <f t="shared" si="11"/>
        <v>58.698531403762672</v>
      </c>
      <c r="L112" s="34"/>
    </row>
    <row r="113" spans="1:13" ht="13.5" hidden="1" customHeight="1" x14ac:dyDescent="0.25">
      <c r="A113" s="72" t="s">
        <v>92</v>
      </c>
      <c r="B113" s="72"/>
      <c r="C113" s="72"/>
      <c r="D113" s="72"/>
      <c r="E113" s="72"/>
      <c r="F113" s="38">
        <v>11538</v>
      </c>
      <c r="G113" s="7">
        <v>0.45</v>
      </c>
      <c r="H113" s="3">
        <f>F113*12*G113</f>
        <v>62305.200000000004</v>
      </c>
      <c r="I113" s="7">
        <f t="shared" si="10"/>
        <v>81121.370400000014</v>
      </c>
      <c r="J113" s="7">
        <f t="shared" si="12"/>
        <v>1382</v>
      </c>
      <c r="K113" s="7">
        <f t="shared" si="11"/>
        <v>58.698531403762672</v>
      </c>
      <c r="L113" s="34"/>
    </row>
    <row r="114" spans="1:13" ht="17.25" hidden="1" customHeight="1" x14ac:dyDescent="0.25">
      <c r="A114" s="72" t="s">
        <v>52</v>
      </c>
      <c r="B114" s="72"/>
      <c r="C114" s="72"/>
      <c r="D114" s="72"/>
      <c r="E114" s="72"/>
      <c r="F114" s="38">
        <v>8837</v>
      </c>
      <c r="G114" s="7">
        <v>4.28</v>
      </c>
      <c r="H114" s="3">
        <f t="shared" si="9"/>
        <v>453868.32</v>
      </c>
      <c r="I114" s="7">
        <f t="shared" si="10"/>
        <v>590936.55264000001</v>
      </c>
      <c r="J114" s="7">
        <f t="shared" si="12"/>
        <v>1382</v>
      </c>
      <c r="K114" s="7">
        <f t="shared" si="11"/>
        <v>427.59519004341536</v>
      </c>
      <c r="L114" s="34"/>
    </row>
    <row r="115" spans="1:13" ht="17.25" hidden="1" customHeight="1" x14ac:dyDescent="0.25">
      <c r="A115" s="72" t="s">
        <v>93</v>
      </c>
      <c r="B115" s="72"/>
      <c r="C115" s="72"/>
      <c r="D115" s="72"/>
      <c r="E115" s="72"/>
      <c r="F115" s="38">
        <v>11538</v>
      </c>
      <c r="G115" s="7">
        <v>0.45</v>
      </c>
      <c r="H115" s="3">
        <f t="shared" si="9"/>
        <v>62305.200000000004</v>
      </c>
      <c r="I115" s="7">
        <f t="shared" si="10"/>
        <v>81121.370400000014</v>
      </c>
      <c r="J115" s="7">
        <f t="shared" si="12"/>
        <v>1382</v>
      </c>
      <c r="K115" s="7">
        <f t="shared" si="11"/>
        <v>58.698531403762672</v>
      </c>
      <c r="L115" s="34"/>
    </row>
    <row r="116" spans="1:13" s="9" customFormat="1" ht="20.25" customHeight="1" x14ac:dyDescent="0.25">
      <c r="A116" s="47" t="s">
        <v>22</v>
      </c>
      <c r="B116" s="48"/>
      <c r="C116" s="48"/>
      <c r="D116" s="48"/>
      <c r="E116" s="48"/>
      <c r="F116" s="2">
        <v>22559.1</v>
      </c>
      <c r="G116" s="2">
        <f>L45</f>
        <v>0.61219999999999997</v>
      </c>
      <c r="H116" s="41">
        <v>165132.60999999999</v>
      </c>
      <c r="I116" s="5">
        <f>(H116*1.302)</f>
        <v>215002.65821999998</v>
      </c>
      <c r="J116" s="5">
        <f>J96</f>
        <v>1382</v>
      </c>
      <c r="K116" s="5">
        <f>I116/J115</f>
        <v>155.57355876989868</v>
      </c>
      <c r="L116" s="34"/>
      <c r="M116" s="8"/>
    </row>
    <row r="117" spans="1:13" ht="12" customHeight="1" x14ac:dyDescent="0.25">
      <c r="F117" s="49"/>
      <c r="G117" s="49"/>
      <c r="H117" s="49"/>
      <c r="I117" s="49"/>
      <c r="J117" s="49"/>
      <c r="K117" s="49"/>
      <c r="L117" s="49"/>
    </row>
    <row r="118" spans="1:13" s="9" customFormat="1" x14ac:dyDescent="0.25">
      <c r="A118" s="78" t="s">
        <v>77</v>
      </c>
      <c r="B118" s="78"/>
      <c r="C118" s="78"/>
      <c r="D118" s="78"/>
      <c r="E118" s="78"/>
      <c r="F118" s="78"/>
      <c r="G118" s="78"/>
      <c r="H118" s="78"/>
      <c r="I118" s="78"/>
      <c r="J118" s="78"/>
      <c r="K118" s="78"/>
      <c r="L118" s="84"/>
      <c r="M118" s="8"/>
    </row>
    <row r="119" spans="1:13" s="9" customFormat="1" ht="44.25" customHeight="1" x14ac:dyDescent="0.25">
      <c r="A119" s="79" t="s">
        <v>54</v>
      </c>
      <c r="B119" s="79"/>
      <c r="C119" s="79"/>
      <c r="D119" s="79"/>
      <c r="E119" s="79"/>
      <c r="F119" s="53" t="s">
        <v>7</v>
      </c>
      <c r="G119" s="53" t="s">
        <v>65</v>
      </c>
      <c r="H119" s="53" t="s">
        <v>64</v>
      </c>
      <c r="I119" s="53" t="s">
        <v>72</v>
      </c>
      <c r="J119" s="53" t="s">
        <v>68</v>
      </c>
      <c r="K119" s="27" t="s">
        <v>69</v>
      </c>
      <c r="L119" s="28"/>
      <c r="M119" s="8"/>
    </row>
    <row r="120" spans="1:13" s="9" customFormat="1" ht="23.25" customHeight="1" x14ac:dyDescent="0.25">
      <c r="A120" s="66" t="s">
        <v>107</v>
      </c>
      <c r="B120" s="67"/>
      <c r="C120" s="67"/>
      <c r="D120" s="67"/>
      <c r="E120" s="68"/>
      <c r="F120" s="53"/>
      <c r="G120" s="43"/>
      <c r="H120" s="43"/>
      <c r="I120" s="43">
        <f>68360*30.61%</f>
        <v>20924.995999999999</v>
      </c>
      <c r="J120" s="43">
        <f>J116</f>
        <v>1382</v>
      </c>
      <c r="K120" s="52">
        <f>I120/J120</f>
        <v>15.141096960926193</v>
      </c>
      <c r="L120" s="28"/>
      <c r="M120" s="8"/>
    </row>
    <row r="121" spans="1:13" s="9" customFormat="1" ht="30.75" hidden="1" customHeight="1" x14ac:dyDescent="0.25">
      <c r="A121" s="81" t="s">
        <v>108</v>
      </c>
      <c r="B121" s="82"/>
      <c r="C121" s="82"/>
      <c r="D121" s="82"/>
      <c r="E121" s="83"/>
      <c r="F121" s="53"/>
      <c r="G121" s="43"/>
      <c r="H121" s="43"/>
      <c r="I121" s="43">
        <v>0</v>
      </c>
      <c r="J121" s="43">
        <f>J120</f>
        <v>1382</v>
      </c>
      <c r="K121" s="52">
        <f t="shared" ref="K121" si="13">I121/J121</f>
        <v>0</v>
      </c>
      <c r="L121" s="28"/>
      <c r="M121" s="8"/>
    </row>
    <row r="122" spans="1:13" s="9" customFormat="1" x14ac:dyDescent="0.25">
      <c r="A122" s="75" t="s">
        <v>78</v>
      </c>
      <c r="B122" s="80"/>
      <c r="C122" s="80"/>
      <c r="D122" s="80"/>
      <c r="E122" s="80"/>
      <c r="F122" s="80"/>
      <c r="G122" s="80"/>
      <c r="H122" s="80"/>
      <c r="I122" s="5">
        <f>SUM(I120:I121)</f>
        <v>20924.995999999999</v>
      </c>
      <c r="J122" s="5">
        <f>J121</f>
        <v>1382</v>
      </c>
      <c r="K122" s="5">
        <f>I122/J122</f>
        <v>15.141096960926193</v>
      </c>
      <c r="L122" s="30"/>
      <c r="M122" s="8"/>
    </row>
    <row r="123" spans="1:13" ht="12" customHeight="1" x14ac:dyDescent="0.25">
      <c r="F123" s="49"/>
      <c r="G123" s="49"/>
      <c r="H123" s="49"/>
      <c r="I123" s="49"/>
      <c r="J123" s="49"/>
      <c r="K123" s="49"/>
      <c r="L123" s="49"/>
    </row>
    <row r="124" spans="1:13" s="9" customFormat="1" x14ac:dyDescent="0.25">
      <c r="A124" s="78" t="s">
        <v>109</v>
      </c>
      <c r="B124" s="78"/>
      <c r="C124" s="78"/>
      <c r="D124" s="78"/>
      <c r="E124" s="78"/>
      <c r="F124" s="78"/>
      <c r="G124" s="78"/>
      <c r="H124" s="78"/>
      <c r="I124" s="78"/>
      <c r="J124" s="78"/>
      <c r="K124" s="78"/>
      <c r="L124" s="84"/>
      <c r="M124" s="8"/>
    </row>
    <row r="125" spans="1:13" s="9" customFormat="1" ht="44.25" customHeight="1" x14ac:dyDescent="0.25">
      <c r="A125" s="79" t="s">
        <v>54</v>
      </c>
      <c r="B125" s="79"/>
      <c r="C125" s="79"/>
      <c r="D125" s="79"/>
      <c r="E125" s="79"/>
      <c r="F125" s="53" t="s">
        <v>7</v>
      </c>
      <c r="G125" s="53" t="s">
        <v>65</v>
      </c>
      <c r="H125" s="53" t="s">
        <v>64</v>
      </c>
      <c r="I125" s="53" t="s">
        <v>72</v>
      </c>
      <c r="J125" s="53" t="s">
        <v>68</v>
      </c>
      <c r="K125" s="27" t="s">
        <v>69</v>
      </c>
      <c r="L125" s="28"/>
      <c r="M125" s="8"/>
    </row>
    <row r="126" spans="1:13" s="9" customFormat="1" ht="23.25" customHeight="1" x14ac:dyDescent="0.25">
      <c r="A126" s="66" t="s">
        <v>110</v>
      </c>
      <c r="B126" s="67"/>
      <c r="C126" s="67"/>
      <c r="D126" s="67"/>
      <c r="E126" s="68"/>
      <c r="F126" s="53"/>
      <c r="G126" s="43"/>
      <c r="H126" s="43"/>
      <c r="I126" s="43">
        <f>108400*30.61%</f>
        <v>33181.24</v>
      </c>
      <c r="J126" s="43">
        <f>J122</f>
        <v>1382</v>
      </c>
      <c r="K126" s="52">
        <f>I126/J126</f>
        <v>24.009580318379157</v>
      </c>
      <c r="L126" s="28"/>
      <c r="M126" s="8"/>
    </row>
    <row r="127" spans="1:13" s="9" customFormat="1" x14ac:dyDescent="0.25">
      <c r="A127" s="75" t="s">
        <v>111</v>
      </c>
      <c r="B127" s="80"/>
      <c r="C127" s="80"/>
      <c r="D127" s="80"/>
      <c r="E127" s="80"/>
      <c r="F127" s="80"/>
      <c r="G127" s="80"/>
      <c r="H127" s="80"/>
      <c r="I127" s="5">
        <f>SUM(I126:I126)</f>
        <v>33181.24</v>
      </c>
      <c r="J127" s="5">
        <f>J126</f>
        <v>1382</v>
      </c>
      <c r="K127" s="5">
        <f>I127/J127</f>
        <v>24.009580318379157</v>
      </c>
      <c r="L127" s="30"/>
      <c r="M127" s="8"/>
    </row>
    <row r="128" spans="1:13" s="9" customFormat="1" x14ac:dyDescent="0.25">
      <c r="A128" s="44"/>
      <c r="B128" s="44"/>
      <c r="C128" s="44"/>
      <c r="D128" s="44"/>
      <c r="E128" s="44"/>
      <c r="F128" s="44"/>
      <c r="G128" s="44"/>
      <c r="H128" s="44"/>
      <c r="I128" s="15"/>
      <c r="J128" s="15"/>
      <c r="K128" s="15"/>
      <c r="L128" s="34"/>
      <c r="M128" s="8"/>
    </row>
    <row r="129" spans="1:12" ht="12.75" customHeight="1" x14ac:dyDescent="0.25">
      <c r="A129" s="78" t="s">
        <v>23</v>
      </c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78"/>
    </row>
    <row r="130" spans="1:12" ht="15" customHeight="1" x14ac:dyDescent="0.25">
      <c r="A130" s="77" t="s">
        <v>24</v>
      </c>
      <c r="B130" s="77"/>
      <c r="C130" s="77"/>
      <c r="D130" s="69" t="s">
        <v>25</v>
      </c>
      <c r="E130" s="70"/>
      <c r="F130" s="70"/>
      <c r="G130" s="70"/>
      <c r="H130" s="70"/>
      <c r="I130" s="70"/>
      <c r="J130" s="71"/>
      <c r="K130" s="77" t="s">
        <v>36</v>
      </c>
      <c r="L130" s="77"/>
    </row>
    <row r="131" spans="1:12" ht="30" x14ac:dyDescent="0.25">
      <c r="A131" s="7" t="s">
        <v>26</v>
      </c>
      <c r="B131" s="25" t="s">
        <v>27</v>
      </c>
      <c r="C131" s="7" t="s">
        <v>28</v>
      </c>
      <c r="D131" s="7" t="s">
        <v>29</v>
      </c>
      <c r="E131" s="7" t="s">
        <v>30</v>
      </c>
      <c r="F131" s="7" t="s">
        <v>31</v>
      </c>
      <c r="G131" s="7" t="s">
        <v>32</v>
      </c>
      <c r="H131" s="7" t="s">
        <v>33</v>
      </c>
      <c r="I131" s="7" t="s">
        <v>34</v>
      </c>
      <c r="J131" s="7" t="s">
        <v>35</v>
      </c>
      <c r="K131" s="77"/>
      <c r="L131" s="77"/>
    </row>
    <row r="132" spans="1:12" x14ac:dyDescent="0.25">
      <c r="A132" s="7">
        <f>K62</f>
        <v>4161.5940749348774</v>
      </c>
      <c r="B132" s="7"/>
      <c r="C132" s="7"/>
      <c r="D132" s="7">
        <f>K71</f>
        <v>281.90504755933421</v>
      </c>
      <c r="E132" s="7">
        <f>K80</f>
        <v>29.431847235890015</v>
      </c>
      <c r="F132" s="7"/>
      <c r="G132" s="7">
        <f>K96</f>
        <v>12.698055716353112</v>
      </c>
      <c r="H132" s="7"/>
      <c r="I132" s="7">
        <f>K116</f>
        <v>155.57355876989868</v>
      </c>
      <c r="J132" s="7">
        <f>K122+K127+K88</f>
        <v>56.554600571635305</v>
      </c>
      <c r="K132" s="88">
        <f>SUM(A132:J132)</f>
        <v>4697.7571847879881</v>
      </c>
      <c r="L132" s="89"/>
    </row>
    <row r="133" spans="1:12" ht="13.5" customHeight="1" x14ac:dyDescent="0.25"/>
    <row r="134" spans="1:12" ht="15.75" x14ac:dyDescent="0.25">
      <c r="A134" s="16" t="s">
        <v>60</v>
      </c>
      <c r="B134" s="16"/>
      <c r="C134" s="16"/>
      <c r="D134" s="16"/>
      <c r="E134" s="16"/>
      <c r="F134" s="16" t="s">
        <v>61</v>
      </c>
    </row>
    <row r="135" spans="1:12" ht="15.75" customHeight="1" x14ac:dyDescent="0.25">
      <c r="I135" s="11">
        <f>I122+I96+I88+I80+I71+I62+I127+I116</f>
        <v>6492300.4293769998</v>
      </c>
      <c r="J135" s="10"/>
      <c r="K135" s="11">
        <f>K132*J126</f>
        <v>6492300.4293769998</v>
      </c>
      <c r="L135" s="12"/>
    </row>
    <row r="136" spans="1:12" ht="10.5" customHeight="1" x14ac:dyDescent="0.25"/>
    <row r="137" spans="1:12" hidden="1" x14ac:dyDescent="0.25"/>
    <row r="138" spans="1:12" hidden="1" x14ac:dyDescent="0.25"/>
    <row r="139" spans="1:12" ht="13.5" customHeight="1" x14ac:dyDescent="0.25">
      <c r="A139" s="45" t="s">
        <v>112</v>
      </c>
      <c r="B139" s="45"/>
      <c r="C139" s="45"/>
    </row>
    <row r="140" spans="1:12" x14ac:dyDescent="0.25">
      <c r="A140" s="45" t="s">
        <v>62</v>
      </c>
      <c r="B140" s="45"/>
      <c r="C140" s="45"/>
    </row>
  </sheetData>
  <mergeCells count="140">
    <mergeCell ref="A42:E42"/>
    <mergeCell ref="A43:E43"/>
    <mergeCell ref="A44:E44"/>
    <mergeCell ref="A45:E45"/>
    <mergeCell ref="G45:K45"/>
    <mergeCell ref="G31:K31"/>
    <mergeCell ref="A37:E37"/>
    <mergeCell ref="A38:E38"/>
    <mergeCell ref="A39:E39"/>
    <mergeCell ref="A40:E40"/>
    <mergeCell ref="A41:E41"/>
    <mergeCell ref="A32:E32"/>
    <mergeCell ref="A33:E33"/>
    <mergeCell ref="A34:E34"/>
    <mergeCell ref="A35:E35"/>
    <mergeCell ref="A36:E36"/>
    <mergeCell ref="A27:E27"/>
    <mergeCell ref="G27:K27"/>
    <mergeCell ref="A28:E28"/>
    <mergeCell ref="G28:K28"/>
    <mergeCell ref="A29:E29"/>
    <mergeCell ref="G29:K29"/>
    <mergeCell ref="A30:E30"/>
    <mergeCell ref="G30:K30"/>
    <mergeCell ref="A31:E31"/>
    <mergeCell ref="G22:K22"/>
    <mergeCell ref="A23:E23"/>
    <mergeCell ref="G23:K23"/>
    <mergeCell ref="A24:E24"/>
    <mergeCell ref="G24:K24"/>
    <mergeCell ref="A25:E25"/>
    <mergeCell ref="G25:K25"/>
    <mergeCell ref="A26:E26"/>
    <mergeCell ref="G26:K26"/>
    <mergeCell ref="K132:L132"/>
    <mergeCell ref="A87:E87"/>
    <mergeCell ref="A125:E125"/>
    <mergeCell ref="A126:E126"/>
    <mergeCell ref="A127:H127"/>
    <mergeCell ref="A129:L129"/>
    <mergeCell ref="A130:C130"/>
    <mergeCell ref="D130:J130"/>
    <mergeCell ref="K130:L131"/>
    <mergeCell ref="A118:L118"/>
    <mergeCell ref="A119:E119"/>
    <mergeCell ref="A120:E120"/>
    <mergeCell ref="A121:E121"/>
    <mergeCell ref="A122:H122"/>
    <mergeCell ref="A124:L124"/>
    <mergeCell ref="A110:E110"/>
    <mergeCell ref="A111:E111"/>
    <mergeCell ref="A112:E112"/>
    <mergeCell ref="A113:E113"/>
    <mergeCell ref="A114:E114"/>
    <mergeCell ref="A115:E115"/>
    <mergeCell ref="A104:E104"/>
    <mergeCell ref="A105:E105"/>
    <mergeCell ref="A106:E106"/>
    <mergeCell ref="A107:E107"/>
    <mergeCell ref="A108:E108"/>
    <mergeCell ref="A109:E109"/>
    <mergeCell ref="A98:L98"/>
    <mergeCell ref="A99:E99"/>
    <mergeCell ref="A100:E100"/>
    <mergeCell ref="A101:E101"/>
    <mergeCell ref="A102:E102"/>
    <mergeCell ref="A103:E103"/>
    <mergeCell ref="A91:E91"/>
    <mergeCell ref="A92:E92"/>
    <mergeCell ref="A93:E93"/>
    <mergeCell ref="A94:E94"/>
    <mergeCell ref="A95:E95"/>
    <mergeCell ref="A96:H96"/>
    <mergeCell ref="A83:E83"/>
    <mergeCell ref="A84:E84"/>
    <mergeCell ref="A85:E85"/>
    <mergeCell ref="A86:E86"/>
    <mergeCell ref="A88:H88"/>
    <mergeCell ref="A90:L90"/>
    <mergeCell ref="A76:E76"/>
    <mergeCell ref="A77:E77"/>
    <mergeCell ref="A78:E78"/>
    <mergeCell ref="A79:E79"/>
    <mergeCell ref="A80:H80"/>
    <mergeCell ref="A82:L82"/>
    <mergeCell ref="A69:E69"/>
    <mergeCell ref="A70:E70"/>
    <mergeCell ref="A71:H71"/>
    <mergeCell ref="A73:L73"/>
    <mergeCell ref="A74:E74"/>
    <mergeCell ref="A75:E75"/>
    <mergeCell ref="A62:E62"/>
    <mergeCell ref="A64:L64"/>
    <mergeCell ref="A65:E65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48:E48"/>
    <mergeCell ref="A49:E49"/>
    <mergeCell ref="A22:E22"/>
    <mergeCell ref="A19:E19"/>
    <mergeCell ref="G19:K19"/>
    <mergeCell ref="A20:E20"/>
    <mergeCell ref="G20:K20"/>
    <mergeCell ref="A21:E21"/>
    <mergeCell ref="G21:K21"/>
    <mergeCell ref="A17:E17"/>
    <mergeCell ref="G17:K17"/>
    <mergeCell ref="A18:E18"/>
    <mergeCell ref="G18:K18"/>
    <mergeCell ref="A4:F4"/>
    <mergeCell ref="A5:D5"/>
    <mergeCell ref="A7:L7"/>
    <mergeCell ref="A8:L8"/>
    <mergeCell ref="A9:L9"/>
    <mergeCell ref="A16:E16"/>
    <mergeCell ref="G16:K16"/>
    <mergeCell ref="G41:K41"/>
    <mergeCell ref="G42:K42"/>
    <mergeCell ref="G32:K32"/>
    <mergeCell ref="G33:K33"/>
    <mergeCell ref="G34:K34"/>
    <mergeCell ref="G35:K35"/>
    <mergeCell ref="G36:K36"/>
    <mergeCell ref="G37:K37"/>
    <mergeCell ref="G38:K38"/>
    <mergeCell ref="G39:K39"/>
    <mergeCell ref="G40:K40"/>
  </mergeCells>
  <pageMargins left="0.35433070866141736" right="0.35433070866141736" top="0.35433070866141736" bottom="0.35433070866141736" header="0.31496062992125984" footer="0.31496062992125984"/>
  <pageSetup paperSize="9" scale="78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0"/>
  <sheetViews>
    <sheetView topLeftCell="A15" zoomScale="90" zoomScaleNormal="90" workbookViewId="0">
      <selection activeCell="I80" sqref="I80"/>
    </sheetView>
  </sheetViews>
  <sheetFormatPr defaultRowHeight="15" x14ac:dyDescent="0.25"/>
  <cols>
    <col min="1" max="3" width="9.140625" style="8" customWidth="1"/>
    <col min="4" max="4" width="8.140625" style="8" customWidth="1"/>
    <col min="5" max="5" width="16.42578125" style="8" customWidth="1"/>
    <col min="6" max="6" width="13.42578125" style="8" customWidth="1"/>
    <col min="7" max="7" width="13.7109375" style="8" customWidth="1"/>
    <col min="8" max="8" width="17.42578125" style="8" customWidth="1"/>
    <col min="9" max="10" width="13.7109375" style="8" customWidth="1"/>
    <col min="11" max="11" width="13.85546875" style="8" customWidth="1"/>
    <col min="12" max="12" width="12.7109375" style="8" customWidth="1"/>
    <col min="13" max="13" width="13.5703125" style="8" customWidth="1"/>
    <col min="14" max="16384" width="9.140625" style="8"/>
  </cols>
  <sheetData>
    <row r="1" spans="1:12" ht="15.75" x14ac:dyDescent="0.25">
      <c r="A1" s="16" t="s">
        <v>57</v>
      </c>
      <c r="B1" s="16"/>
      <c r="C1" s="16"/>
      <c r="D1" s="1"/>
    </row>
    <row r="2" spans="1:12" ht="15.75" x14ac:dyDescent="0.25">
      <c r="A2" s="17" t="s">
        <v>58</v>
      </c>
      <c r="B2" s="17"/>
      <c r="C2" s="17"/>
      <c r="D2" s="1"/>
    </row>
    <row r="3" spans="1:12" ht="15.75" x14ac:dyDescent="0.25">
      <c r="A3" s="18"/>
      <c r="B3" s="18"/>
      <c r="C3" s="18"/>
      <c r="D3" s="1"/>
    </row>
    <row r="4" spans="1:12" ht="15.75" x14ac:dyDescent="0.25">
      <c r="A4" s="85" t="s">
        <v>59</v>
      </c>
      <c r="B4" s="85"/>
      <c r="C4" s="85"/>
      <c r="D4" s="86"/>
      <c r="E4" s="86"/>
      <c r="F4" s="86"/>
    </row>
    <row r="5" spans="1:12" ht="15.75" x14ac:dyDescent="0.25">
      <c r="A5" s="87" t="s">
        <v>113</v>
      </c>
      <c r="B5" s="87"/>
      <c r="C5" s="87"/>
      <c r="D5" s="86"/>
    </row>
    <row r="6" spans="1:12" ht="15.75" x14ac:dyDescent="0.25">
      <c r="A6" s="51"/>
      <c r="B6" s="51"/>
      <c r="C6" s="51"/>
      <c r="D6" s="50"/>
    </row>
    <row r="7" spans="1:12" s="21" customFormat="1" x14ac:dyDescent="0.25">
      <c r="A7" s="65" t="s">
        <v>63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</row>
    <row r="8" spans="1:12" s="21" customFormat="1" x14ac:dyDescent="0.25">
      <c r="A8" s="65" t="s">
        <v>97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12" s="21" customFormat="1" ht="13.5" customHeight="1" x14ac:dyDescent="0.25">
      <c r="A9" s="65" t="s">
        <v>114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12" ht="10.5" customHeight="1" x14ac:dyDescent="0.25"/>
    <row r="11" spans="1:12" x14ac:dyDescent="0.25">
      <c r="A11" s="92" t="s">
        <v>116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93"/>
    </row>
    <row r="12" spans="1:12" x14ac:dyDescent="0.25">
      <c r="A12" s="93" t="s">
        <v>122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93"/>
    </row>
    <row r="13" spans="1:12" x14ac:dyDescent="0.25">
      <c r="A13" s="92" t="s">
        <v>118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93"/>
    </row>
    <row r="14" spans="1:12" x14ac:dyDescent="0.25">
      <c r="A14" s="92" t="s">
        <v>123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</row>
    <row r="15" spans="1:12" x14ac:dyDescent="0.25">
      <c r="A15" s="92" t="s">
        <v>120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</row>
    <row r="16" spans="1:12" ht="33" customHeight="1" x14ac:dyDescent="0.25">
      <c r="A16" s="94" t="s">
        <v>0</v>
      </c>
      <c r="B16" s="94"/>
      <c r="C16" s="94"/>
      <c r="D16" s="94"/>
      <c r="E16" s="94"/>
      <c r="F16" s="58" t="s">
        <v>1</v>
      </c>
      <c r="G16" s="94" t="s">
        <v>2</v>
      </c>
      <c r="H16" s="94"/>
      <c r="I16" s="94"/>
      <c r="J16" s="94"/>
      <c r="K16" s="94"/>
      <c r="L16" s="58" t="s">
        <v>1</v>
      </c>
    </row>
    <row r="17" spans="1:12" ht="15" hidden="1" customHeight="1" x14ac:dyDescent="0.25">
      <c r="A17" s="61" t="s">
        <v>41</v>
      </c>
      <c r="B17" s="61"/>
      <c r="C17" s="61"/>
      <c r="D17" s="61"/>
      <c r="E17" s="61"/>
      <c r="F17" s="38"/>
      <c r="G17" s="61" t="s">
        <v>3</v>
      </c>
      <c r="H17" s="61"/>
      <c r="I17" s="61"/>
      <c r="J17" s="61"/>
      <c r="K17" s="61"/>
      <c r="L17" s="38">
        <v>0</v>
      </c>
    </row>
    <row r="18" spans="1:12" s="93" customFormat="1" ht="29.25" customHeight="1" x14ac:dyDescent="0.25">
      <c r="A18" s="95" t="s">
        <v>43</v>
      </c>
      <c r="B18" s="95"/>
      <c r="C18" s="95"/>
      <c r="D18" s="95"/>
      <c r="E18" s="95"/>
      <c r="F18" s="38">
        <f>1*33.33%</f>
        <v>0.33329999999999999</v>
      </c>
      <c r="G18" s="95" t="s">
        <v>3</v>
      </c>
      <c r="H18" s="95"/>
      <c r="I18" s="95"/>
      <c r="J18" s="95"/>
      <c r="K18" s="95"/>
      <c r="L18" s="38">
        <f>1*33.33%</f>
        <v>0.33329999999999999</v>
      </c>
    </row>
    <row r="19" spans="1:12" s="93" customFormat="1" ht="15" customHeight="1" x14ac:dyDescent="0.25">
      <c r="A19" s="95" t="s">
        <v>81</v>
      </c>
      <c r="B19" s="95"/>
      <c r="C19" s="95"/>
      <c r="D19" s="95"/>
      <c r="E19" s="95"/>
      <c r="F19" s="38">
        <f>1*33.33%</f>
        <v>0.33329999999999999</v>
      </c>
      <c r="G19" s="95" t="s">
        <v>41</v>
      </c>
      <c r="H19" s="95"/>
      <c r="I19" s="95"/>
      <c r="J19" s="95"/>
      <c r="K19" s="95"/>
      <c r="L19" s="38">
        <f>1*33.33%</f>
        <v>0.33329999999999999</v>
      </c>
    </row>
    <row r="20" spans="1:12" s="93" customFormat="1" ht="15" customHeight="1" x14ac:dyDescent="0.25">
      <c r="A20" s="95" t="s">
        <v>46</v>
      </c>
      <c r="B20" s="95"/>
      <c r="C20" s="95"/>
      <c r="D20" s="95"/>
      <c r="E20" s="95"/>
      <c r="F20" s="38">
        <f>1*33.33%</f>
        <v>0.33329999999999999</v>
      </c>
      <c r="G20" s="95"/>
      <c r="H20" s="95"/>
      <c r="I20" s="95"/>
      <c r="J20" s="95"/>
      <c r="K20" s="95"/>
      <c r="L20" s="38"/>
    </row>
    <row r="21" spans="1:12" s="93" customFormat="1" ht="15" customHeight="1" x14ac:dyDescent="0.25">
      <c r="A21" s="95" t="s">
        <v>47</v>
      </c>
      <c r="B21" s="95"/>
      <c r="C21" s="95"/>
      <c r="D21" s="95"/>
      <c r="E21" s="95"/>
      <c r="F21" s="38">
        <f>1*33.33%</f>
        <v>0.33329999999999999</v>
      </c>
      <c r="G21" s="95"/>
      <c r="H21" s="95"/>
      <c r="I21" s="95"/>
      <c r="J21" s="95"/>
      <c r="K21" s="95"/>
      <c r="L21" s="38"/>
    </row>
    <row r="22" spans="1:12" s="93" customFormat="1" ht="15" customHeight="1" x14ac:dyDescent="0.25">
      <c r="A22" s="95" t="s">
        <v>83</v>
      </c>
      <c r="B22" s="95"/>
      <c r="C22" s="95"/>
      <c r="D22" s="95"/>
      <c r="E22" s="95"/>
      <c r="F22" s="38">
        <f>1*33.33%</f>
        <v>0.33329999999999999</v>
      </c>
      <c r="G22" s="95"/>
      <c r="H22" s="95"/>
      <c r="I22" s="95"/>
      <c r="J22" s="95"/>
      <c r="K22" s="95"/>
      <c r="L22" s="38"/>
    </row>
    <row r="23" spans="1:12" s="93" customFormat="1" ht="15" customHeight="1" x14ac:dyDescent="0.25">
      <c r="A23" s="95" t="s">
        <v>84</v>
      </c>
      <c r="B23" s="95"/>
      <c r="C23" s="95"/>
      <c r="D23" s="95"/>
      <c r="E23" s="95"/>
      <c r="F23" s="38">
        <f>1*33.33%</f>
        <v>0.33329999999999999</v>
      </c>
      <c r="G23" s="95"/>
      <c r="H23" s="95"/>
      <c r="I23" s="95"/>
      <c r="J23" s="95"/>
      <c r="K23" s="95"/>
      <c r="L23" s="38"/>
    </row>
    <row r="24" spans="1:12" s="93" customFormat="1" ht="15" customHeight="1" x14ac:dyDescent="0.25">
      <c r="A24" s="95" t="s">
        <v>85</v>
      </c>
      <c r="B24" s="95"/>
      <c r="C24" s="95"/>
      <c r="D24" s="95"/>
      <c r="E24" s="95"/>
      <c r="F24" s="38">
        <f>1*33.33%</f>
        <v>0.33329999999999999</v>
      </c>
      <c r="G24" s="95"/>
      <c r="H24" s="95"/>
      <c r="I24" s="95"/>
      <c r="J24" s="95"/>
      <c r="K24" s="95"/>
      <c r="L24" s="38"/>
    </row>
    <row r="25" spans="1:12" s="93" customFormat="1" ht="15" customHeight="1" x14ac:dyDescent="0.25">
      <c r="A25" s="95" t="s">
        <v>86</v>
      </c>
      <c r="B25" s="95"/>
      <c r="C25" s="95"/>
      <c r="D25" s="95"/>
      <c r="E25" s="95"/>
      <c r="F25" s="38">
        <f>1*33.33%</f>
        <v>0.33329999999999999</v>
      </c>
      <c r="G25" s="95"/>
      <c r="H25" s="95"/>
      <c r="I25" s="95"/>
      <c r="J25" s="95"/>
      <c r="K25" s="95"/>
      <c r="L25" s="38"/>
    </row>
    <row r="26" spans="1:12" s="93" customFormat="1" ht="15" customHeight="1" x14ac:dyDescent="0.25">
      <c r="A26" s="95" t="s">
        <v>87</v>
      </c>
      <c r="B26" s="95"/>
      <c r="C26" s="95"/>
      <c r="D26" s="95"/>
      <c r="E26" s="95"/>
      <c r="F26" s="38">
        <f>1.5*33.33%</f>
        <v>0.49995000000000001</v>
      </c>
      <c r="G26" s="95"/>
      <c r="H26" s="95"/>
      <c r="I26" s="95"/>
      <c r="J26" s="95"/>
      <c r="K26" s="95"/>
      <c r="L26" s="38"/>
    </row>
    <row r="27" spans="1:12" ht="15" customHeight="1" x14ac:dyDescent="0.25">
      <c r="A27" s="95" t="s">
        <v>49</v>
      </c>
      <c r="B27" s="95"/>
      <c r="C27" s="95"/>
      <c r="D27" s="95"/>
      <c r="E27" s="95"/>
      <c r="F27" s="38">
        <f>1*33.33%</f>
        <v>0.33329999999999999</v>
      </c>
      <c r="G27" s="61"/>
      <c r="H27" s="61"/>
      <c r="I27" s="61"/>
      <c r="J27" s="61"/>
      <c r="K27" s="61"/>
      <c r="L27" s="38"/>
    </row>
    <row r="28" spans="1:12" ht="15" customHeight="1" x14ac:dyDescent="0.25">
      <c r="A28" s="95" t="s">
        <v>80</v>
      </c>
      <c r="B28" s="95"/>
      <c r="C28" s="95"/>
      <c r="D28" s="95"/>
      <c r="E28" s="95"/>
      <c r="F28" s="38">
        <f>1*33.33%</f>
        <v>0.33329999999999999</v>
      </c>
      <c r="G28" s="61"/>
      <c r="H28" s="61"/>
      <c r="I28" s="61"/>
      <c r="J28" s="61"/>
      <c r="K28" s="61"/>
      <c r="L28" s="38"/>
    </row>
    <row r="29" spans="1:12" s="93" customFormat="1" ht="30.75" customHeight="1" x14ac:dyDescent="0.25">
      <c r="A29" s="95" t="s">
        <v>42</v>
      </c>
      <c r="B29" s="95"/>
      <c r="C29" s="95"/>
      <c r="D29" s="95"/>
      <c r="E29" s="95"/>
      <c r="F29" s="38">
        <f>1*33.33%</f>
        <v>0.33329999999999999</v>
      </c>
      <c r="G29" s="95"/>
      <c r="H29" s="95"/>
      <c r="I29" s="95"/>
      <c r="J29" s="95"/>
      <c r="K29" s="95"/>
      <c r="L29" s="38"/>
    </row>
    <row r="30" spans="1:12" s="93" customFormat="1" x14ac:dyDescent="0.25">
      <c r="A30" s="95" t="s">
        <v>44</v>
      </c>
      <c r="B30" s="95"/>
      <c r="C30" s="95"/>
      <c r="D30" s="95"/>
      <c r="E30" s="95"/>
      <c r="F30" s="38">
        <f>1*33.33%</f>
        <v>0.33329999999999999</v>
      </c>
      <c r="G30" s="95"/>
      <c r="H30" s="95"/>
      <c r="I30" s="95"/>
      <c r="J30" s="95"/>
      <c r="K30" s="95"/>
      <c r="L30" s="38"/>
    </row>
    <row r="31" spans="1:12" x14ac:dyDescent="0.25">
      <c r="A31" s="95" t="s">
        <v>79</v>
      </c>
      <c r="B31" s="95"/>
      <c r="C31" s="95"/>
      <c r="D31" s="95"/>
      <c r="E31" s="95"/>
      <c r="F31" s="38">
        <f>1*33.33%</f>
        <v>0.33329999999999999</v>
      </c>
      <c r="G31" s="62"/>
      <c r="H31" s="63"/>
      <c r="I31" s="63"/>
      <c r="J31" s="63"/>
      <c r="K31" s="64"/>
      <c r="L31" s="38"/>
    </row>
    <row r="32" spans="1:12" s="93" customFormat="1" x14ac:dyDescent="0.25">
      <c r="A32" s="95" t="s">
        <v>38</v>
      </c>
      <c r="B32" s="95"/>
      <c r="C32" s="95"/>
      <c r="D32" s="95"/>
      <c r="E32" s="95"/>
      <c r="F32" s="38">
        <f>8*33.33%</f>
        <v>2.6663999999999999</v>
      </c>
      <c r="G32" s="96"/>
      <c r="H32" s="97"/>
      <c r="I32" s="97"/>
      <c r="J32" s="97"/>
      <c r="K32" s="64"/>
      <c r="L32" s="38"/>
    </row>
    <row r="33" spans="1:12" s="93" customFormat="1" x14ac:dyDescent="0.25">
      <c r="A33" s="95" t="s">
        <v>82</v>
      </c>
      <c r="B33" s="95"/>
      <c r="C33" s="95"/>
      <c r="D33" s="95"/>
      <c r="E33" s="95"/>
      <c r="F33" s="38">
        <f>1*33.33%</f>
        <v>0.33329999999999999</v>
      </c>
      <c r="G33" s="96"/>
      <c r="H33" s="97"/>
      <c r="I33" s="97"/>
      <c r="J33" s="97"/>
      <c r="K33" s="64"/>
      <c r="L33" s="38"/>
    </row>
    <row r="34" spans="1:12" s="93" customFormat="1" x14ac:dyDescent="0.25">
      <c r="A34" s="95" t="s">
        <v>45</v>
      </c>
      <c r="B34" s="95"/>
      <c r="C34" s="95"/>
      <c r="D34" s="95"/>
      <c r="E34" s="95"/>
      <c r="F34" s="38">
        <f>1*33.33%</f>
        <v>0.33329999999999999</v>
      </c>
      <c r="G34" s="96"/>
      <c r="H34" s="97"/>
      <c r="I34" s="97"/>
      <c r="J34" s="97"/>
      <c r="K34" s="64"/>
      <c r="L34" s="38"/>
    </row>
    <row r="35" spans="1:12" x14ac:dyDescent="0.25">
      <c r="A35" s="95" t="s">
        <v>48</v>
      </c>
      <c r="B35" s="95"/>
      <c r="C35" s="95"/>
      <c r="D35" s="95"/>
      <c r="E35" s="95"/>
      <c r="F35" s="38">
        <f>0.5*33.33%</f>
        <v>0.16664999999999999</v>
      </c>
      <c r="G35" s="62"/>
      <c r="H35" s="63"/>
      <c r="I35" s="63"/>
      <c r="J35" s="63"/>
      <c r="K35" s="64"/>
      <c r="L35" s="38"/>
    </row>
    <row r="36" spans="1:12" x14ac:dyDescent="0.25">
      <c r="A36" s="95" t="s">
        <v>88</v>
      </c>
      <c r="B36" s="95"/>
      <c r="C36" s="95"/>
      <c r="D36" s="95"/>
      <c r="E36" s="95"/>
      <c r="F36" s="38">
        <f>7*33.33%</f>
        <v>2.3331</v>
      </c>
      <c r="G36" s="62"/>
      <c r="H36" s="63"/>
      <c r="I36" s="63"/>
      <c r="J36" s="63"/>
      <c r="K36" s="64"/>
      <c r="L36" s="38"/>
    </row>
    <row r="37" spans="1:12" x14ac:dyDescent="0.25">
      <c r="A37" s="95" t="s">
        <v>50</v>
      </c>
      <c r="B37" s="95"/>
      <c r="C37" s="95"/>
      <c r="D37" s="95"/>
      <c r="E37" s="95"/>
      <c r="F37" s="38">
        <f>8*33.33%</f>
        <v>2.6663999999999999</v>
      </c>
      <c r="G37" s="62"/>
      <c r="H37" s="63"/>
      <c r="I37" s="63"/>
      <c r="J37" s="63"/>
      <c r="K37" s="64"/>
      <c r="L37" s="38"/>
    </row>
    <row r="38" spans="1:12" x14ac:dyDescent="0.25">
      <c r="A38" s="95" t="s">
        <v>90</v>
      </c>
      <c r="B38" s="95"/>
      <c r="C38" s="95"/>
      <c r="D38" s="95"/>
      <c r="E38" s="95"/>
      <c r="F38" s="38">
        <f>1*33.33%</f>
        <v>0.33329999999999999</v>
      </c>
      <c r="G38" s="62"/>
      <c r="H38" s="63"/>
      <c r="I38" s="63"/>
      <c r="J38" s="63"/>
      <c r="K38" s="64"/>
      <c r="L38" s="38"/>
    </row>
    <row r="39" spans="1:12" x14ac:dyDescent="0.25">
      <c r="A39" s="95" t="s">
        <v>91</v>
      </c>
      <c r="B39" s="95"/>
      <c r="C39" s="95"/>
      <c r="D39" s="95"/>
      <c r="E39" s="95"/>
      <c r="F39" s="38">
        <f>1*33.33%</f>
        <v>0.33329999999999999</v>
      </c>
      <c r="G39" s="62"/>
      <c r="H39" s="63"/>
      <c r="I39" s="63"/>
      <c r="J39" s="63"/>
      <c r="K39" s="64"/>
      <c r="L39" s="38"/>
    </row>
    <row r="40" spans="1:12" x14ac:dyDescent="0.25">
      <c r="A40" s="95" t="s">
        <v>92</v>
      </c>
      <c r="B40" s="95"/>
      <c r="C40" s="95"/>
      <c r="D40" s="95"/>
      <c r="E40" s="95"/>
      <c r="F40" s="38">
        <f>1*33.33%</f>
        <v>0.33329999999999999</v>
      </c>
      <c r="G40" s="62"/>
      <c r="H40" s="63"/>
      <c r="I40" s="63"/>
      <c r="J40" s="63"/>
      <c r="K40" s="64"/>
      <c r="L40" s="38"/>
    </row>
    <row r="41" spans="1:12" x14ac:dyDescent="0.25">
      <c r="A41" s="95" t="s">
        <v>52</v>
      </c>
      <c r="B41" s="95"/>
      <c r="C41" s="95"/>
      <c r="D41" s="95"/>
      <c r="E41" s="95"/>
      <c r="F41" s="38">
        <f>9.5*33.33%</f>
        <v>3.16635</v>
      </c>
      <c r="G41" s="62"/>
      <c r="H41" s="63"/>
      <c r="I41" s="63"/>
      <c r="J41" s="63"/>
      <c r="K41" s="64"/>
      <c r="L41" s="38"/>
    </row>
    <row r="42" spans="1:12" x14ac:dyDescent="0.25">
      <c r="A42" s="95" t="s">
        <v>93</v>
      </c>
      <c r="B42" s="95"/>
      <c r="C42" s="95"/>
      <c r="D42" s="95"/>
      <c r="E42" s="95"/>
      <c r="F42" s="38">
        <f>1*33.33%</f>
        <v>0.33329999999999999</v>
      </c>
      <c r="G42" s="62"/>
      <c r="H42" s="63"/>
      <c r="I42" s="63"/>
      <c r="J42" s="63"/>
      <c r="K42" s="64"/>
      <c r="L42" s="38"/>
    </row>
    <row r="43" spans="1:12" hidden="1" x14ac:dyDescent="0.25">
      <c r="A43" s="62"/>
      <c r="B43" s="63"/>
      <c r="C43" s="63"/>
      <c r="D43" s="63"/>
      <c r="E43" s="64"/>
      <c r="F43" s="38"/>
      <c r="G43" s="60"/>
      <c r="H43" s="60"/>
      <c r="I43" s="60"/>
      <c r="J43" s="60"/>
      <c r="K43" s="60"/>
      <c r="L43" s="38"/>
    </row>
    <row r="44" spans="1:12" hidden="1" x14ac:dyDescent="0.25">
      <c r="A44" s="62"/>
      <c r="B44" s="63"/>
      <c r="C44" s="63"/>
      <c r="D44" s="63"/>
      <c r="E44" s="64"/>
      <c r="F44" s="38"/>
      <c r="G44" s="60"/>
      <c r="H44" s="60"/>
      <c r="I44" s="60"/>
      <c r="J44" s="60"/>
      <c r="K44" s="60"/>
      <c r="L44" s="38"/>
    </row>
    <row r="45" spans="1:12" x14ac:dyDescent="0.25">
      <c r="A45" s="100" t="s">
        <v>4</v>
      </c>
      <c r="B45" s="100"/>
      <c r="C45" s="100"/>
      <c r="D45" s="100"/>
      <c r="E45" s="100"/>
      <c r="F45" s="59">
        <f>SUM(F17:F42)</f>
        <v>17.83155</v>
      </c>
      <c r="G45" s="100" t="s">
        <v>4</v>
      </c>
      <c r="H45" s="100"/>
      <c r="I45" s="100"/>
      <c r="J45" s="100"/>
      <c r="K45" s="100"/>
      <c r="L45" s="59">
        <f>SUM(L17:L42)</f>
        <v>0.66659999999999997</v>
      </c>
    </row>
    <row r="46" spans="1:12" ht="15.75" thickBot="1" x14ac:dyDescent="0.3">
      <c r="A46" s="98"/>
      <c r="B46" s="98"/>
      <c r="C46" s="98"/>
      <c r="D46" s="98"/>
      <c r="E46" s="98"/>
      <c r="F46" s="99"/>
      <c r="G46" s="98"/>
      <c r="H46" s="98"/>
      <c r="I46" s="98"/>
      <c r="J46" s="98"/>
      <c r="K46" s="98"/>
      <c r="L46" s="99"/>
    </row>
    <row r="47" spans="1:12" ht="15.75" thickBot="1" x14ac:dyDescent="0.3">
      <c r="A47" s="22" t="s">
        <v>70</v>
      </c>
      <c r="F47" s="55">
        <v>1505</v>
      </c>
    </row>
    <row r="48" spans="1:12" ht="75" x14ac:dyDescent="0.25">
      <c r="A48" s="69" t="s">
        <v>5</v>
      </c>
      <c r="B48" s="70"/>
      <c r="C48" s="70"/>
      <c r="D48" s="70"/>
      <c r="E48" s="71"/>
      <c r="F48" s="54" t="s">
        <v>6</v>
      </c>
      <c r="G48" s="53" t="s">
        <v>1</v>
      </c>
      <c r="H48" s="53" t="s">
        <v>66</v>
      </c>
      <c r="I48" s="53" t="s">
        <v>67</v>
      </c>
      <c r="J48" s="53" t="s">
        <v>68</v>
      </c>
      <c r="K48" s="24" t="s">
        <v>69</v>
      </c>
      <c r="L48" s="33"/>
    </row>
    <row r="49" spans="1:13" ht="15" hidden="1" customHeight="1" x14ac:dyDescent="0.25">
      <c r="A49" s="72" t="s">
        <v>41</v>
      </c>
      <c r="B49" s="72"/>
      <c r="C49" s="72"/>
      <c r="D49" s="72"/>
      <c r="E49" s="72"/>
      <c r="F49" s="7">
        <v>14963</v>
      </c>
      <c r="G49" s="7">
        <v>0.45</v>
      </c>
      <c r="H49" s="7">
        <f>F49*G49*12</f>
        <v>80800.200000000012</v>
      </c>
      <c r="I49" s="7">
        <f>H49*1.302</f>
        <v>105201.86040000002</v>
      </c>
      <c r="J49" s="7">
        <f>F47</f>
        <v>1505</v>
      </c>
      <c r="K49" s="7">
        <f>I49/J49</f>
        <v>69.901568372093038</v>
      </c>
      <c r="L49" s="34"/>
    </row>
    <row r="50" spans="1:13" ht="17.25" hidden="1" customHeight="1" x14ac:dyDescent="0.25">
      <c r="A50" s="72" t="s">
        <v>43</v>
      </c>
      <c r="B50" s="72"/>
      <c r="C50" s="72"/>
      <c r="D50" s="72"/>
      <c r="E50" s="72"/>
      <c r="F50" s="7">
        <v>11538</v>
      </c>
      <c r="G50" s="7">
        <v>0.45</v>
      </c>
      <c r="H50" s="7">
        <f t="shared" ref="H50:H61" si="0">F50*G50*12</f>
        <v>62305.200000000004</v>
      </c>
      <c r="I50" s="7">
        <f t="shared" ref="I50:I61" si="1">H50*1.302</f>
        <v>81121.370400000014</v>
      </c>
      <c r="J50" s="7">
        <f t="shared" ref="J50:J57" si="2">J49</f>
        <v>1505</v>
      </c>
      <c r="K50" s="7">
        <f>I50/J50</f>
        <v>53.901242790697687</v>
      </c>
      <c r="L50" s="34"/>
    </row>
    <row r="51" spans="1:13" ht="15" hidden="1" customHeight="1" x14ac:dyDescent="0.25">
      <c r="A51" s="72" t="s">
        <v>81</v>
      </c>
      <c r="B51" s="72"/>
      <c r="C51" s="72"/>
      <c r="D51" s="72"/>
      <c r="E51" s="72"/>
      <c r="F51" s="7">
        <v>8837</v>
      </c>
      <c r="G51" s="7">
        <v>0.45</v>
      </c>
      <c r="H51" s="7">
        <f t="shared" si="0"/>
        <v>47719.8</v>
      </c>
      <c r="I51" s="7">
        <f t="shared" si="1"/>
        <v>62131.179600000003</v>
      </c>
      <c r="J51" s="7">
        <f t="shared" si="2"/>
        <v>1505</v>
      </c>
      <c r="K51" s="7">
        <f t="shared" ref="K51:K61" si="3">I51/J51</f>
        <v>41.283175813953491</v>
      </c>
      <c r="L51" s="34"/>
    </row>
    <row r="52" spans="1:13" ht="15.75" hidden="1" customHeight="1" x14ac:dyDescent="0.25">
      <c r="A52" s="72" t="s">
        <v>46</v>
      </c>
      <c r="B52" s="72"/>
      <c r="C52" s="72"/>
      <c r="D52" s="72"/>
      <c r="E52" s="72"/>
      <c r="F52" s="7">
        <v>6556</v>
      </c>
      <c r="G52" s="7">
        <v>0.45</v>
      </c>
      <c r="H52" s="7">
        <f t="shared" si="0"/>
        <v>35402.400000000001</v>
      </c>
      <c r="I52" s="7">
        <f t="shared" si="1"/>
        <v>46093.924800000001</v>
      </c>
      <c r="J52" s="7">
        <f t="shared" si="2"/>
        <v>1505</v>
      </c>
      <c r="K52" s="7">
        <f t="shared" si="3"/>
        <v>30.627192558139534</v>
      </c>
      <c r="L52" s="34"/>
    </row>
    <row r="53" spans="1:13" ht="15" hidden="1" customHeight="1" x14ac:dyDescent="0.25">
      <c r="A53" s="72" t="s">
        <v>47</v>
      </c>
      <c r="B53" s="72"/>
      <c r="C53" s="72"/>
      <c r="D53" s="72"/>
      <c r="E53" s="72"/>
      <c r="F53" s="7">
        <v>11538</v>
      </c>
      <c r="G53" s="7">
        <v>0.45</v>
      </c>
      <c r="H53" s="7">
        <f t="shared" si="0"/>
        <v>62305.200000000004</v>
      </c>
      <c r="I53" s="7">
        <f t="shared" si="1"/>
        <v>81121.370400000014</v>
      </c>
      <c r="J53" s="7">
        <f t="shared" si="2"/>
        <v>1505</v>
      </c>
      <c r="K53" s="7">
        <f t="shared" si="3"/>
        <v>53.901242790697687</v>
      </c>
      <c r="L53" s="34"/>
    </row>
    <row r="54" spans="1:13" ht="15" hidden="1" customHeight="1" x14ac:dyDescent="0.25">
      <c r="A54" s="72" t="s">
        <v>83</v>
      </c>
      <c r="B54" s="72"/>
      <c r="C54" s="72"/>
      <c r="D54" s="72"/>
      <c r="E54" s="72"/>
      <c r="F54" s="7">
        <v>8837</v>
      </c>
      <c r="G54" s="7">
        <v>0.45</v>
      </c>
      <c r="H54" s="7">
        <f t="shared" si="0"/>
        <v>47719.8</v>
      </c>
      <c r="I54" s="7">
        <f t="shared" si="1"/>
        <v>62131.179600000003</v>
      </c>
      <c r="J54" s="7">
        <f t="shared" si="2"/>
        <v>1505</v>
      </c>
      <c r="K54" s="7">
        <f t="shared" si="3"/>
        <v>41.283175813953491</v>
      </c>
      <c r="L54" s="34"/>
    </row>
    <row r="55" spans="1:13" ht="15" hidden="1" customHeight="1" x14ac:dyDescent="0.25">
      <c r="A55" s="72" t="s">
        <v>84</v>
      </c>
      <c r="B55" s="72"/>
      <c r="C55" s="72"/>
      <c r="D55" s="72"/>
      <c r="E55" s="72"/>
      <c r="F55" s="7">
        <v>3993</v>
      </c>
      <c r="G55" s="7">
        <v>0.45</v>
      </c>
      <c r="H55" s="7">
        <f t="shared" si="0"/>
        <v>21562.2</v>
      </c>
      <c r="I55" s="7">
        <f t="shared" si="1"/>
        <v>28073.984400000001</v>
      </c>
      <c r="J55" s="7">
        <f t="shared" si="2"/>
        <v>1505</v>
      </c>
      <c r="K55" s="7">
        <f t="shared" si="3"/>
        <v>18.65381023255814</v>
      </c>
      <c r="L55" s="34"/>
    </row>
    <row r="56" spans="1:13" ht="15" hidden="1" customHeight="1" x14ac:dyDescent="0.25">
      <c r="A56" s="72" t="s">
        <v>85</v>
      </c>
      <c r="B56" s="72"/>
      <c r="C56" s="72"/>
      <c r="D56" s="72"/>
      <c r="E56" s="72"/>
      <c r="F56" s="7">
        <v>4496</v>
      </c>
      <c r="G56" s="7">
        <v>0.45</v>
      </c>
      <c r="H56" s="7">
        <f t="shared" si="0"/>
        <v>24278.400000000001</v>
      </c>
      <c r="I56" s="7">
        <f t="shared" si="1"/>
        <v>31610.476800000004</v>
      </c>
      <c r="J56" s="7">
        <f t="shared" si="2"/>
        <v>1505</v>
      </c>
      <c r="K56" s="7">
        <f t="shared" si="3"/>
        <v>21.003639069767445</v>
      </c>
      <c r="L56" s="34"/>
    </row>
    <row r="57" spans="1:13" ht="15" hidden="1" customHeight="1" x14ac:dyDescent="0.25">
      <c r="A57" s="72" t="s">
        <v>86</v>
      </c>
      <c r="B57" s="72"/>
      <c r="C57" s="72"/>
      <c r="D57" s="72"/>
      <c r="E57" s="72"/>
      <c r="F57" s="7">
        <v>8837</v>
      </c>
      <c r="G57" s="7">
        <v>0.45</v>
      </c>
      <c r="H57" s="7">
        <f t="shared" si="0"/>
        <v>47719.8</v>
      </c>
      <c r="I57" s="7">
        <f t="shared" si="1"/>
        <v>62131.179600000003</v>
      </c>
      <c r="J57" s="7">
        <f t="shared" si="2"/>
        <v>1505</v>
      </c>
      <c r="K57" s="7">
        <f t="shared" si="3"/>
        <v>41.283175813953491</v>
      </c>
      <c r="L57" s="34"/>
    </row>
    <row r="58" spans="1:13" ht="15.75" hidden="1" customHeight="1" x14ac:dyDescent="0.25">
      <c r="A58" s="72" t="s">
        <v>87</v>
      </c>
      <c r="B58" s="72"/>
      <c r="C58" s="72"/>
      <c r="D58" s="72"/>
      <c r="E58" s="72"/>
      <c r="F58" s="7">
        <v>13255.5</v>
      </c>
      <c r="G58" s="7">
        <v>0.45</v>
      </c>
      <c r="H58" s="7">
        <f t="shared" si="0"/>
        <v>71579.700000000012</v>
      </c>
      <c r="I58" s="7">
        <f t="shared" si="1"/>
        <v>93196.769400000019</v>
      </c>
      <c r="J58" s="7">
        <f>J56</f>
        <v>1505</v>
      </c>
      <c r="K58" s="7">
        <f t="shared" si="3"/>
        <v>61.924763720930244</v>
      </c>
      <c r="L58" s="34"/>
    </row>
    <row r="59" spans="1:13" ht="15" hidden="1" customHeight="1" x14ac:dyDescent="0.25">
      <c r="A59" s="72" t="s">
        <v>89</v>
      </c>
      <c r="B59" s="72"/>
      <c r="C59" s="72"/>
      <c r="D59" s="72"/>
      <c r="E59" s="72"/>
      <c r="F59" s="7">
        <v>11538</v>
      </c>
      <c r="G59" s="7">
        <v>0.45</v>
      </c>
      <c r="H59" s="7">
        <f t="shared" si="0"/>
        <v>62305.200000000004</v>
      </c>
      <c r="I59" s="7">
        <f t="shared" si="1"/>
        <v>81121.370400000014</v>
      </c>
      <c r="J59" s="7">
        <f>J57</f>
        <v>1505</v>
      </c>
      <c r="K59" s="7">
        <f t="shared" si="3"/>
        <v>53.901242790697687</v>
      </c>
      <c r="L59" s="34"/>
    </row>
    <row r="60" spans="1:13" ht="15" hidden="1" customHeight="1" x14ac:dyDescent="0.25">
      <c r="A60" s="72" t="s">
        <v>51</v>
      </c>
      <c r="B60" s="72"/>
      <c r="C60" s="72"/>
      <c r="D60" s="72"/>
      <c r="E60" s="72"/>
      <c r="F60" s="7">
        <v>11538</v>
      </c>
      <c r="G60" s="7">
        <v>0.45</v>
      </c>
      <c r="H60" s="7">
        <f t="shared" si="0"/>
        <v>62305.200000000004</v>
      </c>
      <c r="I60" s="7">
        <f t="shared" si="1"/>
        <v>81121.370400000014</v>
      </c>
      <c r="J60" s="7">
        <f>J58</f>
        <v>1505</v>
      </c>
      <c r="K60" s="7">
        <f t="shared" si="3"/>
        <v>53.901242790697687</v>
      </c>
      <c r="L60" s="34"/>
    </row>
    <row r="61" spans="1:13" ht="17.25" hidden="1" customHeight="1" x14ac:dyDescent="0.25">
      <c r="A61" s="72" t="s">
        <v>49</v>
      </c>
      <c r="B61" s="72"/>
      <c r="C61" s="72"/>
      <c r="D61" s="72"/>
      <c r="E61" s="72"/>
      <c r="F61" s="7">
        <v>8837</v>
      </c>
      <c r="G61" s="7">
        <v>0.45</v>
      </c>
      <c r="H61" s="7">
        <f t="shared" si="0"/>
        <v>47719.8</v>
      </c>
      <c r="I61" s="7">
        <f t="shared" si="1"/>
        <v>62131.179600000003</v>
      </c>
      <c r="J61" s="7">
        <f>J59</f>
        <v>1505</v>
      </c>
      <c r="K61" s="7">
        <f t="shared" si="3"/>
        <v>41.283175813953491</v>
      </c>
      <c r="L61" s="34"/>
    </row>
    <row r="62" spans="1:13" s="9" customFormat="1" ht="15.75" customHeight="1" x14ac:dyDescent="0.25">
      <c r="A62" s="75" t="s">
        <v>71</v>
      </c>
      <c r="B62" s="76"/>
      <c r="C62" s="76"/>
      <c r="D62" s="76"/>
      <c r="E62" s="76"/>
      <c r="F62" s="26">
        <v>22479.99</v>
      </c>
      <c r="G62" s="26">
        <f>F45</f>
        <v>17.83155</v>
      </c>
      <c r="H62" s="26">
        <v>4809818.66</v>
      </c>
      <c r="I62" s="2">
        <f>(H62*1.302)</f>
        <v>6262383.8953200001</v>
      </c>
      <c r="J62" s="2">
        <f>F47</f>
        <v>1505</v>
      </c>
      <c r="K62" s="2">
        <f>I62/F47</f>
        <v>4161.0524221395353</v>
      </c>
      <c r="L62" s="34"/>
      <c r="M62" s="8"/>
    </row>
    <row r="63" spans="1:13" ht="13.5" customHeight="1" x14ac:dyDescent="0.25"/>
    <row r="64" spans="1:13" ht="14.25" customHeight="1" x14ac:dyDescent="0.25">
      <c r="A64" s="73" t="s">
        <v>8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</row>
    <row r="65" spans="1:13" ht="45" x14ac:dyDescent="0.25">
      <c r="A65" s="79" t="s">
        <v>9</v>
      </c>
      <c r="B65" s="79"/>
      <c r="C65" s="79"/>
      <c r="D65" s="79"/>
      <c r="E65" s="79"/>
      <c r="F65" s="53" t="s">
        <v>7</v>
      </c>
      <c r="G65" s="53" t="s">
        <v>65</v>
      </c>
      <c r="H65" s="53" t="s">
        <v>64</v>
      </c>
      <c r="I65" s="53" t="s">
        <v>72</v>
      </c>
      <c r="J65" s="53" t="s">
        <v>68</v>
      </c>
      <c r="K65" s="27" t="s">
        <v>69</v>
      </c>
      <c r="L65" s="28"/>
    </row>
    <row r="66" spans="1:13" x14ac:dyDescent="0.25">
      <c r="A66" s="66" t="s">
        <v>39</v>
      </c>
      <c r="B66" s="67"/>
      <c r="C66" s="67"/>
      <c r="D66" s="67"/>
      <c r="E66" s="68"/>
      <c r="F66" s="25" t="s">
        <v>40</v>
      </c>
      <c r="G66" s="25">
        <v>65000</v>
      </c>
      <c r="H66" s="25">
        <v>5.3</v>
      </c>
      <c r="I66" s="25">
        <f>344500*33.33%</f>
        <v>114821.84999999999</v>
      </c>
      <c r="J66" s="7">
        <f>J61</f>
        <v>1505</v>
      </c>
      <c r="K66" s="29">
        <f>I66/J66</f>
        <v>76.293588039867103</v>
      </c>
      <c r="L66" s="28"/>
    </row>
    <row r="67" spans="1:13" x14ac:dyDescent="0.25">
      <c r="A67" s="74" t="s">
        <v>10</v>
      </c>
      <c r="B67" s="74"/>
      <c r="C67" s="74"/>
      <c r="D67" s="74"/>
      <c r="E67" s="74"/>
      <c r="F67" s="7" t="s">
        <v>13</v>
      </c>
      <c r="G67" s="7">
        <v>450</v>
      </c>
      <c r="H67" s="7">
        <v>1744.64</v>
      </c>
      <c r="I67" s="25">
        <f>829162.21*33.33%</f>
        <v>276359.764593</v>
      </c>
      <c r="J67" s="7">
        <f>J66</f>
        <v>1505</v>
      </c>
      <c r="K67" s="29">
        <f t="shared" ref="K67:K70" si="4">I67/J67</f>
        <v>183.62775056013288</v>
      </c>
      <c r="L67" s="30"/>
    </row>
    <row r="68" spans="1:13" x14ac:dyDescent="0.25">
      <c r="A68" s="74" t="s">
        <v>11</v>
      </c>
      <c r="B68" s="74"/>
      <c r="C68" s="74"/>
      <c r="D68" s="74"/>
      <c r="E68" s="74"/>
      <c r="F68" s="7" t="s">
        <v>14</v>
      </c>
      <c r="G68" s="7">
        <v>450</v>
      </c>
      <c r="H68" s="7">
        <v>42.84</v>
      </c>
      <c r="I68" s="25">
        <f>19278*33.33%</f>
        <v>6425.3573999999999</v>
      </c>
      <c r="J68" s="7">
        <f>J67</f>
        <v>1505</v>
      </c>
      <c r="K68" s="29">
        <f t="shared" si="4"/>
        <v>4.2693404651162794</v>
      </c>
      <c r="L68" s="30"/>
    </row>
    <row r="69" spans="1:13" x14ac:dyDescent="0.25">
      <c r="A69" s="74" t="s">
        <v>12</v>
      </c>
      <c r="B69" s="74"/>
      <c r="C69" s="74"/>
      <c r="D69" s="74"/>
      <c r="E69" s="74"/>
      <c r="F69" s="7" t="s">
        <v>14</v>
      </c>
      <c r="G69" s="7">
        <v>450</v>
      </c>
      <c r="H69" s="7">
        <v>62.4</v>
      </c>
      <c r="I69" s="25">
        <f>28075.5*33.33%</f>
        <v>9357.5641500000002</v>
      </c>
      <c r="J69" s="7">
        <f>J67</f>
        <v>1505</v>
      </c>
      <c r="K69" s="29">
        <f t="shared" si="4"/>
        <v>6.217650598006645</v>
      </c>
      <c r="L69" s="30"/>
    </row>
    <row r="70" spans="1:13" x14ac:dyDescent="0.25">
      <c r="A70" s="66" t="s">
        <v>16</v>
      </c>
      <c r="B70" s="76"/>
      <c r="C70" s="76"/>
      <c r="D70" s="76"/>
      <c r="E70" s="76"/>
      <c r="F70" s="7" t="s">
        <v>14</v>
      </c>
      <c r="G70" s="7">
        <v>12</v>
      </c>
      <c r="H70" s="31">
        <v>4312.28</v>
      </c>
      <c r="I70" s="25">
        <f>51747.36*33.33%</f>
        <v>17247.395088000001</v>
      </c>
      <c r="J70" s="7">
        <f>J69</f>
        <v>1505</v>
      </c>
      <c r="K70" s="29">
        <f t="shared" si="4"/>
        <v>11.46006318139535</v>
      </c>
      <c r="L70" s="30"/>
    </row>
    <row r="71" spans="1:13" x14ac:dyDescent="0.25">
      <c r="A71" s="75" t="s">
        <v>53</v>
      </c>
      <c r="B71" s="80"/>
      <c r="C71" s="80"/>
      <c r="D71" s="80"/>
      <c r="E71" s="80"/>
      <c r="F71" s="80"/>
      <c r="G71" s="80"/>
      <c r="H71" s="91"/>
      <c r="I71" s="2">
        <f>SUM(I66:I70)</f>
        <v>424211.93123099994</v>
      </c>
      <c r="J71" s="46">
        <f>J70</f>
        <v>1505</v>
      </c>
      <c r="K71" s="2">
        <f>I71/J71</f>
        <v>281.86839284451821</v>
      </c>
      <c r="L71" s="30"/>
    </row>
    <row r="72" spans="1:13" ht="12" customHeight="1" x14ac:dyDescent="0.25"/>
    <row r="73" spans="1:13" x14ac:dyDescent="0.25">
      <c r="A73" s="73" t="s">
        <v>15</v>
      </c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</row>
    <row r="74" spans="1:13" ht="45" x14ac:dyDescent="0.25">
      <c r="A74" s="69" t="s">
        <v>19</v>
      </c>
      <c r="B74" s="70"/>
      <c r="C74" s="70"/>
      <c r="D74" s="70"/>
      <c r="E74" s="71"/>
      <c r="F74" s="53" t="s">
        <v>7</v>
      </c>
      <c r="G74" s="53" t="s">
        <v>65</v>
      </c>
      <c r="H74" s="53" t="s">
        <v>64</v>
      </c>
      <c r="I74" s="53" t="s">
        <v>72</v>
      </c>
      <c r="J74" s="53" t="s">
        <v>68</v>
      </c>
      <c r="K74" s="27" t="s">
        <v>69</v>
      </c>
      <c r="L74" s="28"/>
    </row>
    <row r="75" spans="1:13" x14ac:dyDescent="0.25">
      <c r="A75" s="74" t="s">
        <v>56</v>
      </c>
      <c r="B75" s="74"/>
      <c r="C75" s="74"/>
      <c r="D75" s="74"/>
      <c r="E75" s="74"/>
      <c r="F75" s="7" t="s">
        <v>17</v>
      </c>
      <c r="G75" s="7">
        <v>6200</v>
      </c>
      <c r="H75" s="7"/>
      <c r="I75" s="7">
        <f>74400*33.33%</f>
        <v>24797.52</v>
      </c>
      <c r="J75" s="7">
        <f>J71</f>
        <v>1505</v>
      </c>
      <c r="K75" s="52">
        <f t="shared" ref="K75:K79" si="5">I75/J75</f>
        <v>16.476757475083058</v>
      </c>
      <c r="L75" s="30"/>
    </row>
    <row r="76" spans="1:13" ht="15" customHeight="1" x14ac:dyDescent="0.25">
      <c r="A76" s="72" t="s">
        <v>55</v>
      </c>
      <c r="B76" s="72"/>
      <c r="C76" s="72"/>
      <c r="D76" s="72"/>
      <c r="E76" s="72"/>
      <c r="F76" s="7" t="s">
        <v>17</v>
      </c>
      <c r="G76" s="7">
        <v>773.4</v>
      </c>
      <c r="H76" s="7"/>
      <c r="I76" s="7">
        <f>9280.8*33.33%</f>
        <v>3093.2906399999997</v>
      </c>
      <c r="J76" s="7">
        <f>J75</f>
        <v>1505</v>
      </c>
      <c r="K76" s="52">
        <f t="shared" si="5"/>
        <v>2.055342617940199</v>
      </c>
      <c r="L76" s="30"/>
    </row>
    <row r="77" spans="1:13" ht="16.5" customHeight="1" x14ac:dyDescent="0.25">
      <c r="A77" s="74" t="s">
        <v>98</v>
      </c>
      <c r="B77" s="74"/>
      <c r="C77" s="74"/>
      <c r="D77" s="74"/>
      <c r="E77" s="74"/>
      <c r="F77" s="7" t="s">
        <v>17</v>
      </c>
      <c r="G77" s="7">
        <v>2000</v>
      </c>
      <c r="H77" s="7"/>
      <c r="I77" s="7">
        <f>24000*33.33%</f>
        <v>7999.2</v>
      </c>
      <c r="J77" s="7">
        <f>J76</f>
        <v>1505</v>
      </c>
      <c r="K77" s="52">
        <f t="shared" si="5"/>
        <v>5.3150830564784055</v>
      </c>
      <c r="L77" s="30"/>
    </row>
    <row r="78" spans="1:13" ht="16.5" customHeight="1" x14ac:dyDescent="0.25">
      <c r="A78" s="72" t="s">
        <v>94</v>
      </c>
      <c r="B78" s="72"/>
      <c r="C78" s="72"/>
      <c r="D78" s="72"/>
      <c r="E78" s="72"/>
      <c r="F78" s="7" t="s">
        <v>17</v>
      </c>
      <c r="G78" s="7">
        <v>2100</v>
      </c>
      <c r="H78" s="7"/>
      <c r="I78" s="7">
        <f>25200*33.33%</f>
        <v>8399.16</v>
      </c>
      <c r="J78" s="7">
        <f>J76</f>
        <v>1505</v>
      </c>
      <c r="K78" s="52">
        <f t="shared" si="5"/>
        <v>5.5808372093023255</v>
      </c>
      <c r="L78" s="30"/>
    </row>
    <row r="79" spans="1:13" ht="15" hidden="1" customHeight="1" x14ac:dyDescent="0.25">
      <c r="A79" s="72" t="s">
        <v>99</v>
      </c>
      <c r="B79" s="72"/>
      <c r="C79" s="72"/>
      <c r="D79" s="72"/>
      <c r="E79" s="72"/>
      <c r="F79" s="7" t="s">
        <v>17</v>
      </c>
      <c r="G79" s="7"/>
      <c r="H79" s="7"/>
      <c r="I79" s="7">
        <v>0</v>
      </c>
      <c r="J79" s="7">
        <f>J76</f>
        <v>1505</v>
      </c>
      <c r="K79" s="52">
        <f t="shared" si="5"/>
        <v>0</v>
      </c>
      <c r="L79" s="30"/>
    </row>
    <row r="80" spans="1:13" s="9" customFormat="1" ht="18.75" customHeight="1" x14ac:dyDescent="0.25">
      <c r="A80" s="75" t="s">
        <v>18</v>
      </c>
      <c r="B80" s="80"/>
      <c r="C80" s="80"/>
      <c r="D80" s="80"/>
      <c r="E80" s="80"/>
      <c r="F80" s="80"/>
      <c r="G80" s="80"/>
      <c r="H80" s="91"/>
      <c r="I80" s="2">
        <f>SUM(I75:I79)</f>
        <v>44289.170639999997</v>
      </c>
      <c r="J80" s="46">
        <f>J77</f>
        <v>1505</v>
      </c>
      <c r="K80" s="4">
        <f>I80/J80</f>
        <v>29.428020358803984</v>
      </c>
      <c r="L80" s="30"/>
      <c r="M80" s="8"/>
    </row>
    <row r="81" spans="1:13" ht="12.75" customHeight="1" x14ac:dyDescent="0.25"/>
    <row r="82" spans="1:13" x14ac:dyDescent="0.25">
      <c r="A82" s="73" t="s">
        <v>73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</row>
    <row r="83" spans="1:13" ht="60" customHeight="1" x14ac:dyDescent="0.25">
      <c r="A83" s="69" t="s">
        <v>19</v>
      </c>
      <c r="B83" s="70"/>
      <c r="C83" s="70"/>
      <c r="D83" s="70"/>
      <c r="E83" s="71"/>
      <c r="F83" s="53" t="s">
        <v>7</v>
      </c>
      <c r="G83" s="53" t="s">
        <v>65</v>
      </c>
      <c r="H83" s="53" t="s">
        <v>64</v>
      </c>
      <c r="I83" s="53" t="s">
        <v>72</v>
      </c>
      <c r="J83" s="53" t="s">
        <v>68</v>
      </c>
      <c r="K83" s="24" t="s">
        <v>69</v>
      </c>
      <c r="L83" s="33"/>
    </row>
    <row r="84" spans="1:13" ht="34.5" customHeight="1" x14ac:dyDescent="0.25">
      <c r="A84" s="81" t="s">
        <v>100</v>
      </c>
      <c r="B84" s="82"/>
      <c r="C84" s="82"/>
      <c r="D84" s="82"/>
      <c r="E84" s="83"/>
      <c r="F84" s="7" t="s">
        <v>17</v>
      </c>
      <c r="G84" s="7">
        <v>11</v>
      </c>
      <c r="H84" s="7">
        <v>4116.8999999999996</v>
      </c>
      <c r="I84" s="7">
        <f>45285.9*33.33%</f>
        <v>15093.79047</v>
      </c>
      <c r="J84" s="7">
        <f>J79</f>
        <v>1505</v>
      </c>
      <c r="K84" s="7">
        <f t="shared" ref="K84:K85" si="6">I84/J84</f>
        <v>10.029096657807308</v>
      </c>
      <c r="L84" s="34"/>
    </row>
    <row r="85" spans="1:13" ht="18.75" customHeight="1" x14ac:dyDescent="0.25">
      <c r="A85" s="66" t="s">
        <v>101</v>
      </c>
      <c r="B85" s="76"/>
      <c r="C85" s="76"/>
      <c r="D85" s="76"/>
      <c r="E85" s="90"/>
      <c r="F85" s="7" t="s">
        <v>17</v>
      </c>
      <c r="G85" s="7"/>
      <c r="H85" s="7"/>
      <c r="I85" s="7">
        <f>15000*33.33%</f>
        <v>4999.5</v>
      </c>
      <c r="J85" s="7">
        <f>J84</f>
        <v>1505</v>
      </c>
      <c r="K85" s="7">
        <f t="shared" si="6"/>
        <v>3.3219269102990032</v>
      </c>
      <c r="L85" s="34"/>
    </row>
    <row r="86" spans="1:13" ht="18.75" customHeight="1" x14ac:dyDescent="0.25">
      <c r="A86" s="66" t="s">
        <v>102</v>
      </c>
      <c r="B86" s="67"/>
      <c r="C86" s="67"/>
      <c r="D86" s="67"/>
      <c r="E86" s="68"/>
      <c r="F86" s="7" t="s">
        <v>17</v>
      </c>
      <c r="G86" s="7"/>
      <c r="H86" s="7"/>
      <c r="I86" s="7">
        <f>10000*33.33%</f>
        <v>3333</v>
      </c>
      <c r="J86" s="7">
        <f>J78</f>
        <v>1505</v>
      </c>
      <c r="K86" s="7">
        <f>I86/J86</f>
        <v>2.2146179401993353</v>
      </c>
      <c r="L86" s="34"/>
    </row>
    <row r="87" spans="1:13" ht="18.75" customHeight="1" x14ac:dyDescent="0.25">
      <c r="A87" s="66" t="s">
        <v>115</v>
      </c>
      <c r="B87" s="67"/>
      <c r="C87" s="67"/>
      <c r="D87" s="67"/>
      <c r="E87" s="68"/>
      <c r="F87" s="7" t="s">
        <v>17</v>
      </c>
      <c r="G87" s="7">
        <v>12</v>
      </c>
      <c r="H87" s="7"/>
      <c r="I87" s="7">
        <f>8280*33.33%</f>
        <v>2759.7239999999997</v>
      </c>
      <c r="J87" s="7">
        <f>J79</f>
        <v>1505</v>
      </c>
      <c r="K87" s="7">
        <f>I87/J87</f>
        <v>1.8337036544850496</v>
      </c>
      <c r="L87" s="34"/>
    </row>
    <row r="88" spans="1:13" x14ac:dyDescent="0.25">
      <c r="A88" s="75" t="s">
        <v>74</v>
      </c>
      <c r="B88" s="80"/>
      <c r="C88" s="80"/>
      <c r="D88" s="80"/>
      <c r="E88" s="80"/>
      <c r="F88" s="80"/>
      <c r="G88" s="80"/>
      <c r="H88" s="91"/>
      <c r="I88" s="5">
        <f>SUM(I84:I87)</f>
        <v>26186.014469999998</v>
      </c>
      <c r="J88" s="46">
        <f>J79</f>
        <v>1505</v>
      </c>
      <c r="K88" s="5">
        <f>I88/J88</f>
        <v>17.399345162790695</v>
      </c>
      <c r="L88" s="34"/>
    </row>
    <row r="89" spans="1:13" x14ac:dyDescent="0.25">
      <c r="A89" s="35"/>
      <c r="B89" s="35"/>
      <c r="C89" s="35"/>
      <c r="D89" s="35"/>
      <c r="E89" s="35"/>
      <c r="F89" s="35"/>
      <c r="G89" s="35"/>
      <c r="H89" s="35"/>
      <c r="I89" s="6"/>
      <c r="J89" s="6"/>
      <c r="K89" s="6"/>
      <c r="L89" s="34"/>
    </row>
    <row r="90" spans="1:13" x14ac:dyDescent="0.25">
      <c r="A90" s="73" t="s">
        <v>75</v>
      </c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</row>
    <row r="91" spans="1:13" ht="45.75" customHeight="1" x14ac:dyDescent="0.25">
      <c r="A91" s="69" t="s">
        <v>20</v>
      </c>
      <c r="B91" s="70"/>
      <c r="C91" s="70"/>
      <c r="D91" s="70"/>
      <c r="E91" s="71"/>
      <c r="F91" s="53" t="s">
        <v>7</v>
      </c>
      <c r="G91" s="53" t="s">
        <v>65</v>
      </c>
      <c r="H91" s="53" t="s">
        <v>64</v>
      </c>
      <c r="I91" s="53" t="s">
        <v>72</v>
      </c>
      <c r="J91" s="36" t="s">
        <v>68</v>
      </c>
      <c r="K91" s="24" t="s">
        <v>69</v>
      </c>
      <c r="L91" s="33"/>
      <c r="M91" s="33"/>
    </row>
    <row r="92" spans="1:13" ht="23.25" customHeight="1" x14ac:dyDescent="0.25">
      <c r="A92" s="66" t="s">
        <v>103</v>
      </c>
      <c r="B92" s="67"/>
      <c r="C92" s="67"/>
      <c r="D92" s="67"/>
      <c r="E92" s="68"/>
      <c r="F92" s="37" t="s">
        <v>106</v>
      </c>
      <c r="G92" s="7">
        <v>4</v>
      </c>
      <c r="H92" s="7">
        <v>563.75</v>
      </c>
      <c r="I92" s="7">
        <f>27059.76*33.33%</f>
        <v>9019.0180079999991</v>
      </c>
      <c r="J92" s="52">
        <f>J86</f>
        <v>1505</v>
      </c>
      <c r="K92" s="7">
        <f>I92/J92</f>
        <v>5.9927029953488367</v>
      </c>
      <c r="L92" s="34"/>
      <c r="M92" s="34"/>
    </row>
    <row r="93" spans="1:13" ht="26.25" customHeight="1" x14ac:dyDescent="0.25">
      <c r="A93" s="66" t="s">
        <v>104</v>
      </c>
      <c r="B93" s="76"/>
      <c r="C93" s="76"/>
      <c r="D93" s="76"/>
      <c r="E93" s="90"/>
      <c r="F93" s="37" t="s">
        <v>106</v>
      </c>
      <c r="G93" s="7">
        <v>1</v>
      </c>
      <c r="H93" s="7">
        <v>80.540000000000006</v>
      </c>
      <c r="I93" s="7">
        <f>966.42*33.33%</f>
        <v>322.10778599999998</v>
      </c>
      <c r="J93" s="52">
        <f>J92</f>
        <v>1505</v>
      </c>
      <c r="K93" s="7">
        <f t="shared" ref="K93:K94" si="7">I93/J93</f>
        <v>0.21402510697674418</v>
      </c>
      <c r="L93" s="34"/>
      <c r="M93" s="34"/>
    </row>
    <row r="94" spans="1:13" ht="28.5" customHeight="1" x14ac:dyDescent="0.25">
      <c r="A94" s="66" t="s">
        <v>105</v>
      </c>
      <c r="B94" s="76"/>
      <c r="C94" s="76"/>
      <c r="D94" s="76"/>
      <c r="E94" s="90"/>
      <c r="F94" s="37" t="s">
        <v>106</v>
      </c>
      <c r="G94" s="7">
        <v>1</v>
      </c>
      <c r="H94" s="7"/>
      <c r="I94" s="7">
        <f>6481.44*33.33%</f>
        <v>2160.2639519999998</v>
      </c>
      <c r="J94" s="52">
        <f>J93</f>
        <v>1505</v>
      </c>
      <c r="K94" s="7">
        <f t="shared" si="7"/>
        <v>1.435391330232558</v>
      </c>
      <c r="L94" s="34"/>
      <c r="M94" s="34"/>
    </row>
    <row r="95" spans="1:13" ht="37.5" customHeight="1" x14ac:dyDescent="0.25">
      <c r="A95" s="66" t="s">
        <v>76</v>
      </c>
      <c r="B95" s="67"/>
      <c r="C95" s="67"/>
      <c r="D95" s="67"/>
      <c r="E95" s="68"/>
      <c r="F95" s="37" t="s">
        <v>106</v>
      </c>
      <c r="G95" s="7">
        <v>1</v>
      </c>
      <c r="H95" s="7">
        <v>1901.87</v>
      </c>
      <c r="I95" s="7">
        <f>22822.38*33.33%</f>
        <v>7606.6992540000001</v>
      </c>
      <c r="J95" s="52">
        <f>J92</f>
        <v>1505</v>
      </c>
      <c r="K95" s="7">
        <f>I95/J95</f>
        <v>5.054285218604651</v>
      </c>
      <c r="L95" s="34"/>
      <c r="M95" s="34"/>
    </row>
    <row r="96" spans="1:13" x14ac:dyDescent="0.25">
      <c r="A96" s="75" t="s">
        <v>21</v>
      </c>
      <c r="B96" s="80"/>
      <c r="C96" s="80"/>
      <c r="D96" s="80"/>
      <c r="E96" s="80"/>
      <c r="F96" s="80"/>
      <c r="G96" s="80"/>
      <c r="H96" s="91"/>
      <c r="I96" s="5">
        <f t="shared" ref="I96" si="8">SUM(I92:I95)</f>
        <v>19108.089</v>
      </c>
      <c r="J96" s="5">
        <f>J95</f>
        <v>1505</v>
      </c>
      <c r="K96" s="5">
        <f>I96/J96</f>
        <v>12.696404651162791</v>
      </c>
      <c r="L96" s="6"/>
      <c r="M96" s="34"/>
    </row>
    <row r="97" spans="1:13" x14ac:dyDescent="0.25">
      <c r="A97" s="35"/>
      <c r="B97" s="35"/>
      <c r="C97" s="35"/>
      <c r="D97" s="35"/>
      <c r="E97" s="35"/>
      <c r="F97" s="35"/>
      <c r="G97" s="35"/>
      <c r="H97" s="35"/>
      <c r="I97" s="6"/>
      <c r="J97" s="6"/>
      <c r="K97" s="6"/>
      <c r="L97" s="6"/>
      <c r="M97" s="34"/>
    </row>
    <row r="98" spans="1:13" x14ac:dyDescent="0.25">
      <c r="A98" s="73" t="s">
        <v>37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</row>
    <row r="99" spans="1:13" ht="60.75" customHeight="1" x14ac:dyDescent="0.25">
      <c r="A99" s="69" t="s">
        <v>5</v>
      </c>
      <c r="B99" s="70"/>
      <c r="C99" s="70"/>
      <c r="D99" s="70"/>
      <c r="E99" s="71"/>
      <c r="F99" s="53" t="s">
        <v>6</v>
      </c>
      <c r="G99" s="53" t="s">
        <v>1</v>
      </c>
      <c r="H99" s="53" t="s">
        <v>66</v>
      </c>
      <c r="I99" s="53" t="s">
        <v>67</v>
      </c>
      <c r="J99" s="53" t="s">
        <v>68</v>
      </c>
      <c r="K99" s="24" t="s">
        <v>69</v>
      </c>
      <c r="L99" s="33"/>
    </row>
    <row r="100" spans="1:13" ht="15" hidden="1" customHeight="1" x14ac:dyDescent="0.25">
      <c r="A100" s="72" t="s">
        <v>3</v>
      </c>
      <c r="B100" s="72"/>
      <c r="C100" s="72"/>
      <c r="D100" s="72"/>
      <c r="E100" s="72"/>
      <c r="F100" s="38">
        <v>16626</v>
      </c>
      <c r="G100" s="7">
        <v>0.45</v>
      </c>
      <c r="H100" s="3">
        <f>F100*12*G100</f>
        <v>89780.400000000009</v>
      </c>
      <c r="I100" s="7">
        <f>H100*1.302</f>
        <v>116894.08080000001</v>
      </c>
      <c r="J100" s="7">
        <f>J95</f>
        <v>1505</v>
      </c>
      <c r="K100" s="7">
        <f>I100/J100</f>
        <v>77.670485581395354</v>
      </c>
      <c r="L100" s="34"/>
    </row>
    <row r="101" spans="1:13" ht="15" hidden="1" customHeight="1" x14ac:dyDescent="0.25">
      <c r="A101" s="72" t="s">
        <v>80</v>
      </c>
      <c r="B101" s="72"/>
      <c r="C101" s="72"/>
      <c r="D101" s="72"/>
      <c r="E101" s="72"/>
      <c r="F101" s="7">
        <v>11538</v>
      </c>
      <c r="G101" s="7">
        <v>0.45</v>
      </c>
      <c r="H101" s="3">
        <f t="shared" ref="H101:H115" si="9">F101*12*G101</f>
        <v>62305.200000000004</v>
      </c>
      <c r="I101" s="7">
        <f t="shared" ref="I101:I115" si="10">H101*1.302</f>
        <v>81121.370400000014</v>
      </c>
      <c r="J101" s="7">
        <f>J100</f>
        <v>1505</v>
      </c>
      <c r="K101" s="7">
        <f>I101/J101</f>
        <v>53.901242790697687</v>
      </c>
      <c r="L101" s="34"/>
    </row>
    <row r="102" spans="1:13" ht="15" hidden="1" customHeight="1" x14ac:dyDescent="0.25">
      <c r="A102" s="72" t="s">
        <v>42</v>
      </c>
      <c r="B102" s="72"/>
      <c r="C102" s="72"/>
      <c r="D102" s="72"/>
      <c r="E102" s="72"/>
      <c r="F102" s="7">
        <v>11538</v>
      </c>
      <c r="G102" s="7">
        <v>0.45</v>
      </c>
      <c r="H102" s="3">
        <f t="shared" si="9"/>
        <v>62305.200000000004</v>
      </c>
      <c r="I102" s="7">
        <f t="shared" si="10"/>
        <v>81121.370400000014</v>
      </c>
      <c r="J102" s="7">
        <f>J101</f>
        <v>1505</v>
      </c>
      <c r="K102" s="7">
        <f>I102/J102</f>
        <v>53.901242790697687</v>
      </c>
      <c r="L102" s="34"/>
    </row>
    <row r="103" spans="1:13" ht="15" hidden="1" customHeight="1" x14ac:dyDescent="0.25">
      <c r="A103" s="72" t="s">
        <v>44</v>
      </c>
      <c r="B103" s="72"/>
      <c r="C103" s="72"/>
      <c r="D103" s="72"/>
      <c r="E103" s="72"/>
      <c r="F103" s="7">
        <v>11538</v>
      </c>
      <c r="G103" s="7">
        <v>0.45</v>
      </c>
      <c r="H103" s="3">
        <f t="shared" si="9"/>
        <v>62305.200000000004</v>
      </c>
      <c r="I103" s="7">
        <f t="shared" si="10"/>
        <v>81121.370400000014</v>
      </c>
      <c r="J103" s="7">
        <f>J101</f>
        <v>1505</v>
      </c>
      <c r="K103" s="7">
        <f t="shared" ref="K103:K115" si="11">I103/J103</f>
        <v>53.901242790697687</v>
      </c>
      <c r="L103" s="34"/>
    </row>
    <row r="104" spans="1:13" ht="15.75" hidden="1" customHeight="1" x14ac:dyDescent="0.25">
      <c r="A104" s="72" t="s">
        <v>79</v>
      </c>
      <c r="B104" s="72"/>
      <c r="C104" s="72"/>
      <c r="D104" s="72"/>
      <c r="E104" s="72"/>
      <c r="F104" s="7">
        <v>11538</v>
      </c>
      <c r="G104" s="7">
        <v>0.45</v>
      </c>
      <c r="H104" s="3">
        <f t="shared" si="9"/>
        <v>62305.200000000004</v>
      </c>
      <c r="I104" s="7">
        <f t="shared" si="10"/>
        <v>81121.370400000014</v>
      </c>
      <c r="J104" s="7">
        <f>J102</f>
        <v>1505</v>
      </c>
      <c r="K104" s="7">
        <f t="shared" si="11"/>
        <v>53.901242790697687</v>
      </c>
      <c r="L104" s="34"/>
    </row>
    <row r="105" spans="1:13" ht="14.25" hidden="1" customHeight="1" x14ac:dyDescent="0.25">
      <c r="A105" s="72" t="s">
        <v>38</v>
      </c>
      <c r="B105" s="72"/>
      <c r="C105" s="72"/>
      <c r="D105" s="72"/>
      <c r="E105" s="72"/>
      <c r="F105" s="38">
        <v>6556</v>
      </c>
      <c r="G105" s="7">
        <v>2.25</v>
      </c>
      <c r="H105" s="3">
        <f t="shared" si="9"/>
        <v>177012</v>
      </c>
      <c r="I105" s="7">
        <f t="shared" si="10"/>
        <v>230469.62400000001</v>
      </c>
      <c r="J105" s="7">
        <f>J103</f>
        <v>1505</v>
      </c>
      <c r="K105" s="7">
        <f t="shared" si="11"/>
        <v>153.13596279069768</v>
      </c>
      <c r="L105" s="34"/>
    </row>
    <row r="106" spans="1:13" ht="15" hidden="1" customHeight="1" x14ac:dyDescent="0.25">
      <c r="A106" s="72" t="s">
        <v>82</v>
      </c>
      <c r="B106" s="72"/>
      <c r="C106" s="72"/>
      <c r="D106" s="72"/>
      <c r="E106" s="72"/>
      <c r="F106" s="38">
        <v>6556</v>
      </c>
      <c r="G106" s="7">
        <v>0.45</v>
      </c>
      <c r="H106" s="3">
        <f t="shared" si="9"/>
        <v>35402.400000000001</v>
      </c>
      <c r="I106" s="7">
        <f t="shared" si="10"/>
        <v>46093.924800000001</v>
      </c>
      <c r="J106" s="7">
        <f t="shared" ref="J106:J115" si="12">J104</f>
        <v>1505</v>
      </c>
      <c r="K106" s="7">
        <f t="shared" si="11"/>
        <v>30.627192558139534</v>
      </c>
      <c r="L106" s="34"/>
    </row>
    <row r="107" spans="1:13" ht="15" hidden="1" customHeight="1" x14ac:dyDescent="0.25">
      <c r="A107" s="72" t="s">
        <v>45</v>
      </c>
      <c r="B107" s="72"/>
      <c r="C107" s="72"/>
      <c r="D107" s="72"/>
      <c r="E107" s="72"/>
      <c r="F107" s="38">
        <v>6556</v>
      </c>
      <c r="G107" s="7">
        <v>0.45</v>
      </c>
      <c r="H107" s="3">
        <f t="shared" si="9"/>
        <v>35402.400000000001</v>
      </c>
      <c r="I107" s="7">
        <f t="shared" si="10"/>
        <v>46093.924800000001</v>
      </c>
      <c r="J107" s="7">
        <f t="shared" si="12"/>
        <v>1505</v>
      </c>
      <c r="K107" s="7">
        <f t="shared" si="11"/>
        <v>30.627192558139534</v>
      </c>
      <c r="L107" s="34"/>
    </row>
    <row r="108" spans="1:13" ht="15" hidden="1" customHeight="1" x14ac:dyDescent="0.25">
      <c r="A108" s="72" t="s">
        <v>48</v>
      </c>
      <c r="B108" s="72"/>
      <c r="C108" s="72"/>
      <c r="D108" s="72"/>
      <c r="E108" s="72"/>
      <c r="F108" s="38">
        <v>5669</v>
      </c>
      <c r="G108" s="7">
        <v>0.23</v>
      </c>
      <c r="H108" s="3">
        <f t="shared" si="9"/>
        <v>15646.44</v>
      </c>
      <c r="I108" s="7">
        <f t="shared" si="10"/>
        <v>20371.66488</v>
      </c>
      <c r="J108" s="7">
        <f t="shared" si="12"/>
        <v>1505</v>
      </c>
      <c r="K108" s="7">
        <f t="shared" si="11"/>
        <v>13.535989953488372</v>
      </c>
      <c r="L108" s="34"/>
    </row>
    <row r="109" spans="1:13" ht="15.75" hidden="1" customHeight="1" x14ac:dyDescent="0.25">
      <c r="A109" s="72" t="s">
        <v>88</v>
      </c>
      <c r="B109" s="72"/>
      <c r="C109" s="72"/>
      <c r="D109" s="72"/>
      <c r="E109" s="72"/>
      <c r="F109" s="38">
        <v>11538</v>
      </c>
      <c r="G109" s="7">
        <v>3.15</v>
      </c>
      <c r="H109" s="3">
        <f t="shared" si="9"/>
        <v>436136.39999999997</v>
      </c>
      <c r="I109" s="7">
        <f t="shared" si="10"/>
        <v>567849.59279999998</v>
      </c>
      <c r="J109" s="7">
        <f t="shared" si="12"/>
        <v>1505</v>
      </c>
      <c r="K109" s="7">
        <f t="shared" si="11"/>
        <v>377.30869953488371</v>
      </c>
      <c r="L109" s="34"/>
    </row>
    <row r="110" spans="1:13" ht="15.75" hidden="1" customHeight="1" x14ac:dyDescent="0.25">
      <c r="A110" s="72" t="s">
        <v>50</v>
      </c>
      <c r="B110" s="72"/>
      <c r="C110" s="72"/>
      <c r="D110" s="72"/>
      <c r="E110" s="72"/>
      <c r="F110" s="38">
        <v>8837</v>
      </c>
      <c r="G110" s="7">
        <v>3.6</v>
      </c>
      <c r="H110" s="3">
        <f t="shared" si="9"/>
        <v>381758.4</v>
      </c>
      <c r="I110" s="7">
        <f t="shared" si="10"/>
        <v>497049.43680000002</v>
      </c>
      <c r="J110" s="7">
        <f t="shared" si="12"/>
        <v>1505</v>
      </c>
      <c r="K110" s="7">
        <f t="shared" si="11"/>
        <v>330.26540651162793</v>
      </c>
      <c r="L110" s="34"/>
    </row>
    <row r="111" spans="1:13" ht="15.75" hidden="1" customHeight="1" x14ac:dyDescent="0.25">
      <c r="A111" s="72" t="s">
        <v>90</v>
      </c>
      <c r="B111" s="72"/>
      <c r="C111" s="72"/>
      <c r="D111" s="72"/>
      <c r="E111" s="72"/>
      <c r="F111" s="38">
        <v>11538</v>
      </c>
      <c r="G111" s="7">
        <v>0.45</v>
      </c>
      <c r="H111" s="3">
        <f t="shared" si="9"/>
        <v>62305.200000000004</v>
      </c>
      <c r="I111" s="7">
        <f t="shared" si="10"/>
        <v>81121.370400000014</v>
      </c>
      <c r="J111" s="7">
        <f t="shared" si="12"/>
        <v>1505</v>
      </c>
      <c r="K111" s="7">
        <f t="shared" si="11"/>
        <v>53.901242790697687</v>
      </c>
      <c r="L111" s="34"/>
    </row>
    <row r="112" spans="1:13" ht="15.75" hidden="1" customHeight="1" x14ac:dyDescent="0.25">
      <c r="A112" s="72" t="s">
        <v>91</v>
      </c>
      <c r="B112" s="72"/>
      <c r="C112" s="72"/>
      <c r="D112" s="72"/>
      <c r="E112" s="72"/>
      <c r="F112" s="38">
        <v>11538</v>
      </c>
      <c r="G112" s="7">
        <v>0.45</v>
      </c>
      <c r="H112" s="3">
        <f t="shared" si="9"/>
        <v>62305.200000000004</v>
      </c>
      <c r="I112" s="7">
        <f t="shared" si="10"/>
        <v>81121.370400000014</v>
      </c>
      <c r="J112" s="7">
        <f t="shared" si="12"/>
        <v>1505</v>
      </c>
      <c r="K112" s="7">
        <f t="shared" si="11"/>
        <v>53.901242790697687</v>
      </c>
      <c r="L112" s="34"/>
    </row>
    <row r="113" spans="1:13" ht="13.5" hidden="1" customHeight="1" x14ac:dyDescent="0.25">
      <c r="A113" s="72" t="s">
        <v>92</v>
      </c>
      <c r="B113" s="72"/>
      <c r="C113" s="72"/>
      <c r="D113" s="72"/>
      <c r="E113" s="72"/>
      <c r="F113" s="38">
        <v>11538</v>
      </c>
      <c r="G113" s="7">
        <v>0.45</v>
      </c>
      <c r="H113" s="3">
        <f>F113*12*G113</f>
        <v>62305.200000000004</v>
      </c>
      <c r="I113" s="7">
        <f t="shared" si="10"/>
        <v>81121.370400000014</v>
      </c>
      <c r="J113" s="7">
        <f t="shared" si="12"/>
        <v>1505</v>
      </c>
      <c r="K113" s="7">
        <f t="shared" si="11"/>
        <v>53.901242790697687</v>
      </c>
      <c r="L113" s="34"/>
    </row>
    <row r="114" spans="1:13" ht="17.25" hidden="1" customHeight="1" x14ac:dyDescent="0.25">
      <c r="A114" s="72" t="s">
        <v>52</v>
      </c>
      <c r="B114" s="72"/>
      <c r="C114" s="72"/>
      <c r="D114" s="72"/>
      <c r="E114" s="72"/>
      <c r="F114" s="38">
        <v>8837</v>
      </c>
      <c r="G114" s="7">
        <v>4.28</v>
      </c>
      <c r="H114" s="3">
        <f t="shared" si="9"/>
        <v>453868.32</v>
      </c>
      <c r="I114" s="7">
        <f t="shared" si="10"/>
        <v>590936.55264000001</v>
      </c>
      <c r="J114" s="7">
        <f t="shared" si="12"/>
        <v>1505</v>
      </c>
      <c r="K114" s="7">
        <f t="shared" si="11"/>
        <v>392.6488721860465</v>
      </c>
      <c r="L114" s="34"/>
    </row>
    <row r="115" spans="1:13" ht="17.25" hidden="1" customHeight="1" x14ac:dyDescent="0.25">
      <c r="A115" s="72" t="s">
        <v>93</v>
      </c>
      <c r="B115" s="72"/>
      <c r="C115" s="72"/>
      <c r="D115" s="72"/>
      <c r="E115" s="72"/>
      <c r="F115" s="38">
        <v>11538</v>
      </c>
      <c r="G115" s="7">
        <v>0.45</v>
      </c>
      <c r="H115" s="3">
        <f t="shared" si="9"/>
        <v>62305.200000000004</v>
      </c>
      <c r="I115" s="7">
        <f t="shared" si="10"/>
        <v>81121.370400000014</v>
      </c>
      <c r="J115" s="7">
        <f t="shared" si="12"/>
        <v>1505</v>
      </c>
      <c r="K115" s="7">
        <f t="shared" si="11"/>
        <v>53.901242790697687</v>
      </c>
      <c r="L115" s="34"/>
    </row>
    <row r="116" spans="1:13" s="9" customFormat="1" ht="20.25" customHeight="1" x14ac:dyDescent="0.25">
      <c r="A116" s="47" t="s">
        <v>22</v>
      </c>
      <c r="B116" s="48"/>
      <c r="C116" s="48"/>
      <c r="D116" s="48"/>
      <c r="E116" s="48"/>
      <c r="F116" s="2">
        <v>22363.97</v>
      </c>
      <c r="G116" s="2">
        <f>L45</f>
        <v>0.66659999999999997</v>
      </c>
      <c r="H116" s="41">
        <v>179806.32</v>
      </c>
      <c r="I116" s="5">
        <f>(H116*1.302)</f>
        <v>234107.82864000002</v>
      </c>
      <c r="J116" s="5">
        <f>J96</f>
        <v>1505</v>
      </c>
      <c r="K116" s="5">
        <f>I116/J115</f>
        <v>155.55337451162791</v>
      </c>
      <c r="L116" s="34"/>
      <c r="M116" s="8"/>
    </row>
    <row r="117" spans="1:13" ht="12" customHeight="1" x14ac:dyDescent="0.25">
      <c r="F117" s="49"/>
      <c r="G117" s="49"/>
      <c r="H117" s="49"/>
      <c r="I117" s="49"/>
      <c r="J117" s="49"/>
      <c r="K117" s="49"/>
      <c r="L117" s="49"/>
    </row>
    <row r="118" spans="1:13" s="9" customFormat="1" x14ac:dyDescent="0.25">
      <c r="A118" s="84" t="s">
        <v>77</v>
      </c>
      <c r="B118" s="84"/>
      <c r="C118" s="84"/>
      <c r="D118" s="84"/>
      <c r="E118" s="84"/>
      <c r="F118" s="84"/>
      <c r="G118" s="84"/>
      <c r="H118" s="84"/>
      <c r="I118" s="84"/>
      <c r="J118" s="84"/>
      <c r="K118" s="84"/>
      <c r="L118" s="84"/>
      <c r="M118" s="8"/>
    </row>
    <row r="119" spans="1:13" s="9" customFormat="1" ht="44.25" customHeight="1" x14ac:dyDescent="0.25">
      <c r="A119" s="79" t="s">
        <v>54</v>
      </c>
      <c r="B119" s="79"/>
      <c r="C119" s="79"/>
      <c r="D119" s="79"/>
      <c r="E119" s="79"/>
      <c r="F119" s="53" t="s">
        <v>7</v>
      </c>
      <c r="G119" s="53" t="s">
        <v>65</v>
      </c>
      <c r="H119" s="53" t="s">
        <v>64</v>
      </c>
      <c r="I119" s="53" t="s">
        <v>72</v>
      </c>
      <c r="J119" s="53" t="s">
        <v>68</v>
      </c>
      <c r="K119" s="27" t="s">
        <v>69</v>
      </c>
      <c r="L119" s="28"/>
      <c r="M119" s="8"/>
    </row>
    <row r="120" spans="1:13" s="9" customFormat="1" ht="23.25" customHeight="1" x14ac:dyDescent="0.25">
      <c r="A120" s="66" t="s">
        <v>107</v>
      </c>
      <c r="B120" s="67"/>
      <c r="C120" s="67"/>
      <c r="D120" s="67"/>
      <c r="E120" s="68"/>
      <c r="F120" s="53"/>
      <c r="G120" s="43"/>
      <c r="H120" s="43"/>
      <c r="I120" s="43">
        <f>68360*33.33%</f>
        <v>22784.387999999999</v>
      </c>
      <c r="J120" s="43">
        <f>J116</f>
        <v>1505</v>
      </c>
      <c r="K120" s="52">
        <f>I120/J120</f>
        <v>15.139128239202657</v>
      </c>
      <c r="L120" s="28"/>
      <c r="M120" s="8"/>
    </row>
    <row r="121" spans="1:13" s="9" customFormat="1" ht="30.75" hidden="1" customHeight="1" x14ac:dyDescent="0.25">
      <c r="A121" s="81" t="s">
        <v>108</v>
      </c>
      <c r="B121" s="82"/>
      <c r="C121" s="82"/>
      <c r="D121" s="82"/>
      <c r="E121" s="83"/>
      <c r="F121" s="53"/>
      <c r="G121" s="43"/>
      <c r="H121" s="43"/>
      <c r="I121" s="43">
        <v>0</v>
      </c>
      <c r="J121" s="43">
        <f>J120</f>
        <v>1505</v>
      </c>
      <c r="K121" s="52">
        <f t="shared" ref="K121" si="13">I121/J121</f>
        <v>0</v>
      </c>
      <c r="L121" s="28"/>
      <c r="M121" s="8"/>
    </row>
    <row r="122" spans="1:13" s="9" customFormat="1" x14ac:dyDescent="0.25">
      <c r="A122" s="75" t="s">
        <v>78</v>
      </c>
      <c r="B122" s="80"/>
      <c r="C122" s="80"/>
      <c r="D122" s="80"/>
      <c r="E122" s="80"/>
      <c r="F122" s="80"/>
      <c r="G122" s="80"/>
      <c r="H122" s="91"/>
      <c r="I122" s="5">
        <f>SUM(I120:I121)</f>
        <v>22784.387999999999</v>
      </c>
      <c r="J122" s="5">
        <f>J121</f>
        <v>1505</v>
      </c>
      <c r="K122" s="5">
        <f>I122/J122</f>
        <v>15.139128239202657</v>
      </c>
      <c r="L122" s="30"/>
      <c r="M122" s="8"/>
    </row>
    <row r="123" spans="1:13" ht="12" customHeight="1" x14ac:dyDescent="0.25">
      <c r="F123" s="49"/>
      <c r="G123" s="49"/>
      <c r="H123" s="49"/>
      <c r="I123" s="49"/>
      <c r="J123" s="49"/>
      <c r="K123" s="49"/>
      <c r="L123" s="49"/>
    </row>
    <row r="124" spans="1:13" s="9" customFormat="1" x14ac:dyDescent="0.25">
      <c r="A124" s="84" t="s">
        <v>109</v>
      </c>
      <c r="B124" s="84"/>
      <c r="C124" s="84"/>
      <c r="D124" s="84"/>
      <c r="E124" s="84"/>
      <c r="F124" s="84"/>
      <c r="G124" s="84"/>
      <c r="H124" s="84"/>
      <c r="I124" s="84"/>
      <c r="J124" s="84"/>
      <c r="K124" s="84"/>
      <c r="L124" s="84"/>
      <c r="M124" s="8"/>
    </row>
    <row r="125" spans="1:13" s="9" customFormat="1" ht="44.25" customHeight="1" x14ac:dyDescent="0.25">
      <c r="A125" s="79" t="s">
        <v>54</v>
      </c>
      <c r="B125" s="79"/>
      <c r="C125" s="79"/>
      <c r="D125" s="79"/>
      <c r="E125" s="79"/>
      <c r="F125" s="53" t="s">
        <v>7</v>
      </c>
      <c r="G125" s="53" t="s">
        <v>65</v>
      </c>
      <c r="H125" s="53" t="s">
        <v>64</v>
      </c>
      <c r="I125" s="53" t="s">
        <v>72</v>
      </c>
      <c r="J125" s="53" t="s">
        <v>68</v>
      </c>
      <c r="K125" s="27" t="s">
        <v>69</v>
      </c>
      <c r="L125" s="28"/>
      <c r="M125" s="8"/>
    </row>
    <row r="126" spans="1:13" s="9" customFormat="1" ht="23.25" customHeight="1" x14ac:dyDescent="0.25">
      <c r="A126" s="66" t="s">
        <v>110</v>
      </c>
      <c r="B126" s="67"/>
      <c r="C126" s="67"/>
      <c r="D126" s="67"/>
      <c r="E126" s="68"/>
      <c r="F126" s="53"/>
      <c r="G126" s="43"/>
      <c r="H126" s="43"/>
      <c r="I126" s="43">
        <f>108400*33.33%</f>
        <v>36129.72</v>
      </c>
      <c r="J126" s="43">
        <f>J122</f>
        <v>1505</v>
      </c>
      <c r="K126" s="52">
        <f>I126/J126</f>
        <v>24.006458471760798</v>
      </c>
      <c r="L126" s="28"/>
      <c r="M126" s="8"/>
    </row>
    <row r="127" spans="1:13" s="9" customFormat="1" x14ac:dyDescent="0.25">
      <c r="A127" s="75" t="s">
        <v>111</v>
      </c>
      <c r="B127" s="80"/>
      <c r="C127" s="80"/>
      <c r="D127" s="80"/>
      <c r="E127" s="80"/>
      <c r="F127" s="80"/>
      <c r="G127" s="80"/>
      <c r="H127" s="91"/>
      <c r="I127" s="5">
        <f>SUM(I126:I126)</f>
        <v>36129.72</v>
      </c>
      <c r="J127" s="5">
        <f>J126</f>
        <v>1505</v>
      </c>
      <c r="K127" s="5">
        <f>I127/J127</f>
        <v>24.006458471760798</v>
      </c>
      <c r="L127" s="30"/>
      <c r="M127" s="8"/>
    </row>
    <row r="128" spans="1:13" s="9" customFormat="1" x14ac:dyDescent="0.25">
      <c r="A128" s="44"/>
      <c r="B128" s="44"/>
      <c r="C128" s="44"/>
      <c r="D128" s="44"/>
      <c r="E128" s="44"/>
      <c r="F128" s="44"/>
      <c r="G128" s="44"/>
      <c r="H128" s="44"/>
      <c r="I128" s="15"/>
      <c r="J128" s="15"/>
      <c r="K128" s="15"/>
      <c r="L128" s="34"/>
      <c r="M128" s="8"/>
    </row>
    <row r="129" spans="1:12" ht="12.75" customHeight="1" x14ac:dyDescent="0.25">
      <c r="A129" s="78" t="s">
        <v>23</v>
      </c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78"/>
    </row>
    <row r="130" spans="1:12" ht="15" customHeight="1" x14ac:dyDescent="0.25">
      <c r="A130" s="77" t="s">
        <v>24</v>
      </c>
      <c r="B130" s="77"/>
      <c r="C130" s="77"/>
      <c r="D130" s="69" t="s">
        <v>25</v>
      </c>
      <c r="E130" s="70"/>
      <c r="F130" s="70"/>
      <c r="G130" s="70"/>
      <c r="H130" s="70"/>
      <c r="I130" s="70"/>
      <c r="J130" s="71"/>
      <c r="K130" s="77" t="s">
        <v>36</v>
      </c>
      <c r="L130" s="77"/>
    </row>
    <row r="131" spans="1:12" ht="30" x14ac:dyDescent="0.25">
      <c r="A131" s="7" t="s">
        <v>26</v>
      </c>
      <c r="B131" s="25" t="s">
        <v>27</v>
      </c>
      <c r="C131" s="7" t="s">
        <v>28</v>
      </c>
      <c r="D131" s="7" t="s">
        <v>29</v>
      </c>
      <c r="E131" s="7" t="s">
        <v>30</v>
      </c>
      <c r="F131" s="7" t="s">
        <v>31</v>
      </c>
      <c r="G131" s="7" t="s">
        <v>32</v>
      </c>
      <c r="H131" s="7" t="s">
        <v>33</v>
      </c>
      <c r="I131" s="7" t="s">
        <v>34</v>
      </c>
      <c r="J131" s="7" t="s">
        <v>35</v>
      </c>
      <c r="K131" s="77"/>
      <c r="L131" s="77"/>
    </row>
    <row r="132" spans="1:12" x14ac:dyDescent="0.25">
      <c r="A132" s="7">
        <f>K62</f>
        <v>4161.0524221395353</v>
      </c>
      <c r="B132" s="7"/>
      <c r="C132" s="7"/>
      <c r="D132" s="7">
        <f>K71</f>
        <v>281.86839284451821</v>
      </c>
      <c r="E132" s="7">
        <f>K80</f>
        <v>29.428020358803984</v>
      </c>
      <c r="F132" s="7"/>
      <c r="G132" s="7">
        <f>K96</f>
        <v>12.696404651162791</v>
      </c>
      <c r="H132" s="7"/>
      <c r="I132" s="7">
        <f>K116</f>
        <v>155.55337451162791</v>
      </c>
      <c r="J132" s="7">
        <f>K122+K127+K88</f>
        <v>56.544931873754152</v>
      </c>
      <c r="K132" s="88">
        <f>SUM(A132:J132)</f>
        <v>4697.1435463794023</v>
      </c>
      <c r="L132" s="89"/>
    </row>
    <row r="133" spans="1:12" ht="13.5" customHeight="1" x14ac:dyDescent="0.25"/>
    <row r="134" spans="1:12" ht="15.75" x14ac:dyDescent="0.25">
      <c r="A134" s="16" t="s">
        <v>60</v>
      </c>
      <c r="B134" s="16"/>
      <c r="C134" s="16"/>
      <c r="D134" s="16"/>
      <c r="E134" s="16"/>
      <c r="F134" s="16" t="s">
        <v>61</v>
      </c>
    </row>
    <row r="135" spans="1:12" ht="15.75" customHeight="1" x14ac:dyDescent="0.25">
      <c r="I135" s="11">
        <f>I122+I96+I88+I80+I71+I62+I127+I116</f>
        <v>7069201.0373010002</v>
      </c>
      <c r="J135" s="10"/>
      <c r="K135" s="11">
        <f>K132*J126</f>
        <v>7069201.0373010002</v>
      </c>
      <c r="L135" s="12"/>
    </row>
    <row r="136" spans="1:12" ht="10.5" customHeight="1" x14ac:dyDescent="0.25"/>
    <row r="137" spans="1:12" hidden="1" x14ac:dyDescent="0.25"/>
    <row r="138" spans="1:12" hidden="1" x14ac:dyDescent="0.25"/>
    <row r="139" spans="1:12" ht="13.5" customHeight="1" x14ac:dyDescent="0.25">
      <c r="A139" s="45" t="s">
        <v>112</v>
      </c>
      <c r="B139" s="45"/>
      <c r="C139" s="45"/>
    </row>
    <row r="140" spans="1:12" x14ac:dyDescent="0.25">
      <c r="A140" s="45" t="s">
        <v>62</v>
      </c>
      <c r="B140" s="45"/>
      <c r="C140" s="45"/>
    </row>
  </sheetData>
  <mergeCells count="140">
    <mergeCell ref="G37:K37"/>
    <mergeCell ref="G38:K38"/>
    <mergeCell ref="G39:K39"/>
    <mergeCell ref="G40:K40"/>
    <mergeCell ref="G41:K41"/>
    <mergeCell ref="G42:K42"/>
    <mergeCell ref="A98:L98"/>
    <mergeCell ref="A96:H96"/>
    <mergeCell ref="A82:L82"/>
    <mergeCell ref="A80:H80"/>
    <mergeCell ref="A45:E45"/>
    <mergeCell ref="G45:K45"/>
    <mergeCell ref="G31:K31"/>
    <mergeCell ref="G32:K32"/>
    <mergeCell ref="G33:K33"/>
    <mergeCell ref="G34:K34"/>
    <mergeCell ref="G35:K35"/>
    <mergeCell ref="G36:K36"/>
    <mergeCell ref="K132:L132"/>
    <mergeCell ref="A87:E87"/>
    <mergeCell ref="A125:E125"/>
    <mergeCell ref="A126:E126"/>
    <mergeCell ref="A127:H127"/>
    <mergeCell ref="A129:L129"/>
    <mergeCell ref="A130:C130"/>
    <mergeCell ref="D130:J130"/>
    <mergeCell ref="K130:L131"/>
    <mergeCell ref="A118:L118"/>
    <mergeCell ref="A119:E119"/>
    <mergeCell ref="A120:E120"/>
    <mergeCell ref="A121:E121"/>
    <mergeCell ref="A122:H122"/>
    <mergeCell ref="A124:L124"/>
    <mergeCell ref="A110:E110"/>
    <mergeCell ref="A111:E111"/>
    <mergeCell ref="A112:E112"/>
    <mergeCell ref="A113:E113"/>
    <mergeCell ref="A114:E114"/>
    <mergeCell ref="A115:E115"/>
    <mergeCell ref="A104:E104"/>
    <mergeCell ref="A105:E105"/>
    <mergeCell ref="A106:E106"/>
    <mergeCell ref="A107:E107"/>
    <mergeCell ref="A108:E108"/>
    <mergeCell ref="A109:E109"/>
    <mergeCell ref="A99:E99"/>
    <mergeCell ref="A100:E100"/>
    <mergeCell ref="A101:E101"/>
    <mergeCell ref="A102:E102"/>
    <mergeCell ref="A103:E103"/>
    <mergeCell ref="A91:E91"/>
    <mergeCell ref="A92:E92"/>
    <mergeCell ref="A93:E93"/>
    <mergeCell ref="A94:E94"/>
    <mergeCell ref="A95:E95"/>
    <mergeCell ref="A83:E83"/>
    <mergeCell ref="A84:E84"/>
    <mergeCell ref="A85:E85"/>
    <mergeCell ref="A86:E86"/>
    <mergeCell ref="A88:H88"/>
    <mergeCell ref="A90:L90"/>
    <mergeCell ref="A76:E76"/>
    <mergeCell ref="A77:E77"/>
    <mergeCell ref="A78:E78"/>
    <mergeCell ref="A79:E79"/>
    <mergeCell ref="A69:E69"/>
    <mergeCell ref="A70:E70"/>
    <mergeCell ref="A71:H71"/>
    <mergeCell ref="A73:L73"/>
    <mergeCell ref="A74:E74"/>
    <mergeCell ref="A75:E75"/>
    <mergeCell ref="A64:L64"/>
    <mergeCell ref="A65:E65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48:E48"/>
    <mergeCell ref="A49:E49"/>
    <mergeCell ref="A62:E62"/>
    <mergeCell ref="A28:E28"/>
    <mergeCell ref="G28:K28"/>
    <mergeCell ref="A29:E29"/>
    <mergeCell ref="G29:K29"/>
    <mergeCell ref="A30:E30"/>
    <mergeCell ref="G30:K30"/>
    <mergeCell ref="A25:E25"/>
    <mergeCell ref="G25:K25"/>
    <mergeCell ref="A26:E26"/>
    <mergeCell ref="G26:K26"/>
    <mergeCell ref="A27:E27"/>
    <mergeCell ref="G27:K27"/>
    <mergeCell ref="A22:E22"/>
    <mergeCell ref="G22:K22"/>
    <mergeCell ref="A23:E23"/>
    <mergeCell ref="G23:K23"/>
    <mergeCell ref="A24:E24"/>
    <mergeCell ref="G24:K24"/>
    <mergeCell ref="A19:E19"/>
    <mergeCell ref="G19:K19"/>
    <mergeCell ref="A20:E20"/>
    <mergeCell ref="G20:K20"/>
    <mergeCell ref="A21:E21"/>
    <mergeCell ref="G21:K21"/>
    <mergeCell ref="A17:E17"/>
    <mergeCell ref="G17:K17"/>
    <mergeCell ref="A18:E18"/>
    <mergeCell ref="G18:K18"/>
    <mergeCell ref="A4:F4"/>
    <mergeCell ref="A5:D5"/>
    <mergeCell ref="A7:L7"/>
    <mergeCell ref="A8:L8"/>
    <mergeCell ref="A9:L9"/>
    <mergeCell ref="A16:E16"/>
    <mergeCell ref="G16:K16"/>
    <mergeCell ref="A31:E31"/>
    <mergeCell ref="A32:E32"/>
    <mergeCell ref="A33:E33"/>
    <mergeCell ref="A34:E34"/>
    <mergeCell ref="A35:E35"/>
    <mergeCell ref="A41:E41"/>
    <mergeCell ref="A42:E42"/>
    <mergeCell ref="A43:E43"/>
    <mergeCell ref="A44:E44"/>
    <mergeCell ref="A36:E36"/>
    <mergeCell ref="A37:E37"/>
    <mergeCell ref="A38:E38"/>
    <mergeCell ref="A39:E39"/>
    <mergeCell ref="A40:E40"/>
  </mergeCells>
  <pageMargins left="0.35433070866141736" right="0.35433070866141736" top="0.35433070866141736" bottom="0.35433070866141736" header="0.31496062992125984" footer="0.31496062992125984"/>
  <pageSetup paperSize="9" scale="78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0"/>
  <sheetViews>
    <sheetView tabSelected="1" topLeftCell="A36" zoomScale="90" zoomScaleNormal="90" workbookViewId="0">
      <selection activeCell="I85" sqref="I85"/>
    </sheetView>
  </sheetViews>
  <sheetFormatPr defaultRowHeight="15" x14ac:dyDescent="0.25"/>
  <cols>
    <col min="1" max="3" width="9.140625" style="8" customWidth="1"/>
    <col min="4" max="4" width="8.140625" style="8" customWidth="1"/>
    <col min="5" max="5" width="16.42578125" style="8" customWidth="1"/>
    <col min="6" max="6" width="13.42578125" style="8" customWidth="1"/>
    <col min="7" max="7" width="13.7109375" style="8" customWidth="1"/>
    <col min="8" max="8" width="17.42578125" style="8" customWidth="1"/>
    <col min="9" max="10" width="13.7109375" style="8" customWidth="1"/>
    <col min="11" max="11" width="14.42578125" style="8" customWidth="1"/>
    <col min="12" max="12" width="8.5703125" style="8" customWidth="1"/>
    <col min="13" max="13" width="13.5703125" style="8" customWidth="1"/>
    <col min="14" max="16384" width="9.140625" style="8"/>
  </cols>
  <sheetData>
    <row r="1" spans="1:12" ht="15.75" x14ac:dyDescent="0.25">
      <c r="A1" s="16" t="s">
        <v>57</v>
      </c>
      <c r="B1" s="16"/>
      <c r="C1" s="16"/>
      <c r="D1" s="1"/>
    </row>
    <row r="2" spans="1:12" ht="15.75" x14ac:dyDescent="0.25">
      <c r="A2" s="17" t="s">
        <v>58</v>
      </c>
      <c r="B2" s="17"/>
      <c r="C2" s="17"/>
      <c r="D2" s="1"/>
    </row>
    <row r="3" spans="1:12" ht="15.75" x14ac:dyDescent="0.25">
      <c r="A3" s="18"/>
      <c r="B3" s="18"/>
      <c r="C3" s="18"/>
      <c r="D3" s="1"/>
    </row>
    <row r="4" spans="1:12" ht="15.75" x14ac:dyDescent="0.25">
      <c r="A4" s="85" t="s">
        <v>59</v>
      </c>
      <c r="B4" s="85"/>
      <c r="C4" s="85"/>
      <c r="D4" s="86"/>
      <c r="E4" s="86"/>
      <c r="F4" s="86"/>
    </row>
    <row r="5" spans="1:12" ht="15.75" x14ac:dyDescent="0.25">
      <c r="A5" s="87" t="s">
        <v>113</v>
      </c>
      <c r="B5" s="87"/>
      <c r="C5" s="87"/>
      <c r="D5" s="86"/>
    </row>
    <row r="6" spans="1:12" ht="15.75" x14ac:dyDescent="0.25">
      <c r="A6" s="51"/>
      <c r="B6" s="51"/>
      <c r="C6" s="51"/>
      <c r="D6" s="50"/>
    </row>
    <row r="7" spans="1:12" s="21" customFormat="1" x14ac:dyDescent="0.25">
      <c r="A7" s="65" t="s">
        <v>63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</row>
    <row r="8" spans="1:12" s="21" customFormat="1" x14ac:dyDescent="0.25">
      <c r="A8" s="65" t="s">
        <v>97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</row>
    <row r="9" spans="1:12" s="21" customFormat="1" ht="13.5" customHeight="1" x14ac:dyDescent="0.25">
      <c r="A9" s="65" t="s">
        <v>114</v>
      </c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</row>
    <row r="10" spans="1:12" ht="10.5" customHeight="1" x14ac:dyDescent="0.25"/>
    <row r="11" spans="1:12" x14ac:dyDescent="0.25">
      <c r="A11" s="92" t="s">
        <v>116</v>
      </c>
      <c r="B11" s="93"/>
      <c r="C11" s="93"/>
      <c r="D11" s="93"/>
      <c r="E11" s="93"/>
      <c r="F11" s="93"/>
      <c r="G11" s="93"/>
      <c r="H11" s="93"/>
      <c r="I11" s="93"/>
      <c r="J11" s="93"/>
      <c r="K11" s="93"/>
      <c r="L11" s="56"/>
    </row>
    <row r="12" spans="1:12" x14ac:dyDescent="0.25">
      <c r="A12" s="93" t="s">
        <v>122</v>
      </c>
      <c r="B12" s="93"/>
      <c r="C12" s="93"/>
      <c r="D12" s="93"/>
      <c r="E12" s="93"/>
      <c r="F12" s="93"/>
      <c r="G12" s="93"/>
      <c r="H12" s="93"/>
      <c r="I12" s="93"/>
      <c r="J12" s="93"/>
      <c r="K12" s="93"/>
      <c r="L12" s="56"/>
    </row>
    <row r="13" spans="1:12" x14ac:dyDescent="0.25">
      <c r="A13" s="92" t="s">
        <v>118</v>
      </c>
      <c r="B13" s="93"/>
      <c r="C13" s="93"/>
      <c r="D13" s="93"/>
      <c r="E13" s="93"/>
      <c r="F13" s="93"/>
      <c r="G13" s="93"/>
      <c r="H13" s="93"/>
      <c r="I13" s="93"/>
      <c r="J13" s="93"/>
      <c r="K13" s="93"/>
      <c r="L13" s="56"/>
    </row>
    <row r="14" spans="1:12" x14ac:dyDescent="0.25">
      <c r="A14" s="92" t="s">
        <v>123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56"/>
    </row>
    <row r="15" spans="1:12" x14ac:dyDescent="0.25">
      <c r="A15" s="92" t="s">
        <v>120</v>
      </c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56"/>
    </row>
    <row r="16" spans="1:12" ht="33" customHeight="1" x14ac:dyDescent="0.25">
      <c r="A16" s="94" t="s">
        <v>0</v>
      </c>
      <c r="B16" s="94"/>
      <c r="C16" s="94"/>
      <c r="D16" s="94"/>
      <c r="E16" s="94"/>
      <c r="F16" s="58" t="s">
        <v>1</v>
      </c>
      <c r="G16" s="94" t="s">
        <v>2</v>
      </c>
      <c r="H16" s="94"/>
      <c r="I16" s="94"/>
      <c r="J16" s="94"/>
      <c r="K16" s="94"/>
      <c r="L16" s="58" t="s">
        <v>1</v>
      </c>
    </row>
    <row r="17" spans="1:12" ht="15" hidden="1" customHeight="1" x14ac:dyDescent="0.25">
      <c r="A17" s="61" t="s">
        <v>41</v>
      </c>
      <c r="B17" s="61"/>
      <c r="C17" s="61"/>
      <c r="D17" s="61"/>
      <c r="E17" s="61"/>
      <c r="F17" s="38"/>
      <c r="G17" s="61" t="s">
        <v>3</v>
      </c>
      <c r="H17" s="61"/>
      <c r="I17" s="61"/>
      <c r="J17" s="61"/>
      <c r="K17" s="61"/>
      <c r="L17" s="38">
        <v>0</v>
      </c>
    </row>
    <row r="18" spans="1:12" s="93" customFormat="1" ht="29.25" customHeight="1" x14ac:dyDescent="0.25">
      <c r="A18" s="95" t="s">
        <v>43</v>
      </c>
      <c r="B18" s="95"/>
      <c r="C18" s="95"/>
      <c r="D18" s="95"/>
      <c r="E18" s="95"/>
      <c r="F18" s="38">
        <f>1*33.33%</f>
        <v>0.33329999999999999</v>
      </c>
      <c r="G18" s="95" t="s">
        <v>3</v>
      </c>
      <c r="H18" s="95"/>
      <c r="I18" s="95"/>
      <c r="J18" s="95"/>
      <c r="K18" s="95"/>
      <c r="L18" s="38">
        <f>1*33.33%</f>
        <v>0.33329999999999999</v>
      </c>
    </row>
    <row r="19" spans="1:12" s="93" customFormat="1" ht="15" customHeight="1" x14ac:dyDescent="0.25">
      <c r="A19" s="95" t="s">
        <v>81</v>
      </c>
      <c r="B19" s="95"/>
      <c r="C19" s="95"/>
      <c r="D19" s="95"/>
      <c r="E19" s="95"/>
      <c r="F19" s="38">
        <f>1*33.33%</f>
        <v>0.33329999999999999</v>
      </c>
      <c r="G19" s="95" t="s">
        <v>41</v>
      </c>
      <c r="H19" s="95"/>
      <c r="I19" s="95"/>
      <c r="J19" s="95"/>
      <c r="K19" s="95"/>
      <c r="L19" s="38">
        <f>1*33.33%</f>
        <v>0.33329999999999999</v>
      </c>
    </row>
    <row r="20" spans="1:12" s="93" customFormat="1" ht="15" customHeight="1" x14ac:dyDescent="0.25">
      <c r="A20" s="95" t="s">
        <v>46</v>
      </c>
      <c r="B20" s="95"/>
      <c r="C20" s="95"/>
      <c r="D20" s="95"/>
      <c r="E20" s="95"/>
      <c r="F20" s="38">
        <f>1*33.33%</f>
        <v>0.33329999999999999</v>
      </c>
      <c r="G20" s="95"/>
      <c r="H20" s="95"/>
      <c r="I20" s="95"/>
      <c r="J20" s="95"/>
      <c r="K20" s="95"/>
      <c r="L20" s="38"/>
    </row>
    <row r="21" spans="1:12" s="93" customFormat="1" ht="15" customHeight="1" x14ac:dyDescent="0.25">
      <c r="A21" s="95" t="s">
        <v>47</v>
      </c>
      <c r="B21" s="95"/>
      <c r="C21" s="95"/>
      <c r="D21" s="95"/>
      <c r="E21" s="95"/>
      <c r="F21" s="38">
        <f>1*33.33%</f>
        <v>0.33329999999999999</v>
      </c>
      <c r="G21" s="95"/>
      <c r="H21" s="95"/>
      <c r="I21" s="95"/>
      <c r="J21" s="95"/>
      <c r="K21" s="95"/>
      <c r="L21" s="38"/>
    </row>
    <row r="22" spans="1:12" s="93" customFormat="1" ht="15" customHeight="1" x14ac:dyDescent="0.25">
      <c r="A22" s="95" t="s">
        <v>83</v>
      </c>
      <c r="B22" s="95"/>
      <c r="C22" s="95"/>
      <c r="D22" s="95"/>
      <c r="E22" s="95"/>
      <c r="F22" s="38">
        <f>1*33.33%</f>
        <v>0.33329999999999999</v>
      </c>
      <c r="G22" s="95"/>
      <c r="H22" s="95"/>
      <c r="I22" s="95"/>
      <c r="J22" s="95"/>
      <c r="K22" s="95"/>
      <c r="L22" s="38"/>
    </row>
    <row r="23" spans="1:12" s="93" customFormat="1" ht="15" customHeight="1" x14ac:dyDescent="0.25">
      <c r="A23" s="95" t="s">
        <v>84</v>
      </c>
      <c r="B23" s="95"/>
      <c r="C23" s="95"/>
      <c r="D23" s="95"/>
      <c r="E23" s="95"/>
      <c r="F23" s="38">
        <f>1*33.33%</f>
        <v>0.33329999999999999</v>
      </c>
      <c r="G23" s="95"/>
      <c r="H23" s="95"/>
      <c r="I23" s="95"/>
      <c r="J23" s="95"/>
      <c r="K23" s="95"/>
      <c r="L23" s="38"/>
    </row>
    <row r="24" spans="1:12" s="93" customFormat="1" ht="15" customHeight="1" x14ac:dyDescent="0.25">
      <c r="A24" s="95" t="s">
        <v>85</v>
      </c>
      <c r="B24" s="95"/>
      <c r="C24" s="95"/>
      <c r="D24" s="95"/>
      <c r="E24" s="95"/>
      <c r="F24" s="38">
        <f>1*33.33%</f>
        <v>0.33329999999999999</v>
      </c>
      <c r="G24" s="95"/>
      <c r="H24" s="95"/>
      <c r="I24" s="95"/>
      <c r="J24" s="95"/>
      <c r="K24" s="95"/>
      <c r="L24" s="38"/>
    </row>
    <row r="25" spans="1:12" s="93" customFormat="1" ht="15" customHeight="1" x14ac:dyDescent="0.25">
      <c r="A25" s="95" t="s">
        <v>86</v>
      </c>
      <c r="B25" s="95"/>
      <c r="C25" s="95"/>
      <c r="D25" s="95"/>
      <c r="E25" s="95"/>
      <c r="F25" s="38">
        <f>1*33.33%</f>
        <v>0.33329999999999999</v>
      </c>
      <c r="G25" s="95"/>
      <c r="H25" s="95"/>
      <c r="I25" s="95"/>
      <c r="J25" s="95"/>
      <c r="K25" s="95"/>
      <c r="L25" s="38"/>
    </row>
    <row r="26" spans="1:12" s="93" customFormat="1" ht="15" customHeight="1" x14ac:dyDescent="0.25">
      <c r="A26" s="95" t="s">
        <v>87</v>
      </c>
      <c r="B26" s="95"/>
      <c r="C26" s="95"/>
      <c r="D26" s="95"/>
      <c r="E26" s="95"/>
      <c r="F26" s="38">
        <f>1.5*33.33%</f>
        <v>0.49995000000000001</v>
      </c>
      <c r="G26" s="95"/>
      <c r="H26" s="95"/>
      <c r="I26" s="95"/>
      <c r="J26" s="95"/>
      <c r="K26" s="95"/>
      <c r="L26" s="38"/>
    </row>
    <row r="27" spans="1:12" ht="15" customHeight="1" x14ac:dyDescent="0.25">
      <c r="A27" s="95" t="s">
        <v>49</v>
      </c>
      <c r="B27" s="95"/>
      <c r="C27" s="95"/>
      <c r="D27" s="95"/>
      <c r="E27" s="95"/>
      <c r="F27" s="38">
        <f>1*33.33%</f>
        <v>0.33329999999999999</v>
      </c>
      <c r="G27" s="61"/>
      <c r="H27" s="61"/>
      <c r="I27" s="61"/>
      <c r="J27" s="61"/>
      <c r="K27" s="61"/>
      <c r="L27" s="38"/>
    </row>
    <row r="28" spans="1:12" ht="15" customHeight="1" x14ac:dyDescent="0.25">
      <c r="A28" s="95" t="s">
        <v>80</v>
      </c>
      <c r="B28" s="95"/>
      <c r="C28" s="95"/>
      <c r="D28" s="95"/>
      <c r="E28" s="95"/>
      <c r="F28" s="38">
        <f>1*33.33%</f>
        <v>0.33329999999999999</v>
      </c>
      <c r="G28" s="61"/>
      <c r="H28" s="61"/>
      <c r="I28" s="61"/>
      <c r="J28" s="61"/>
      <c r="K28" s="61"/>
      <c r="L28" s="38"/>
    </row>
    <row r="29" spans="1:12" s="93" customFormat="1" ht="30.75" customHeight="1" x14ac:dyDescent="0.25">
      <c r="A29" s="95" t="s">
        <v>42</v>
      </c>
      <c r="B29" s="95"/>
      <c r="C29" s="95"/>
      <c r="D29" s="95"/>
      <c r="E29" s="95"/>
      <c r="F29" s="38">
        <f>1*33.33%</f>
        <v>0.33329999999999999</v>
      </c>
      <c r="G29" s="95"/>
      <c r="H29" s="95"/>
      <c r="I29" s="95"/>
      <c r="J29" s="95"/>
      <c r="K29" s="95"/>
      <c r="L29" s="38"/>
    </row>
    <row r="30" spans="1:12" s="93" customFormat="1" x14ac:dyDescent="0.25">
      <c r="A30" s="95" t="s">
        <v>44</v>
      </c>
      <c r="B30" s="95"/>
      <c r="C30" s="95"/>
      <c r="D30" s="95"/>
      <c r="E30" s="95"/>
      <c r="F30" s="38">
        <f>1*33.33%</f>
        <v>0.33329999999999999</v>
      </c>
      <c r="G30" s="95"/>
      <c r="H30" s="95"/>
      <c r="I30" s="95"/>
      <c r="J30" s="95"/>
      <c r="K30" s="95"/>
      <c r="L30" s="38"/>
    </row>
    <row r="31" spans="1:12" x14ac:dyDescent="0.25">
      <c r="A31" s="95" t="s">
        <v>79</v>
      </c>
      <c r="B31" s="95"/>
      <c r="C31" s="95"/>
      <c r="D31" s="95"/>
      <c r="E31" s="95"/>
      <c r="F31" s="38">
        <f>1*33.33%</f>
        <v>0.33329999999999999</v>
      </c>
      <c r="G31" s="62"/>
      <c r="H31" s="63"/>
      <c r="I31" s="63"/>
      <c r="J31" s="63"/>
      <c r="K31" s="64"/>
      <c r="L31" s="38"/>
    </row>
    <row r="32" spans="1:12" s="93" customFormat="1" x14ac:dyDescent="0.25">
      <c r="A32" s="95" t="s">
        <v>38</v>
      </c>
      <c r="B32" s="95"/>
      <c r="C32" s="95"/>
      <c r="D32" s="95"/>
      <c r="E32" s="95"/>
      <c r="F32" s="38">
        <f>8*33.33%</f>
        <v>2.6663999999999999</v>
      </c>
      <c r="G32" s="96"/>
      <c r="H32" s="97"/>
      <c r="I32" s="97"/>
      <c r="J32" s="97"/>
      <c r="K32" s="64"/>
      <c r="L32" s="38"/>
    </row>
    <row r="33" spans="1:12" s="93" customFormat="1" x14ac:dyDescent="0.25">
      <c r="A33" s="95" t="s">
        <v>82</v>
      </c>
      <c r="B33" s="95"/>
      <c r="C33" s="95"/>
      <c r="D33" s="95"/>
      <c r="E33" s="95"/>
      <c r="F33" s="38">
        <f>1*33.33%</f>
        <v>0.33329999999999999</v>
      </c>
      <c r="G33" s="96"/>
      <c r="H33" s="97"/>
      <c r="I33" s="97"/>
      <c r="J33" s="97"/>
      <c r="K33" s="64"/>
      <c r="L33" s="38"/>
    </row>
    <row r="34" spans="1:12" s="93" customFormat="1" x14ac:dyDescent="0.25">
      <c r="A34" s="95" t="s">
        <v>45</v>
      </c>
      <c r="B34" s="95"/>
      <c r="C34" s="95"/>
      <c r="D34" s="95"/>
      <c r="E34" s="95"/>
      <c r="F34" s="38">
        <f>1*33.33%</f>
        <v>0.33329999999999999</v>
      </c>
      <c r="G34" s="96"/>
      <c r="H34" s="97"/>
      <c r="I34" s="97"/>
      <c r="J34" s="97"/>
      <c r="K34" s="64"/>
      <c r="L34" s="38"/>
    </row>
    <row r="35" spans="1:12" x14ac:dyDescent="0.25">
      <c r="A35" s="95" t="s">
        <v>48</v>
      </c>
      <c r="B35" s="95"/>
      <c r="C35" s="95"/>
      <c r="D35" s="95"/>
      <c r="E35" s="95"/>
      <c r="F35" s="38">
        <f>0.5*33.33%</f>
        <v>0.16664999999999999</v>
      </c>
      <c r="G35" s="62"/>
      <c r="H35" s="63"/>
      <c r="I35" s="63"/>
      <c r="J35" s="63"/>
      <c r="K35" s="64"/>
      <c r="L35" s="38"/>
    </row>
    <row r="36" spans="1:12" x14ac:dyDescent="0.25">
      <c r="A36" s="95" t="s">
        <v>88</v>
      </c>
      <c r="B36" s="95"/>
      <c r="C36" s="95"/>
      <c r="D36" s="95"/>
      <c r="E36" s="95"/>
      <c r="F36" s="38">
        <f>7*33.33%</f>
        <v>2.3331</v>
      </c>
      <c r="G36" s="62"/>
      <c r="H36" s="63"/>
      <c r="I36" s="63"/>
      <c r="J36" s="63"/>
      <c r="K36" s="64"/>
      <c r="L36" s="38"/>
    </row>
    <row r="37" spans="1:12" x14ac:dyDescent="0.25">
      <c r="A37" s="95" t="s">
        <v>50</v>
      </c>
      <c r="B37" s="95"/>
      <c r="C37" s="95"/>
      <c r="D37" s="95"/>
      <c r="E37" s="95"/>
      <c r="F37" s="38">
        <f>8*33.33%</f>
        <v>2.6663999999999999</v>
      </c>
      <c r="G37" s="62"/>
      <c r="H37" s="63"/>
      <c r="I37" s="63"/>
      <c r="J37" s="63"/>
      <c r="K37" s="64"/>
      <c r="L37" s="38"/>
    </row>
    <row r="38" spans="1:12" x14ac:dyDescent="0.25">
      <c r="A38" s="95" t="s">
        <v>90</v>
      </c>
      <c r="B38" s="95"/>
      <c r="C38" s="95"/>
      <c r="D38" s="95"/>
      <c r="E38" s="95"/>
      <c r="F38" s="38">
        <f>1*33.33%</f>
        <v>0.33329999999999999</v>
      </c>
      <c r="G38" s="62"/>
      <c r="H38" s="63"/>
      <c r="I38" s="63"/>
      <c r="J38" s="63"/>
      <c r="K38" s="64"/>
      <c r="L38" s="38"/>
    </row>
    <row r="39" spans="1:12" x14ac:dyDescent="0.25">
      <c r="A39" s="95" t="s">
        <v>91</v>
      </c>
      <c r="B39" s="95"/>
      <c r="C39" s="95"/>
      <c r="D39" s="95"/>
      <c r="E39" s="95"/>
      <c r="F39" s="38">
        <f>1*33.33%</f>
        <v>0.33329999999999999</v>
      </c>
      <c r="G39" s="62"/>
      <c r="H39" s="63"/>
      <c r="I39" s="63"/>
      <c r="J39" s="63"/>
      <c r="K39" s="64"/>
      <c r="L39" s="38"/>
    </row>
    <row r="40" spans="1:12" x14ac:dyDescent="0.25">
      <c r="A40" s="95" t="s">
        <v>92</v>
      </c>
      <c r="B40" s="95"/>
      <c r="C40" s="95"/>
      <c r="D40" s="95"/>
      <c r="E40" s="95"/>
      <c r="F40" s="38">
        <f>1*33.33%</f>
        <v>0.33329999999999999</v>
      </c>
      <c r="G40" s="62"/>
      <c r="H40" s="63"/>
      <c r="I40" s="63"/>
      <c r="J40" s="63"/>
      <c r="K40" s="64"/>
      <c r="L40" s="38"/>
    </row>
    <row r="41" spans="1:12" x14ac:dyDescent="0.25">
      <c r="A41" s="95" t="s">
        <v>52</v>
      </c>
      <c r="B41" s="95"/>
      <c r="C41" s="95"/>
      <c r="D41" s="95"/>
      <c r="E41" s="95"/>
      <c r="F41" s="38">
        <f>9.5*33.33%</f>
        <v>3.16635</v>
      </c>
      <c r="G41" s="62"/>
      <c r="H41" s="63"/>
      <c r="I41" s="63"/>
      <c r="J41" s="63"/>
      <c r="K41" s="64"/>
      <c r="L41" s="38"/>
    </row>
    <row r="42" spans="1:12" x14ac:dyDescent="0.25">
      <c r="A42" s="95" t="s">
        <v>93</v>
      </c>
      <c r="B42" s="95"/>
      <c r="C42" s="95"/>
      <c r="D42" s="95"/>
      <c r="E42" s="95"/>
      <c r="F42" s="38">
        <f>1*33.33%</f>
        <v>0.33329999999999999</v>
      </c>
      <c r="G42" s="62"/>
      <c r="H42" s="63"/>
      <c r="I42" s="63"/>
      <c r="J42" s="63"/>
      <c r="K42" s="64"/>
      <c r="L42" s="38"/>
    </row>
    <row r="43" spans="1:12" hidden="1" x14ac:dyDescent="0.25">
      <c r="A43" s="62"/>
      <c r="B43" s="63"/>
      <c r="C43" s="63"/>
      <c r="D43" s="63"/>
      <c r="E43" s="64"/>
      <c r="F43" s="38"/>
      <c r="G43" s="60"/>
      <c r="H43" s="60"/>
      <c r="I43" s="60"/>
      <c r="J43" s="60"/>
      <c r="K43" s="60"/>
      <c r="L43" s="38"/>
    </row>
    <row r="44" spans="1:12" hidden="1" x14ac:dyDescent="0.25">
      <c r="A44" s="62"/>
      <c r="B44" s="63"/>
      <c r="C44" s="63"/>
      <c r="D44" s="63"/>
      <c r="E44" s="64"/>
      <c r="F44" s="38"/>
      <c r="G44" s="60"/>
      <c r="H44" s="60"/>
      <c r="I44" s="60"/>
      <c r="J44" s="60"/>
      <c r="K44" s="60"/>
      <c r="L44" s="38"/>
    </row>
    <row r="45" spans="1:12" x14ac:dyDescent="0.25">
      <c r="A45" s="100" t="s">
        <v>4</v>
      </c>
      <c r="B45" s="100"/>
      <c r="C45" s="100"/>
      <c r="D45" s="100"/>
      <c r="E45" s="100"/>
      <c r="F45" s="59">
        <f>SUM(F17:F42)</f>
        <v>17.83155</v>
      </c>
      <c r="G45" s="100" t="s">
        <v>4</v>
      </c>
      <c r="H45" s="100"/>
      <c r="I45" s="100"/>
      <c r="J45" s="100"/>
      <c r="K45" s="100"/>
      <c r="L45" s="59">
        <f>SUM(L17:L42)</f>
        <v>0.66659999999999997</v>
      </c>
    </row>
    <row r="46" spans="1:12" ht="15.75" thickBot="1" x14ac:dyDescent="0.3">
      <c r="A46" s="1"/>
      <c r="B46" s="1"/>
      <c r="C46" s="1"/>
      <c r="D46" s="1"/>
      <c r="E46" s="1"/>
      <c r="F46" s="99"/>
      <c r="G46" s="1"/>
      <c r="H46" s="1"/>
      <c r="I46" s="1"/>
      <c r="J46" s="1"/>
      <c r="K46" s="1"/>
      <c r="L46" s="99"/>
    </row>
    <row r="47" spans="1:12" ht="15.75" thickBot="1" x14ac:dyDescent="0.3">
      <c r="A47" s="22" t="s">
        <v>70</v>
      </c>
      <c r="F47" s="55">
        <v>1505</v>
      </c>
    </row>
    <row r="48" spans="1:12" ht="75" x14ac:dyDescent="0.25">
      <c r="A48" s="69" t="s">
        <v>5</v>
      </c>
      <c r="B48" s="70"/>
      <c r="C48" s="70"/>
      <c r="D48" s="70"/>
      <c r="E48" s="71"/>
      <c r="F48" s="54" t="s">
        <v>6</v>
      </c>
      <c r="G48" s="53" t="s">
        <v>1</v>
      </c>
      <c r="H48" s="53" t="s">
        <v>66</v>
      </c>
      <c r="I48" s="53" t="s">
        <v>67</v>
      </c>
      <c r="J48" s="53" t="s">
        <v>68</v>
      </c>
      <c r="K48" s="24" t="s">
        <v>69</v>
      </c>
      <c r="L48" s="33"/>
    </row>
    <row r="49" spans="1:13" ht="15" hidden="1" customHeight="1" x14ac:dyDescent="0.25">
      <c r="A49" s="72" t="s">
        <v>41</v>
      </c>
      <c r="B49" s="72"/>
      <c r="C49" s="72"/>
      <c r="D49" s="72"/>
      <c r="E49" s="72"/>
      <c r="F49" s="7">
        <v>14963</v>
      </c>
      <c r="G49" s="7">
        <v>0.45</v>
      </c>
      <c r="H49" s="7">
        <f>F49*G49*12</f>
        <v>80800.200000000012</v>
      </c>
      <c r="I49" s="7">
        <f>H49*1.302</f>
        <v>105201.86040000002</v>
      </c>
      <c r="J49" s="7">
        <f>F47</f>
        <v>1505</v>
      </c>
      <c r="K49" s="7">
        <f>I49/J49</f>
        <v>69.901568372093038</v>
      </c>
      <c r="L49" s="34"/>
    </row>
    <row r="50" spans="1:13" ht="17.25" hidden="1" customHeight="1" x14ac:dyDescent="0.25">
      <c r="A50" s="72" t="s">
        <v>43</v>
      </c>
      <c r="B50" s="72"/>
      <c r="C50" s="72"/>
      <c r="D50" s="72"/>
      <c r="E50" s="72"/>
      <c r="F50" s="7">
        <v>11538</v>
      </c>
      <c r="G50" s="7">
        <v>0.45</v>
      </c>
      <c r="H50" s="7">
        <f t="shared" ref="H50:H61" si="0">F50*G50*12</f>
        <v>62305.200000000004</v>
      </c>
      <c r="I50" s="7">
        <f t="shared" ref="I50:I61" si="1">H50*1.302</f>
        <v>81121.370400000014</v>
      </c>
      <c r="J50" s="7">
        <f t="shared" ref="J50:J57" si="2">J49</f>
        <v>1505</v>
      </c>
      <c r="K50" s="7">
        <f>I50/J50</f>
        <v>53.901242790697687</v>
      </c>
      <c r="L50" s="34"/>
    </row>
    <row r="51" spans="1:13" ht="15" hidden="1" customHeight="1" x14ac:dyDescent="0.25">
      <c r="A51" s="72" t="s">
        <v>81</v>
      </c>
      <c r="B51" s="72"/>
      <c r="C51" s="72"/>
      <c r="D51" s="72"/>
      <c r="E51" s="72"/>
      <c r="F51" s="7">
        <v>8837</v>
      </c>
      <c r="G51" s="7">
        <v>0.45</v>
      </c>
      <c r="H51" s="7">
        <f t="shared" si="0"/>
        <v>47719.8</v>
      </c>
      <c r="I51" s="7">
        <f t="shared" si="1"/>
        <v>62131.179600000003</v>
      </c>
      <c r="J51" s="7">
        <f t="shared" si="2"/>
        <v>1505</v>
      </c>
      <c r="K51" s="7">
        <f t="shared" ref="K51:K61" si="3">I51/J51</f>
        <v>41.283175813953491</v>
      </c>
      <c r="L51" s="34"/>
    </row>
    <row r="52" spans="1:13" ht="15.75" hidden="1" customHeight="1" x14ac:dyDescent="0.25">
      <c r="A52" s="72" t="s">
        <v>46</v>
      </c>
      <c r="B52" s="72"/>
      <c r="C52" s="72"/>
      <c r="D52" s="72"/>
      <c r="E52" s="72"/>
      <c r="F52" s="7">
        <v>6556</v>
      </c>
      <c r="G52" s="7">
        <v>0.45</v>
      </c>
      <c r="H52" s="7">
        <f t="shared" si="0"/>
        <v>35402.400000000001</v>
      </c>
      <c r="I52" s="7">
        <f t="shared" si="1"/>
        <v>46093.924800000001</v>
      </c>
      <c r="J52" s="7">
        <f t="shared" si="2"/>
        <v>1505</v>
      </c>
      <c r="K52" s="7">
        <f t="shared" si="3"/>
        <v>30.627192558139534</v>
      </c>
      <c r="L52" s="34"/>
    </row>
    <row r="53" spans="1:13" ht="15" hidden="1" customHeight="1" x14ac:dyDescent="0.25">
      <c r="A53" s="72" t="s">
        <v>47</v>
      </c>
      <c r="B53" s="72"/>
      <c r="C53" s="72"/>
      <c r="D53" s="72"/>
      <c r="E53" s="72"/>
      <c r="F53" s="7">
        <v>11538</v>
      </c>
      <c r="G53" s="7">
        <v>0.45</v>
      </c>
      <c r="H53" s="7">
        <f t="shared" si="0"/>
        <v>62305.200000000004</v>
      </c>
      <c r="I53" s="7">
        <f t="shared" si="1"/>
        <v>81121.370400000014</v>
      </c>
      <c r="J53" s="7">
        <f t="shared" si="2"/>
        <v>1505</v>
      </c>
      <c r="K53" s="7">
        <f t="shared" si="3"/>
        <v>53.901242790697687</v>
      </c>
      <c r="L53" s="34"/>
    </row>
    <row r="54" spans="1:13" ht="15" hidden="1" customHeight="1" x14ac:dyDescent="0.25">
      <c r="A54" s="72" t="s">
        <v>83</v>
      </c>
      <c r="B54" s="72"/>
      <c r="C54" s="72"/>
      <c r="D54" s="72"/>
      <c r="E54" s="72"/>
      <c r="F54" s="7">
        <v>8837</v>
      </c>
      <c r="G54" s="7">
        <v>0.45</v>
      </c>
      <c r="H54" s="7">
        <f t="shared" si="0"/>
        <v>47719.8</v>
      </c>
      <c r="I54" s="7">
        <f t="shared" si="1"/>
        <v>62131.179600000003</v>
      </c>
      <c r="J54" s="7">
        <f t="shared" si="2"/>
        <v>1505</v>
      </c>
      <c r="K54" s="7">
        <f t="shared" si="3"/>
        <v>41.283175813953491</v>
      </c>
      <c r="L54" s="34"/>
    </row>
    <row r="55" spans="1:13" ht="15" hidden="1" customHeight="1" x14ac:dyDescent="0.25">
      <c r="A55" s="72" t="s">
        <v>84</v>
      </c>
      <c r="B55" s="72"/>
      <c r="C55" s="72"/>
      <c r="D55" s="72"/>
      <c r="E55" s="72"/>
      <c r="F55" s="7">
        <v>3993</v>
      </c>
      <c r="G55" s="7">
        <v>0.45</v>
      </c>
      <c r="H55" s="7">
        <f t="shared" si="0"/>
        <v>21562.2</v>
      </c>
      <c r="I55" s="7">
        <f t="shared" si="1"/>
        <v>28073.984400000001</v>
      </c>
      <c r="J55" s="7">
        <f t="shared" si="2"/>
        <v>1505</v>
      </c>
      <c r="K55" s="7">
        <f t="shared" si="3"/>
        <v>18.65381023255814</v>
      </c>
      <c r="L55" s="34"/>
    </row>
    <row r="56" spans="1:13" ht="15" hidden="1" customHeight="1" x14ac:dyDescent="0.25">
      <c r="A56" s="72" t="s">
        <v>85</v>
      </c>
      <c r="B56" s="72"/>
      <c r="C56" s="72"/>
      <c r="D56" s="72"/>
      <c r="E56" s="72"/>
      <c r="F56" s="7">
        <v>4496</v>
      </c>
      <c r="G56" s="7">
        <v>0.45</v>
      </c>
      <c r="H56" s="7">
        <f t="shared" si="0"/>
        <v>24278.400000000001</v>
      </c>
      <c r="I56" s="7">
        <f t="shared" si="1"/>
        <v>31610.476800000004</v>
      </c>
      <c r="J56" s="7">
        <f t="shared" si="2"/>
        <v>1505</v>
      </c>
      <c r="K56" s="7">
        <f t="shared" si="3"/>
        <v>21.003639069767445</v>
      </c>
      <c r="L56" s="34"/>
    </row>
    <row r="57" spans="1:13" ht="15" hidden="1" customHeight="1" x14ac:dyDescent="0.25">
      <c r="A57" s="72" t="s">
        <v>86</v>
      </c>
      <c r="B57" s="72"/>
      <c r="C57" s="72"/>
      <c r="D57" s="72"/>
      <c r="E57" s="72"/>
      <c r="F57" s="7">
        <v>8837</v>
      </c>
      <c r="G57" s="7">
        <v>0.45</v>
      </c>
      <c r="H57" s="7">
        <f t="shared" si="0"/>
        <v>47719.8</v>
      </c>
      <c r="I57" s="7">
        <f t="shared" si="1"/>
        <v>62131.179600000003</v>
      </c>
      <c r="J57" s="7">
        <f t="shared" si="2"/>
        <v>1505</v>
      </c>
      <c r="K57" s="7">
        <f t="shared" si="3"/>
        <v>41.283175813953491</v>
      </c>
      <c r="L57" s="34"/>
    </row>
    <row r="58" spans="1:13" ht="15.75" hidden="1" customHeight="1" x14ac:dyDescent="0.25">
      <c r="A58" s="72" t="s">
        <v>87</v>
      </c>
      <c r="B58" s="72"/>
      <c r="C58" s="72"/>
      <c r="D58" s="72"/>
      <c r="E58" s="72"/>
      <c r="F58" s="7">
        <v>13255.5</v>
      </c>
      <c r="G58" s="7">
        <v>0.45</v>
      </c>
      <c r="H58" s="7">
        <f t="shared" si="0"/>
        <v>71579.700000000012</v>
      </c>
      <c r="I58" s="7">
        <f t="shared" si="1"/>
        <v>93196.769400000019</v>
      </c>
      <c r="J58" s="7">
        <f>J56</f>
        <v>1505</v>
      </c>
      <c r="K58" s="7">
        <f t="shared" si="3"/>
        <v>61.924763720930244</v>
      </c>
      <c r="L58" s="34"/>
    </row>
    <row r="59" spans="1:13" ht="15" hidden="1" customHeight="1" x14ac:dyDescent="0.25">
      <c r="A59" s="72" t="s">
        <v>89</v>
      </c>
      <c r="B59" s="72"/>
      <c r="C59" s="72"/>
      <c r="D59" s="72"/>
      <c r="E59" s="72"/>
      <c r="F59" s="7">
        <v>11538</v>
      </c>
      <c r="G59" s="7">
        <v>0.45</v>
      </c>
      <c r="H59" s="7">
        <f t="shared" si="0"/>
        <v>62305.200000000004</v>
      </c>
      <c r="I59" s="7">
        <f t="shared" si="1"/>
        <v>81121.370400000014</v>
      </c>
      <c r="J59" s="7">
        <f>J57</f>
        <v>1505</v>
      </c>
      <c r="K59" s="7">
        <f t="shared" si="3"/>
        <v>53.901242790697687</v>
      </c>
      <c r="L59" s="34"/>
    </row>
    <row r="60" spans="1:13" ht="15" hidden="1" customHeight="1" x14ac:dyDescent="0.25">
      <c r="A60" s="72" t="s">
        <v>51</v>
      </c>
      <c r="B60" s="72"/>
      <c r="C60" s="72"/>
      <c r="D60" s="72"/>
      <c r="E60" s="72"/>
      <c r="F60" s="7">
        <v>11538</v>
      </c>
      <c r="G60" s="7">
        <v>0.45</v>
      </c>
      <c r="H60" s="7">
        <f t="shared" si="0"/>
        <v>62305.200000000004</v>
      </c>
      <c r="I60" s="7">
        <f t="shared" si="1"/>
        <v>81121.370400000014</v>
      </c>
      <c r="J60" s="7">
        <f>J58</f>
        <v>1505</v>
      </c>
      <c r="K60" s="7">
        <f t="shared" si="3"/>
        <v>53.901242790697687</v>
      </c>
      <c r="L60" s="34"/>
    </row>
    <row r="61" spans="1:13" ht="17.25" hidden="1" customHeight="1" x14ac:dyDescent="0.25">
      <c r="A61" s="72" t="s">
        <v>49</v>
      </c>
      <c r="B61" s="72"/>
      <c r="C61" s="72"/>
      <c r="D61" s="72"/>
      <c r="E61" s="72"/>
      <c r="F61" s="7">
        <v>8837</v>
      </c>
      <c r="G61" s="7">
        <v>0.45</v>
      </c>
      <c r="H61" s="7">
        <f t="shared" si="0"/>
        <v>47719.8</v>
      </c>
      <c r="I61" s="7">
        <f t="shared" si="1"/>
        <v>62131.179600000003</v>
      </c>
      <c r="J61" s="7">
        <f>J59</f>
        <v>1505</v>
      </c>
      <c r="K61" s="7">
        <f t="shared" si="3"/>
        <v>41.283175813953491</v>
      </c>
      <c r="L61" s="34"/>
    </row>
    <row r="62" spans="1:13" s="9" customFormat="1" ht="15.75" customHeight="1" x14ac:dyDescent="0.25">
      <c r="A62" s="75" t="s">
        <v>71</v>
      </c>
      <c r="B62" s="76"/>
      <c r="C62" s="76"/>
      <c r="D62" s="76"/>
      <c r="E62" s="76"/>
      <c r="F62" s="26">
        <v>22479.99</v>
      </c>
      <c r="G62" s="26">
        <f>F45</f>
        <v>17.83155</v>
      </c>
      <c r="H62" s="26">
        <v>4809818.66</v>
      </c>
      <c r="I62" s="2">
        <f>(H62*1.302)</f>
        <v>6262383.8953200001</v>
      </c>
      <c r="J62" s="2">
        <f>F47</f>
        <v>1505</v>
      </c>
      <c r="K62" s="2">
        <f>I62/F47</f>
        <v>4161.0524221395353</v>
      </c>
      <c r="L62" s="34"/>
      <c r="M62" s="8"/>
    </row>
    <row r="63" spans="1:13" ht="13.5" customHeight="1" x14ac:dyDescent="0.25"/>
    <row r="64" spans="1:13" ht="14.25" customHeight="1" x14ac:dyDescent="0.25">
      <c r="A64" s="73" t="s">
        <v>8</v>
      </c>
      <c r="B64" s="73"/>
      <c r="C64" s="73"/>
      <c r="D64" s="73"/>
      <c r="E64" s="73"/>
      <c r="F64" s="73"/>
      <c r="G64" s="73"/>
      <c r="H64" s="73"/>
      <c r="I64" s="73"/>
      <c r="J64" s="73"/>
      <c r="K64" s="73"/>
      <c r="L64" s="73"/>
    </row>
    <row r="65" spans="1:13" ht="45" x14ac:dyDescent="0.25">
      <c r="A65" s="79" t="s">
        <v>9</v>
      </c>
      <c r="B65" s="79"/>
      <c r="C65" s="79"/>
      <c r="D65" s="79"/>
      <c r="E65" s="79"/>
      <c r="F65" s="53" t="s">
        <v>7</v>
      </c>
      <c r="G65" s="53" t="s">
        <v>65</v>
      </c>
      <c r="H65" s="53" t="s">
        <v>64</v>
      </c>
      <c r="I65" s="53" t="s">
        <v>72</v>
      </c>
      <c r="J65" s="53" t="s">
        <v>68</v>
      </c>
      <c r="K65" s="27" t="s">
        <v>69</v>
      </c>
      <c r="L65" s="28"/>
    </row>
    <row r="66" spans="1:13" x14ac:dyDescent="0.25">
      <c r="A66" s="66" t="s">
        <v>39</v>
      </c>
      <c r="B66" s="67"/>
      <c r="C66" s="67"/>
      <c r="D66" s="67"/>
      <c r="E66" s="68"/>
      <c r="F66" s="25" t="s">
        <v>40</v>
      </c>
      <c r="G66" s="25">
        <v>65000</v>
      </c>
      <c r="H66" s="25">
        <v>5.3</v>
      </c>
      <c r="I66" s="25">
        <f>344500*33.33%</f>
        <v>114821.84999999999</v>
      </c>
      <c r="J66" s="7">
        <f>J61</f>
        <v>1505</v>
      </c>
      <c r="K66" s="29">
        <f>I66/J66</f>
        <v>76.293588039867103</v>
      </c>
      <c r="L66" s="28"/>
    </row>
    <row r="67" spans="1:13" x14ac:dyDescent="0.25">
      <c r="A67" s="74" t="s">
        <v>10</v>
      </c>
      <c r="B67" s="74"/>
      <c r="C67" s="74"/>
      <c r="D67" s="74"/>
      <c r="E67" s="74"/>
      <c r="F67" s="7" t="s">
        <v>13</v>
      </c>
      <c r="G67" s="7">
        <v>450</v>
      </c>
      <c r="H67" s="7">
        <v>1744.64</v>
      </c>
      <c r="I67" s="25">
        <f>829162.21*33.33%</f>
        <v>276359.764593</v>
      </c>
      <c r="J67" s="7">
        <f>J66</f>
        <v>1505</v>
      </c>
      <c r="K67" s="29">
        <f t="shared" ref="K67:K70" si="4">I67/J67</f>
        <v>183.62775056013288</v>
      </c>
      <c r="L67" s="30"/>
    </row>
    <row r="68" spans="1:13" x14ac:dyDescent="0.25">
      <c r="A68" s="74" t="s">
        <v>11</v>
      </c>
      <c r="B68" s="74"/>
      <c r="C68" s="74"/>
      <c r="D68" s="74"/>
      <c r="E68" s="74"/>
      <c r="F68" s="7" t="s">
        <v>14</v>
      </c>
      <c r="G68" s="7">
        <v>450</v>
      </c>
      <c r="H68" s="7">
        <v>42.84</v>
      </c>
      <c r="I68" s="25">
        <f>19278*33.33%</f>
        <v>6425.3573999999999</v>
      </c>
      <c r="J68" s="7">
        <f>J67</f>
        <v>1505</v>
      </c>
      <c r="K68" s="29">
        <f t="shared" si="4"/>
        <v>4.2693404651162794</v>
      </c>
      <c r="L68" s="30"/>
    </row>
    <row r="69" spans="1:13" x14ac:dyDescent="0.25">
      <c r="A69" s="74" t="s">
        <v>12</v>
      </c>
      <c r="B69" s="74"/>
      <c r="C69" s="74"/>
      <c r="D69" s="74"/>
      <c r="E69" s="74"/>
      <c r="F69" s="7" t="s">
        <v>14</v>
      </c>
      <c r="G69" s="7">
        <v>450</v>
      </c>
      <c r="H69" s="7">
        <v>62.4</v>
      </c>
      <c r="I69" s="25">
        <f>28075.5*33.33%</f>
        <v>9357.5641500000002</v>
      </c>
      <c r="J69" s="7">
        <f>J67</f>
        <v>1505</v>
      </c>
      <c r="K69" s="29">
        <f t="shared" si="4"/>
        <v>6.217650598006645</v>
      </c>
      <c r="L69" s="30"/>
    </row>
    <row r="70" spans="1:13" x14ac:dyDescent="0.25">
      <c r="A70" s="66" t="s">
        <v>16</v>
      </c>
      <c r="B70" s="76"/>
      <c r="C70" s="76"/>
      <c r="D70" s="76"/>
      <c r="E70" s="76"/>
      <c r="F70" s="7" t="s">
        <v>14</v>
      </c>
      <c r="G70" s="7">
        <v>12</v>
      </c>
      <c r="H70" s="31">
        <v>4312.28</v>
      </c>
      <c r="I70" s="25">
        <f>51747.36*33.33%</f>
        <v>17247.395088000001</v>
      </c>
      <c r="J70" s="7">
        <f>J69</f>
        <v>1505</v>
      </c>
      <c r="K70" s="29">
        <f t="shared" si="4"/>
        <v>11.46006318139535</v>
      </c>
      <c r="L70" s="30"/>
    </row>
    <row r="71" spans="1:13" x14ac:dyDescent="0.25">
      <c r="A71" s="75" t="s">
        <v>53</v>
      </c>
      <c r="B71" s="80"/>
      <c r="C71" s="80"/>
      <c r="D71" s="80"/>
      <c r="E71" s="80"/>
      <c r="F71" s="80"/>
      <c r="G71" s="80"/>
      <c r="H71" s="80"/>
      <c r="I71" s="2">
        <f>SUM(I66:I70)</f>
        <v>424211.93123099994</v>
      </c>
      <c r="J71" s="46">
        <f>J70</f>
        <v>1505</v>
      </c>
      <c r="K71" s="2">
        <f>I71/J71</f>
        <v>281.86839284451821</v>
      </c>
      <c r="L71" s="30"/>
    </row>
    <row r="72" spans="1:13" ht="12" customHeight="1" x14ac:dyDescent="0.25"/>
    <row r="73" spans="1:13" x14ac:dyDescent="0.25">
      <c r="A73" s="73" t="s">
        <v>15</v>
      </c>
      <c r="B73" s="73"/>
      <c r="C73" s="73"/>
      <c r="D73" s="73"/>
      <c r="E73" s="73"/>
      <c r="F73" s="73"/>
      <c r="G73" s="73"/>
      <c r="H73" s="73"/>
      <c r="I73" s="73"/>
      <c r="J73" s="73"/>
      <c r="K73" s="73"/>
      <c r="L73" s="73"/>
    </row>
    <row r="74" spans="1:13" ht="45" x14ac:dyDescent="0.25">
      <c r="A74" s="69" t="s">
        <v>19</v>
      </c>
      <c r="B74" s="70"/>
      <c r="C74" s="70"/>
      <c r="D74" s="70"/>
      <c r="E74" s="71"/>
      <c r="F74" s="53" t="s">
        <v>7</v>
      </c>
      <c r="G74" s="53" t="s">
        <v>65</v>
      </c>
      <c r="H74" s="53" t="s">
        <v>64</v>
      </c>
      <c r="I74" s="53" t="s">
        <v>72</v>
      </c>
      <c r="J74" s="53" t="s">
        <v>68</v>
      </c>
      <c r="K74" s="27" t="s">
        <v>69</v>
      </c>
      <c r="L74" s="28"/>
    </row>
    <row r="75" spans="1:13" x14ac:dyDescent="0.25">
      <c r="A75" s="74" t="s">
        <v>56</v>
      </c>
      <c r="B75" s="74"/>
      <c r="C75" s="74"/>
      <c r="D75" s="74"/>
      <c r="E75" s="74"/>
      <c r="F75" s="7" t="s">
        <v>17</v>
      </c>
      <c r="G75" s="7">
        <v>6200</v>
      </c>
      <c r="H75" s="7"/>
      <c r="I75" s="7">
        <f>74400*33.33%</f>
        <v>24797.52</v>
      </c>
      <c r="J75" s="7">
        <f>J71</f>
        <v>1505</v>
      </c>
      <c r="K75" s="52">
        <f t="shared" ref="K75:K79" si="5">I75/J75</f>
        <v>16.476757475083058</v>
      </c>
      <c r="L75" s="30"/>
    </row>
    <row r="76" spans="1:13" ht="15" customHeight="1" x14ac:dyDescent="0.25">
      <c r="A76" s="72" t="s">
        <v>55</v>
      </c>
      <c r="B76" s="72"/>
      <c r="C76" s="72"/>
      <c r="D76" s="72"/>
      <c r="E76" s="72"/>
      <c r="F76" s="7" t="s">
        <v>17</v>
      </c>
      <c r="G76" s="7">
        <v>773.4</v>
      </c>
      <c r="H76" s="7"/>
      <c r="I76" s="7">
        <f>9280.8*33.33%</f>
        <v>3093.2906399999997</v>
      </c>
      <c r="J76" s="7">
        <f>J75</f>
        <v>1505</v>
      </c>
      <c r="K76" s="52">
        <f t="shared" si="5"/>
        <v>2.055342617940199</v>
      </c>
      <c r="L76" s="30"/>
    </row>
    <row r="77" spans="1:13" ht="16.5" customHeight="1" x14ac:dyDescent="0.25">
      <c r="A77" s="74" t="s">
        <v>98</v>
      </c>
      <c r="B77" s="74"/>
      <c r="C77" s="74"/>
      <c r="D77" s="74"/>
      <c r="E77" s="74"/>
      <c r="F77" s="7" t="s">
        <v>17</v>
      </c>
      <c r="G77" s="7">
        <v>2000</v>
      </c>
      <c r="H77" s="7"/>
      <c r="I77" s="7">
        <f>24000*33.33%</f>
        <v>7999.2</v>
      </c>
      <c r="J77" s="7">
        <f>J76</f>
        <v>1505</v>
      </c>
      <c r="K77" s="52">
        <f t="shared" si="5"/>
        <v>5.3150830564784055</v>
      </c>
      <c r="L77" s="30"/>
    </row>
    <row r="78" spans="1:13" ht="16.5" customHeight="1" x14ac:dyDescent="0.25">
      <c r="A78" s="72" t="s">
        <v>94</v>
      </c>
      <c r="B78" s="72"/>
      <c r="C78" s="72"/>
      <c r="D78" s="72"/>
      <c r="E78" s="72"/>
      <c r="F78" s="7" t="s">
        <v>17</v>
      </c>
      <c r="G78" s="7">
        <v>2100</v>
      </c>
      <c r="H78" s="7"/>
      <c r="I78" s="7">
        <f>25200*33.33%</f>
        <v>8399.16</v>
      </c>
      <c r="J78" s="7">
        <f>J76</f>
        <v>1505</v>
      </c>
      <c r="K78" s="52">
        <f t="shared" si="5"/>
        <v>5.5808372093023255</v>
      </c>
      <c r="L78" s="30"/>
    </row>
    <row r="79" spans="1:13" ht="15" hidden="1" customHeight="1" x14ac:dyDescent="0.25">
      <c r="A79" s="72" t="s">
        <v>99</v>
      </c>
      <c r="B79" s="72"/>
      <c r="C79" s="72"/>
      <c r="D79" s="72"/>
      <c r="E79" s="72"/>
      <c r="F79" s="7" t="s">
        <v>17</v>
      </c>
      <c r="G79" s="7"/>
      <c r="H79" s="7"/>
      <c r="I79" s="7">
        <v>0</v>
      </c>
      <c r="J79" s="7">
        <f>J76</f>
        <v>1505</v>
      </c>
      <c r="K79" s="52">
        <f t="shared" si="5"/>
        <v>0</v>
      </c>
      <c r="L79" s="30"/>
    </row>
    <row r="80" spans="1:13" s="9" customFormat="1" ht="18.75" customHeight="1" x14ac:dyDescent="0.25">
      <c r="A80" s="75" t="s">
        <v>18</v>
      </c>
      <c r="B80" s="80"/>
      <c r="C80" s="80"/>
      <c r="D80" s="80"/>
      <c r="E80" s="80"/>
      <c r="F80" s="80"/>
      <c r="G80" s="80"/>
      <c r="H80" s="91"/>
      <c r="I80" s="2">
        <f>SUM(I75:I79)</f>
        <v>44289.170639999997</v>
      </c>
      <c r="J80" s="46">
        <f>J77</f>
        <v>1505</v>
      </c>
      <c r="K80" s="4">
        <f>I80/J80</f>
        <v>29.428020358803984</v>
      </c>
      <c r="L80" s="30"/>
      <c r="M80" s="8"/>
    </row>
    <row r="81" spans="1:13" ht="12.75" customHeight="1" x14ac:dyDescent="0.25"/>
    <row r="82" spans="1:13" x14ac:dyDescent="0.25">
      <c r="A82" s="73" t="s">
        <v>73</v>
      </c>
      <c r="B82" s="73"/>
      <c r="C82" s="73"/>
      <c r="D82" s="73"/>
      <c r="E82" s="73"/>
      <c r="F82" s="73"/>
      <c r="G82" s="73"/>
      <c r="H82" s="73"/>
      <c r="I82" s="73"/>
      <c r="J82" s="73"/>
      <c r="K82" s="73"/>
      <c r="L82" s="73"/>
    </row>
    <row r="83" spans="1:13" ht="60" customHeight="1" x14ac:dyDescent="0.25">
      <c r="A83" s="69" t="s">
        <v>19</v>
      </c>
      <c r="B83" s="70"/>
      <c r="C83" s="70"/>
      <c r="D83" s="70"/>
      <c r="E83" s="71"/>
      <c r="F83" s="53" t="s">
        <v>7</v>
      </c>
      <c r="G83" s="53" t="s">
        <v>65</v>
      </c>
      <c r="H83" s="53" t="s">
        <v>64</v>
      </c>
      <c r="I83" s="53" t="s">
        <v>72</v>
      </c>
      <c r="J83" s="53" t="s">
        <v>68</v>
      </c>
      <c r="K83" s="24" t="s">
        <v>69</v>
      </c>
      <c r="L83" s="33"/>
    </row>
    <row r="84" spans="1:13" ht="34.5" customHeight="1" x14ac:dyDescent="0.25">
      <c r="A84" s="81" t="s">
        <v>100</v>
      </c>
      <c r="B84" s="82"/>
      <c r="C84" s="82"/>
      <c r="D84" s="82"/>
      <c r="E84" s="83"/>
      <c r="F84" s="7" t="s">
        <v>17</v>
      </c>
      <c r="G84" s="7">
        <v>11</v>
      </c>
      <c r="H84" s="7">
        <v>4116.8999999999996</v>
      </c>
      <c r="I84" s="7">
        <f>45285.9*33.33%</f>
        <v>15093.79047</v>
      </c>
      <c r="J84" s="7">
        <f>J79</f>
        <v>1505</v>
      </c>
      <c r="K84" s="7">
        <f t="shared" ref="K84:K85" si="6">I84/J84</f>
        <v>10.029096657807308</v>
      </c>
      <c r="L84" s="34"/>
    </row>
    <row r="85" spans="1:13" ht="18.75" customHeight="1" x14ac:dyDescent="0.25">
      <c r="A85" s="66" t="s">
        <v>101</v>
      </c>
      <c r="B85" s="76"/>
      <c r="C85" s="76"/>
      <c r="D85" s="76"/>
      <c r="E85" s="90"/>
      <c r="F85" s="7" t="s">
        <v>17</v>
      </c>
      <c r="G85" s="7"/>
      <c r="H85" s="7"/>
      <c r="I85" s="7">
        <f>15000*33.33%</f>
        <v>4999.5</v>
      </c>
      <c r="J85" s="7">
        <f>J84</f>
        <v>1505</v>
      </c>
      <c r="K85" s="7">
        <f t="shared" si="6"/>
        <v>3.3219269102990032</v>
      </c>
      <c r="L85" s="34"/>
    </row>
    <row r="86" spans="1:13" ht="18.75" customHeight="1" x14ac:dyDescent="0.25">
      <c r="A86" s="66" t="s">
        <v>102</v>
      </c>
      <c r="B86" s="67"/>
      <c r="C86" s="67"/>
      <c r="D86" s="67"/>
      <c r="E86" s="68"/>
      <c r="F86" s="7" t="s">
        <v>17</v>
      </c>
      <c r="G86" s="7"/>
      <c r="H86" s="7"/>
      <c r="I86" s="7">
        <f>10000*33.33%</f>
        <v>3333</v>
      </c>
      <c r="J86" s="7">
        <f>J78</f>
        <v>1505</v>
      </c>
      <c r="K86" s="7">
        <f>I86/J86</f>
        <v>2.2146179401993353</v>
      </c>
      <c r="L86" s="34"/>
    </row>
    <row r="87" spans="1:13" ht="18.75" customHeight="1" x14ac:dyDescent="0.25">
      <c r="A87" s="66" t="s">
        <v>115</v>
      </c>
      <c r="B87" s="67"/>
      <c r="C87" s="67"/>
      <c r="D87" s="67"/>
      <c r="E87" s="68"/>
      <c r="F87" s="7" t="s">
        <v>17</v>
      </c>
      <c r="G87" s="7">
        <v>12</v>
      </c>
      <c r="H87" s="7"/>
      <c r="I87" s="7">
        <f>8280*33.33%</f>
        <v>2759.7239999999997</v>
      </c>
      <c r="J87" s="7">
        <f>J79</f>
        <v>1505</v>
      </c>
      <c r="K87" s="7">
        <f>I87/J87</f>
        <v>1.8337036544850496</v>
      </c>
      <c r="L87" s="34"/>
    </row>
    <row r="88" spans="1:13" x14ac:dyDescent="0.25">
      <c r="A88" s="75" t="s">
        <v>74</v>
      </c>
      <c r="B88" s="80"/>
      <c r="C88" s="80"/>
      <c r="D88" s="80"/>
      <c r="E88" s="80"/>
      <c r="F88" s="80"/>
      <c r="G88" s="80"/>
      <c r="H88" s="80"/>
      <c r="I88" s="5">
        <f>SUM(I84:I87)</f>
        <v>26186.014469999998</v>
      </c>
      <c r="J88" s="46">
        <f>J79</f>
        <v>1505</v>
      </c>
      <c r="K88" s="5">
        <f>I88/J88</f>
        <v>17.399345162790695</v>
      </c>
      <c r="L88" s="34"/>
    </row>
    <row r="89" spans="1:13" x14ac:dyDescent="0.25">
      <c r="A89" s="35"/>
      <c r="B89" s="35"/>
      <c r="C89" s="35"/>
      <c r="D89" s="35"/>
      <c r="E89" s="35"/>
      <c r="F89" s="35"/>
      <c r="G89" s="35"/>
      <c r="H89" s="35"/>
      <c r="I89" s="6"/>
      <c r="J89" s="6"/>
      <c r="K89" s="6"/>
      <c r="L89" s="34"/>
    </row>
    <row r="90" spans="1:13" x14ac:dyDescent="0.25">
      <c r="A90" s="73" t="s">
        <v>75</v>
      </c>
      <c r="B90" s="73"/>
      <c r="C90" s="73"/>
      <c r="D90" s="73"/>
      <c r="E90" s="73"/>
      <c r="F90" s="73"/>
      <c r="G90" s="73"/>
      <c r="H90" s="73"/>
      <c r="I90" s="73"/>
      <c r="J90" s="73"/>
      <c r="K90" s="73"/>
      <c r="L90" s="73"/>
    </row>
    <row r="91" spans="1:13" ht="45.75" customHeight="1" x14ac:dyDescent="0.25">
      <c r="A91" s="69" t="s">
        <v>20</v>
      </c>
      <c r="B91" s="70"/>
      <c r="C91" s="70"/>
      <c r="D91" s="70"/>
      <c r="E91" s="71"/>
      <c r="F91" s="53" t="s">
        <v>7</v>
      </c>
      <c r="G91" s="53" t="s">
        <v>65</v>
      </c>
      <c r="H91" s="53" t="s">
        <v>64</v>
      </c>
      <c r="I91" s="53" t="s">
        <v>72</v>
      </c>
      <c r="J91" s="36" t="s">
        <v>68</v>
      </c>
      <c r="K91" s="24" t="s">
        <v>69</v>
      </c>
      <c r="L91" s="33"/>
      <c r="M91" s="33"/>
    </row>
    <row r="92" spans="1:13" ht="23.25" customHeight="1" x14ac:dyDescent="0.25">
      <c r="A92" s="66" t="s">
        <v>103</v>
      </c>
      <c r="B92" s="67"/>
      <c r="C92" s="67"/>
      <c r="D92" s="67"/>
      <c r="E92" s="68"/>
      <c r="F92" s="37" t="s">
        <v>106</v>
      </c>
      <c r="G92" s="7">
        <v>4</v>
      </c>
      <c r="H92" s="7">
        <v>563.75</v>
      </c>
      <c r="I92" s="7">
        <f>27059.76*33.33%</f>
        <v>9019.0180079999991</v>
      </c>
      <c r="J92" s="52">
        <f>J86</f>
        <v>1505</v>
      </c>
      <c r="K92" s="7">
        <f>I92/J92</f>
        <v>5.9927029953488367</v>
      </c>
      <c r="L92" s="34"/>
      <c r="M92" s="34"/>
    </row>
    <row r="93" spans="1:13" ht="26.25" customHeight="1" x14ac:dyDescent="0.25">
      <c r="A93" s="66" t="s">
        <v>104</v>
      </c>
      <c r="B93" s="76"/>
      <c r="C93" s="76"/>
      <c r="D93" s="76"/>
      <c r="E93" s="90"/>
      <c r="F93" s="37" t="s">
        <v>106</v>
      </c>
      <c r="G93" s="7">
        <v>1</v>
      </c>
      <c r="H93" s="7">
        <v>80.540000000000006</v>
      </c>
      <c r="I93" s="7">
        <f>966.42*33.33%</f>
        <v>322.10778599999998</v>
      </c>
      <c r="J93" s="52">
        <f>J92</f>
        <v>1505</v>
      </c>
      <c r="K93" s="7">
        <f t="shared" ref="K93:K94" si="7">I93/J93</f>
        <v>0.21402510697674418</v>
      </c>
      <c r="L93" s="34"/>
      <c r="M93" s="34"/>
    </row>
    <row r="94" spans="1:13" ht="28.5" customHeight="1" x14ac:dyDescent="0.25">
      <c r="A94" s="66" t="s">
        <v>105</v>
      </c>
      <c r="B94" s="76"/>
      <c r="C94" s="76"/>
      <c r="D94" s="76"/>
      <c r="E94" s="90"/>
      <c r="F94" s="37" t="s">
        <v>106</v>
      </c>
      <c r="G94" s="7">
        <v>1</v>
      </c>
      <c r="H94" s="7"/>
      <c r="I94" s="7">
        <f>6481.44*33.33%</f>
        <v>2160.2639519999998</v>
      </c>
      <c r="J94" s="52">
        <f>J93</f>
        <v>1505</v>
      </c>
      <c r="K94" s="7">
        <f t="shared" si="7"/>
        <v>1.435391330232558</v>
      </c>
      <c r="L94" s="34"/>
      <c r="M94" s="34"/>
    </row>
    <row r="95" spans="1:13" ht="37.5" customHeight="1" x14ac:dyDescent="0.25">
      <c r="A95" s="66" t="s">
        <v>76</v>
      </c>
      <c r="B95" s="67"/>
      <c r="C95" s="67"/>
      <c r="D95" s="67"/>
      <c r="E95" s="68"/>
      <c r="F95" s="37" t="s">
        <v>106</v>
      </c>
      <c r="G95" s="7">
        <v>1</v>
      </c>
      <c r="H95" s="7">
        <v>1901.87</v>
      </c>
      <c r="I95" s="7">
        <f>22822.38*33.33%</f>
        <v>7606.6992540000001</v>
      </c>
      <c r="J95" s="52">
        <f>J92</f>
        <v>1505</v>
      </c>
      <c r="K95" s="7">
        <f>I95/J95</f>
        <v>5.054285218604651</v>
      </c>
      <c r="L95" s="34"/>
      <c r="M95" s="34"/>
    </row>
    <row r="96" spans="1:13" x14ac:dyDescent="0.25">
      <c r="A96" s="75" t="s">
        <v>21</v>
      </c>
      <c r="B96" s="80"/>
      <c r="C96" s="80"/>
      <c r="D96" s="80"/>
      <c r="E96" s="80"/>
      <c r="F96" s="80"/>
      <c r="G96" s="80"/>
      <c r="H96" s="91"/>
      <c r="I96" s="5">
        <f t="shared" ref="I96" si="8">SUM(I92:I95)</f>
        <v>19108.089</v>
      </c>
      <c r="J96" s="5">
        <f>J95</f>
        <v>1505</v>
      </c>
      <c r="K96" s="5">
        <f>I96/J96</f>
        <v>12.696404651162791</v>
      </c>
      <c r="L96" s="6"/>
      <c r="M96" s="34"/>
    </row>
    <row r="97" spans="1:13" x14ac:dyDescent="0.25">
      <c r="A97" s="35"/>
      <c r="B97" s="35"/>
      <c r="C97" s="35"/>
      <c r="D97" s="35"/>
      <c r="E97" s="35"/>
      <c r="F97" s="35"/>
      <c r="G97" s="35"/>
      <c r="H97" s="35"/>
      <c r="I97" s="6"/>
      <c r="J97" s="6"/>
      <c r="K97" s="6"/>
      <c r="L97" s="6"/>
      <c r="M97" s="34"/>
    </row>
    <row r="98" spans="1:13" x14ac:dyDescent="0.25">
      <c r="A98" s="73" t="s">
        <v>37</v>
      </c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</row>
    <row r="99" spans="1:13" ht="60.75" customHeight="1" x14ac:dyDescent="0.25">
      <c r="A99" s="69" t="s">
        <v>5</v>
      </c>
      <c r="B99" s="70"/>
      <c r="C99" s="70"/>
      <c r="D99" s="70"/>
      <c r="E99" s="71"/>
      <c r="F99" s="53" t="s">
        <v>6</v>
      </c>
      <c r="G99" s="53" t="s">
        <v>1</v>
      </c>
      <c r="H99" s="53" t="s">
        <v>66</v>
      </c>
      <c r="I99" s="53" t="s">
        <v>67</v>
      </c>
      <c r="J99" s="53" t="s">
        <v>68</v>
      </c>
      <c r="K99" s="24" t="s">
        <v>69</v>
      </c>
      <c r="L99" s="33"/>
    </row>
    <row r="100" spans="1:13" ht="15" hidden="1" customHeight="1" x14ac:dyDescent="0.25">
      <c r="A100" s="72" t="s">
        <v>3</v>
      </c>
      <c r="B100" s="72"/>
      <c r="C100" s="72"/>
      <c r="D100" s="72"/>
      <c r="E100" s="72"/>
      <c r="F100" s="38">
        <v>16626</v>
      </c>
      <c r="G100" s="7">
        <v>0.45</v>
      </c>
      <c r="H100" s="3">
        <f>F100*12*G100</f>
        <v>89780.400000000009</v>
      </c>
      <c r="I100" s="7">
        <f>H100*1.302</f>
        <v>116894.08080000001</v>
      </c>
      <c r="J100" s="7">
        <f>J95</f>
        <v>1505</v>
      </c>
      <c r="K100" s="7">
        <f>I100/J100</f>
        <v>77.670485581395354</v>
      </c>
      <c r="L100" s="34"/>
    </row>
    <row r="101" spans="1:13" ht="15" hidden="1" customHeight="1" x14ac:dyDescent="0.25">
      <c r="A101" s="72" t="s">
        <v>80</v>
      </c>
      <c r="B101" s="72"/>
      <c r="C101" s="72"/>
      <c r="D101" s="72"/>
      <c r="E101" s="72"/>
      <c r="F101" s="7">
        <v>11538</v>
      </c>
      <c r="G101" s="7">
        <v>0.45</v>
      </c>
      <c r="H101" s="3">
        <f t="shared" ref="H101:H115" si="9">F101*12*G101</f>
        <v>62305.200000000004</v>
      </c>
      <c r="I101" s="7">
        <f t="shared" ref="I101:I115" si="10">H101*1.302</f>
        <v>81121.370400000014</v>
      </c>
      <c r="J101" s="7">
        <f>J100</f>
        <v>1505</v>
      </c>
      <c r="K101" s="7">
        <f>I101/J101</f>
        <v>53.901242790697687</v>
      </c>
      <c r="L101" s="34"/>
    </row>
    <row r="102" spans="1:13" ht="15" hidden="1" customHeight="1" x14ac:dyDescent="0.25">
      <c r="A102" s="72" t="s">
        <v>42</v>
      </c>
      <c r="B102" s="72"/>
      <c r="C102" s="72"/>
      <c r="D102" s="72"/>
      <c r="E102" s="72"/>
      <c r="F102" s="7">
        <v>11538</v>
      </c>
      <c r="G102" s="7">
        <v>0.45</v>
      </c>
      <c r="H102" s="3">
        <f t="shared" si="9"/>
        <v>62305.200000000004</v>
      </c>
      <c r="I102" s="7">
        <f t="shared" si="10"/>
        <v>81121.370400000014</v>
      </c>
      <c r="J102" s="7">
        <f>J101</f>
        <v>1505</v>
      </c>
      <c r="K102" s="7">
        <f>I102/J102</f>
        <v>53.901242790697687</v>
      </c>
      <c r="L102" s="34"/>
    </row>
    <row r="103" spans="1:13" ht="15" hidden="1" customHeight="1" x14ac:dyDescent="0.25">
      <c r="A103" s="72" t="s">
        <v>44</v>
      </c>
      <c r="B103" s="72"/>
      <c r="C103" s="72"/>
      <c r="D103" s="72"/>
      <c r="E103" s="72"/>
      <c r="F103" s="7">
        <v>11538</v>
      </c>
      <c r="G103" s="7">
        <v>0.45</v>
      </c>
      <c r="H103" s="3">
        <f t="shared" si="9"/>
        <v>62305.200000000004</v>
      </c>
      <c r="I103" s="7">
        <f t="shared" si="10"/>
        <v>81121.370400000014</v>
      </c>
      <c r="J103" s="7">
        <f>J101</f>
        <v>1505</v>
      </c>
      <c r="K103" s="7">
        <f t="shared" ref="K103:K115" si="11">I103/J103</f>
        <v>53.901242790697687</v>
      </c>
      <c r="L103" s="34"/>
    </row>
    <row r="104" spans="1:13" ht="15.75" hidden="1" customHeight="1" x14ac:dyDescent="0.25">
      <c r="A104" s="72" t="s">
        <v>79</v>
      </c>
      <c r="B104" s="72"/>
      <c r="C104" s="72"/>
      <c r="D104" s="72"/>
      <c r="E104" s="72"/>
      <c r="F104" s="7">
        <v>11538</v>
      </c>
      <c r="G104" s="7">
        <v>0.45</v>
      </c>
      <c r="H104" s="3">
        <f t="shared" si="9"/>
        <v>62305.200000000004</v>
      </c>
      <c r="I104" s="7">
        <f t="shared" si="10"/>
        <v>81121.370400000014</v>
      </c>
      <c r="J104" s="7">
        <f>J102</f>
        <v>1505</v>
      </c>
      <c r="K104" s="7">
        <f t="shared" si="11"/>
        <v>53.901242790697687</v>
      </c>
      <c r="L104" s="34"/>
    </row>
    <row r="105" spans="1:13" ht="14.25" hidden="1" customHeight="1" x14ac:dyDescent="0.25">
      <c r="A105" s="72" t="s">
        <v>38</v>
      </c>
      <c r="B105" s="72"/>
      <c r="C105" s="72"/>
      <c r="D105" s="72"/>
      <c r="E105" s="72"/>
      <c r="F105" s="38">
        <v>6556</v>
      </c>
      <c r="G105" s="7">
        <v>2.25</v>
      </c>
      <c r="H105" s="3">
        <f t="shared" si="9"/>
        <v>177012</v>
      </c>
      <c r="I105" s="7">
        <f t="shared" si="10"/>
        <v>230469.62400000001</v>
      </c>
      <c r="J105" s="7">
        <f>J103</f>
        <v>1505</v>
      </c>
      <c r="K105" s="7">
        <f t="shared" si="11"/>
        <v>153.13596279069768</v>
      </c>
      <c r="L105" s="34"/>
    </row>
    <row r="106" spans="1:13" ht="15" hidden="1" customHeight="1" x14ac:dyDescent="0.25">
      <c r="A106" s="72" t="s">
        <v>82</v>
      </c>
      <c r="B106" s="72"/>
      <c r="C106" s="72"/>
      <c r="D106" s="72"/>
      <c r="E106" s="72"/>
      <c r="F106" s="38">
        <v>6556</v>
      </c>
      <c r="G106" s="7">
        <v>0.45</v>
      </c>
      <c r="H106" s="3">
        <f t="shared" si="9"/>
        <v>35402.400000000001</v>
      </c>
      <c r="I106" s="7">
        <f t="shared" si="10"/>
        <v>46093.924800000001</v>
      </c>
      <c r="J106" s="7">
        <f t="shared" ref="J106:J115" si="12">J104</f>
        <v>1505</v>
      </c>
      <c r="K106" s="7">
        <f t="shared" si="11"/>
        <v>30.627192558139534</v>
      </c>
      <c r="L106" s="34"/>
    </row>
    <row r="107" spans="1:13" ht="15" hidden="1" customHeight="1" x14ac:dyDescent="0.25">
      <c r="A107" s="72" t="s">
        <v>45</v>
      </c>
      <c r="B107" s="72"/>
      <c r="C107" s="72"/>
      <c r="D107" s="72"/>
      <c r="E107" s="72"/>
      <c r="F107" s="38">
        <v>6556</v>
      </c>
      <c r="G107" s="7">
        <v>0.45</v>
      </c>
      <c r="H107" s="3">
        <f t="shared" si="9"/>
        <v>35402.400000000001</v>
      </c>
      <c r="I107" s="7">
        <f t="shared" si="10"/>
        <v>46093.924800000001</v>
      </c>
      <c r="J107" s="7">
        <f t="shared" si="12"/>
        <v>1505</v>
      </c>
      <c r="K107" s="7">
        <f t="shared" si="11"/>
        <v>30.627192558139534</v>
      </c>
      <c r="L107" s="34"/>
    </row>
    <row r="108" spans="1:13" ht="15" hidden="1" customHeight="1" x14ac:dyDescent="0.25">
      <c r="A108" s="72" t="s">
        <v>48</v>
      </c>
      <c r="B108" s="72"/>
      <c r="C108" s="72"/>
      <c r="D108" s="72"/>
      <c r="E108" s="72"/>
      <c r="F108" s="38">
        <v>5669</v>
      </c>
      <c r="G108" s="7">
        <v>0.23</v>
      </c>
      <c r="H108" s="3">
        <f t="shared" si="9"/>
        <v>15646.44</v>
      </c>
      <c r="I108" s="7">
        <f t="shared" si="10"/>
        <v>20371.66488</v>
      </c>
      <c r="J108" s="7">
        <f t="shared" si="12"/>
        <v>1505</v>
      </c>
      <c r="K108" s="7">
        <f t="shared" si="11"/>
        <v>13.535989953488372</v>
      </c>
      <c r="L108" s="34"/>
    </row>
    <row r="109" spans="1:13" ht="15.75" hidden="1" customHeight="1" x14ac:dyDescent="0.25">
      <c r="A109" s="72" t="s">
        <v>88</v>
      </c>
      <c r="B109" s="72"/>
      <c r="C109" s="72"/>
      <c r="D109" s="72"/>
      <c r="E109" s="72"/>
      <c r="F109" s="38">
        <v>11538</v>
      </c>
      <c r="G109" s="7">
        <v>3.15</v>
      </c>
      <c r="H109" s="3">
        <f t="shared" si="9"/>
        <v>436136.39999999997</v>
      </c>
      <c r="I109" s="7">
        <f t="shared" si="10"/>
        <v>567849.59279999998</v>
      </c>
      <c r="J109" s="7">
        <f t="shared" si="12"/>
        <v>1505</v>
      </c>
      <c r="K109" s="7">
        <f t="shared" si="11"/>
        <v>377.30869953488371</v>
      </c>
      <c r="L109" s="34"/>
    </row>
    <row r="110" spans="1:13" ht="15.75" hidden="1" customHeight="1" x14ac:dyDescent="0.25">
      <c r="A110" s="72" t="s">
        <v>50</v>
      </c>
      <c r="B110" s="72"/>
      <c r="C110" s="72"/>
      <c r="D110" s="72"/>
      <c r="E110" s="72"/>
      <c r="F110" s="38">
        <v>8837</v>
      </c>
      <c r="G110" s="7">
        <v>3.6</v>
      </c>
      <c r="H110" s="3">
        <f t="shared" si="9"/>
        <v>381758.4</v>
      </c>
      <c r="I110" s="7">
        <f t="shared" si="10"/>
        <v>497049.43680000002</v>
      </c>
      <c r="J110" s="7">
        <f t="shared" si="12"/>
        <v>1505</v>
      </c>
      <c r="K110" s="7">
        <f t="shared" si="11"/>
        <v>330.26540651162793</v>
      </c>
      <c r="L110" s="34"/>
    </row>
    <row r="111" spans="1:13" ht="15.75" hidden="1" customHeight="1" x14ac:dyDescent="0.25">
      <c r="A111" s="72" t="s">
        <v>90</v>
      </c>
      <c r="B111" s="72"/>
      <c r="C111" s="72"/>
      <c r="D111" s="72"/>
      <c r="E111" s="72"/>
      <c r="F111" s="38">
        <v>11538</v>
      </c>
      <c r="G111" s="7">
        <v>0.45</v>
      </c>
      <c r="H111" s="3">
        <f t="shared" si="9"/>
        <v>62305.200000000004</v>
      </c>
      <c r="I111" s="7">
        <f t="shared" si="10"/>
        <v>81121.370400000014</v>
      </c>
      <c r="J111" s="7">
        <f t="shared" si="12"/>
        <v>1505</v>
      </c>
      <c r="K111" s="7">
        <f t="shared" si="11"/>
        <v>53.901242790697687</v>
      </c>
      <c r="L111" s="34"/>
    </row>
    <row r="112" spans="1:13" ht="15.75" hidden="1" customHeight="1" x14ac:dyDescent="0.25">
      <c r="A112" s="72" t="s">
        <v>91</v>
      </c>
      <c r="B112" s="72"/>
      <c r="C112" s="72"/>
      <c r="D112" s="72"/>
      <c r="E112" s="72"/>
      <c r="F112" s="38">
        <v>11538</v>
      </c>
      <c r="G112" s="7">
        <v>0.45</v>
      </c>
      <c r="H112" s="3">
        <f t="shared" si="9"/>
        <v>62305.200000000004</v>
      </c>
      <c r="I112" s="7">
        <f t="shared" si="10"/>
        <v>81121.370400000014</v>
      </c>
      <c r="J112" s="7">
        <f t="shared" si="12"/>
        <v>1505</v>
      </c>
      <c r="K112" s="7">
        <f t="shared" si="11"/>
        <v>53.901242790697687</v>
      </c>
      <c r="L112" s="34"/>
    </row>
    <row r="113" spans="1:13" ht="13.5" hidden="1" customHeight="1" x14ac:dyDescent="0.25">
      <c r="A113" s="72" t="s">
        <v>92</v>
      </c>
      <c r="B113" s="72"/>
      <c r="C113" s="72"/>
      <c r="D113" s="72"/>
      <c r="E113" s="72"/>
      <c r="F113" s="38">
        <v>11538</v>
      </c>
      <c r="G113" s="7">
        <v>0.45</v>
      </c>
      <c r="H113" s="3">
        <f>F113*12*G113</f>
        <v>62305.200000000004</v>
      </c>
      <c r="I113" s="7">
        <f t="shared" si="10"/>
        <v>81121.370400000014</v>
      </c>
      <c r="J113" s="7">
        <f t="shared" si="12"/>
        <v>1505</v>
      </c>
      <c r="K113" s="7">
        <f t="shared" si="11"/>
        <v>53.901242790697687</v>
      </c>
      <c r="L113" s="34"/>
    </row>
    <row r="114" spans="1:13" ht="17.25" hidden="1" customHeight="1" x14ac:dyDescent="0.25">
      <c r="A114" s="72" t="s">
        <v>52</v>
      </c>
      <c r="B114" s="72"/>
      <c r="C114" s="72"/>
      <c r="D114" s="72"/>
      <c r="E114" s="72"/>
      <c r="F114" s="38">
        <v>8837</v>
      </c>
      <c r="G114" s="7">
        <v>4.28</v>
      </c>
      <c r="H114" s="3">
        <f t="shared" si="9"/>
        <v>453868.32</v>
      </c>
      <c r="I114" s="7">
        <f t="shared" si="10"/>
        <v>590936.55264000001</v>
      </c>
      <c r="J114" s="7">
        <f t="shared" si="12"/>
        <v>1505</v>
      </c>
      <c r="K114" s="7">
        <f t="shared" si="11"/>
        <v>392.6488721860465</v>
      </c>
      <c r="L114" s="34"/>
    </row>
    <row r="115" spans="1:13" ht="17.25" hidden="1" customHeight="1" x14ac:dyDescent="0.25">
      <c r="A115" s="72" t="s">
        <v>93</v>
      </c>
      <c r="B115" s="72"/>
      <c r="C115" s="72"/>
      <c r="D115" s="72"/>
      <c r="E115" s="72"/>
      <c r="F115" s="38">
        <v>11538</v>
      </c>
      <c r="G115" s="7">
        <v>0.45</v>
      </c>
      <c r="H115" s="3">
        <f t="shared" si="9"/>
        <v>62305.200000000004</v>
      </c>
      <c r="I115" s="7">
        <f t="shared" si="10"/>
        <v>81121.370400000014</v>
      </c>
      <c r="J115" s="7">
        <f t="shared" si="12"/>
        <v>1505</v>
      </c>
      <c r="K115" s="7">
        <f t="shared" si="11"/>
        <v>53.901242790697687</v>
      </c>
      <c r="L115" s="34"/>
    </row>
    <row r="116" spans="1:13" s="9" customFormat="1" ht="20.25" customHeight="1" x14ac:dyDescent="0.25">
      <c r="A116" s="47" t="s">
        <v>22</v>
      </c>
      <c r="B116" s="48"/>
      <c r="C116" s="48"/>
      <c r="D116" s="48"/>
      <c r="E116" s="48"/>
      <c r="F116" s="2">
        <v>22363.97</v>
      </c>
      <c r="G116" s="2">
        <f>L45</f>
        <v>0.66659999999999997</v>
      </c>
      <c r="H116" s="41">
        <v>179806.32</v>
      </c>
      <c r="I116" s="5">
        <f>(H116*1.302)</f>
        <v>234107.82864000002</v>
      </c>
      <c r="J116" s="5">
        <f>J96</f>
        <v>1505</v>
      </c>
      <c r="K116" s="5">
        <f>I116/J115</f>
        <v>155.55337451162791</v>
      </c>
      <c r="L116" s="34"/>
      <c r="M116" s="8"/>
    </row>
    <row r="117" spans="1:13" ht="12" customHeight="1" x14ac:dyDescent="0.25">
      <c r="F117" s="49"/>
      <c r="G117" s="49"/>
      <c r="H117" s="49"/>
      <c r="I117" s="49"/>
      <c r="J117" s="49"/>
      <c r="K117" s="49"/>
      <c r="L117" s="49"/>
    </row>
    <row r="118" spans="1:13" s="9" customFormat="1" x14ac:dyDescent="0.25">
      <c r="A118" s="78" t="s">
        <v>77</v>
      </c>
      <c r="B118" s="78"/>
      <c r="C118" s="78"/>
      <c r="D118" s="78"/>
      <c r="E118" s="78"/>
      <c r="F118" s="78"/>
      <c r="G118" s="78"/>
      <c r="H118" s="78"/>
      <c r="I118" s="78"/>
      <c r="J118" s="78"/>
      <c r="K118" s="78"/>
      <c r="L118" s="84"/>
      <c r="M118" s="8"/>
    </row>
    <row r="119" spans="1:13" s="9" customFormat="1" ht="44.25" customHeight="1" x14ac:dyDescent="0.25">
      <c r="A119" s="79" t="s">
        <v>54</v>
      </c>
      <c r="B119" s="79"/>
      <c r="C119" s="79"/>
      <c r="D119" s="79"/>
      <c r="E119" s="79"/>
      <c r="F119" s="53" t="s">
        <v>7</v>
      </c>
      <c r="G119" s="53" t="s">
        <v>65</v>
      </c>
      <c r="H119" s="53" t="s">
        <v>64</v>
      </c>
      <c r="I119" s="53" t="s">
        <v>72</v>
      </c>
      <c r="J119" s="53" t="s">
        <v>68</v>
      </c>
      <c r="K119" s="27" t="s">
        <v>69</v>
      </c>
      <c r="L119" s="28"/>
      <c r="M119" s="8"/>
    </row>
    <row r="120" spans="1:13" s="9" customFormat="1" ht="23.25" customHeight="1" x14ac:dyDescent="0.25">
      <c r="A120" s="66" t="s">
        <v>107</v>
      </c>
      <c r="B120" s="67"/>
      <c r="C120" s="67"/>
      <c r="D120" s="67"/>
      <c r="E120" s="68"/>
      <c r="F120" s="53"/>
      <c r="G120" s="43"/>
      <c r="H120" s="43"/>
      <c r="I120" s="43">
        <f>68360*33.33%</f>
        <v>22784.387999999999</v>
      </c>
      <c r="J120" s="43">
        <f>J116</f>
        <v>1505</v>
      </c>
      <c r="K120" s="52">
        <f>I120/J120</f>
        <v>15.139128239202657</v>
      </c>
      <c r="L120" s="28"/>
      <c r="M120" s="8"/>
    </row>
    <row r="121" spans="1:13" s="9" customFormat="1" ht="30.75" hidden="1" customHeight="1" x14ac:dyDescent="0.25">
      <c r="A121" s="81" t="s">
        <v>108</v>
      </c>
      <c r="B121" s="82"/>
      <c r="C121" s="82"/>
      <c r="D121" s="82"/>
      <c r="E121" s="83"/>
      <c r="F121" s="53"/>
      <c r="G121" s="43"/>
      <c r="H121" s="43"/>
      <c r="I121" s="43">
        <v>0</v>
      </c>
      <c r="J121" s="43">
        <f>J120</f>
        <v>1505</v>
      </c>
      <c r="K121" s="52">
        <f t="shared" ref="K121" si="13">I121/J121</f>
        <v>0</v>
      </c>
      <c r="L121" s="28"/>
      <c r="M121" s="8"/>
    </row>
    <row r="122" spans="1:13" s="9" customFormat="1" x14ac:dyDescent="0.25">
      <c r="A122" s="75" t="s">
        <v>78</v>
      </c>
      <c r="B122" s="80"/>
      <c r="C122" s="80"/>
      <c r="D122" s="80"/>
      <c r="E122" s="80"/>
      <c r="F122" s="80"/>
      <c r="G122" s="80"/>
      <c r="H122" s="80"/>
      <c r="I122" s="5">
        <f>SUM(I120:I121)</f>
        <v>22784.387999999999</v>
      </c>
      <c r="J122" s="5">
        <f>J121</f>
        <v>1505</v>
      </c>
      <c r="K122" s="5">
        <f>I122/J122</f>
        <v>15.139128239202657</v>
      </c>
      <c r="L122" s="30"/>
      <c r="M122" s="8"/>
    </row>
    <row r="123" spans="1:13" ht="12" customHeight="1" x14ac:dyDescent="0.25">
      <c r="F123" s="49"/>
      <c r="G123" s="49"/>
      <c r="H123" s="49"/>
      <c r="I123" s="49"/>
      <c r="J123" s="49"/>
      <c r="K123" s="49"/>
      <c r="L123" s="49"/>
    </row>
    <row r="124" spans="1:13" s="9" customFormat="1" x14ac:dyDescent="0.25">
      <c r="A124" s="78" t="s">
        <v>109</v>
      </c>
      <c r="B124" s="78"/>
      <c r="C124" s="78"/>
      <c r="D124" s="78"/>
      <c r="E124" s="78"/>
      <c r="F124" s="78"/>
      <c r="G124" s="78"/>
      <c r="H124" s="78"/>
      <c r="I124" s="78"/>
      <c r="J124" s="78"/>
      <c r="K124" s="78"/>
      <c r="L124" s="84"/>
      <c r="M124" s="8"/>
    </row>
    <row r="125" spans="1:13" s="9" customFormat="1" ht="44.25" customHeight="1" x14ac:dyDescent="0.25">
      <c r="A125" s="79" t="s">
        <v>54</v>
      </c>
      <c r="B125" s="79"/>
      <c r="C125" s="79"/>
      <c r="D125" s="79"/>
      <c r="E125" s="79"/>
      <c r="F125" s="53" t="s">
        <v>7</v>
      </c>
      <c r="G125" s="53" t="s">
        <v>65</v>
      </c>
      <c r="H125" s="53" t="s">
        <v>64</v>
      </c>
      <c r="I125" s="53" t="s">
        <v>72</v>
      </c>
      <c r="J125" s="53" t="s">
        <v>68</v>
      </c>
      <c r="K125" s="27" t="s">
        <v>69</v>
      </c>
      <c r="L125" s="28"/>
      <c r="M125" s="8"/>
    </row>
    <row r="126" spans="1:13" s="9" customFormat="1" ht="23.25" customHeight="1" x14ac:dyDescent="0.25">
      <c r="A126" s="66" t="s">
        <v>110</v>
      </c>
      <c r="B126" s="67"/>
      <c r="C126" s="67"/>
      <c r="D126" s="67"/>
      <c r="E126" s="68"/>
      <c r="F126" s="53"/>
      <c r="G126" s="43"/>
      <c r="H126" s="43"/>
      <c r="I126" s="43">
        <f>108400*33.33%</f>
        <v>36129.72</v>
      </c>
      <c r="J126" s="43">
        <f>J122</f>
        <v>1505</v>
      </c>
      <c r="K126" s="52">
        <f>I126/J126</f>
        <v>24.006458471760798</v>
      </c>
      <c r="L126" s="28"/>
      <c r="M126" s="8"/>
    </row>
    <row r="127" spans="1:13" s="9" customFormat="1" x14ac:dyDescent="0.25">
      <c r="A127" s="75" t="s">
        <v>111</v>
      </c>
      <c r="B127" s="80"/>
      <c r="C127" s="80"/>
      <c r="D127" s="80"/>
      <c r="E127" s="80"/>
      <c r="F127" s="80"/>
      <c r="G127" s="80"/>
      <c r="H127" s="80"/>
      <c r="I127" s="5">
        <f>SUM(I126:I126)</f>
        <v>36129.72</v>
      </c>
      <c r="J127" s="5">
        <f>J126</f>
        <v>1505</v>
      </c>
      <c r="K127" s="5">
        <f>I127/J127</f>
        <v>24.006458471760798</v>
      </c>
      <c r="L127" s="30"/>
      <c r="M127" s="8"/>
    </row>
    <row r="128" spans="1:13" s="9" customFormat="1" x14ac:dyDescent="0.25">
      <c r="A128" s="44"/>
      <c r="B128" s="44"/>
      <c r="C128" s="44"/>
      <c r="D128" s="44"/>
      <c r="E128" s="44"/>
      <c r="F128" s="44"/>
      <c r="G128" s="44"/>
      <c r="H128" s="44"/>
      <c r="I128" s="15"/>
      <c r="J128" s="15"/>
      <c r="K128" s="15"/>
      <c r="L128" s="34"/>
      <c r="M128" s="8"/>
    </row>
    <row r="129" spans="1:12" ht="12.75" customHeight="1" x14ac:dyDescent="0.25">
      <c r="A129" s="78" t="s">
        <v>23</v>
      </c>
      <c r="B129" s="78"/>
      <c r="C129" s="78"/>
      <c r="D129" s="78"/>
      <c r="E129" s="78"/>
      <c r="F129" s="78"/>
      <c r="G129" s="78"/>
      <c r="H129" s="78"/>
      <c r="I129" s="78"/>
      <c r="J129" s="78"/>
      <c r="K129" s="78"/>
      <c r="L129" s="78"/>
    </row>
    <row r="130" spans="1:12" ht="15" customHeight="1" x14ac:dyDescent="0.25">
      <c r="A130" s="77" t="s">
        <v>24</v>
      </c>
      <c r="B130" s="77"/>
      <c r="C130" s="77"/>
      <c r="D130" s="69" t="s">
        <v>25</v>
      </c>
      <c r="E130" s="70"/>
      <c r="F130" s="70"/>
      <c r="G130" s="70"/>
      <c r="H130" s="70"/>
      <c r="I130" s="70"/>
      <c r="J130" s="71"/>
      <c r="K130" s="77" t="s">
        <v>36</v>
      </c>
      <c r="L130" s="77"/>
    </row>
    <row r="131" spans="1:12" ht="30" x14ac:dyDescent="0.25">
      <c r="A131" s="7" t="s">
        <v>26</v>
      </c>
      <c r="B131" s="25" t="s">
        <v>27</v>
      </c>
      <c r="C131" s="7" t="s">
        <v>28</v>
      </c>
      <c r="D131" s="7" t="s">
        <v>29</v>
      </c>
      <c r="E131" s="7" t="s">
        <v>30</v>
      </c>
      <c r="F131" s="7" t="s">
        <v>31</v>
      </c>
      <c r="G131" s="7" t="s">
        <v>32</v>
      </c>
      <c r="H131" s="7" t="s">
        <v>33</v>
      </c>
      <c r="I131" s="7" t="s">
        <v>34</v>
      </c>
      <c r="J131" s="7" t="s">
        <v>35</v>
      </c>
      <c r="K131" s="77"/>
      <c r="L131" s="77"/>
    </row>
    <row r="132" spans="1:12" x14ac:dyDescent="0.25">
      <c r="A132" s="7">
        <f>K62</f>
        <v>4161.0524221395353</v>
      </c>
      <c r="B132" s="7"/>
      <c r="C132" s="7"/>
      <c r="D132" s="7">
        <f>K71</f>
        <v>281.86839284451821</v>
      </c>
      <c r="E132" s="7">
        <f>K80</f>
        <v>29.428020358803984</v>
      </c>
      <c r="F132" s="7"/>
      <c r="G132" s="7">
        <f>K96</f>
        <v>12.696404651162791</v>
      </c>
      <c r="H132" s="7"/>
      <c r="I132" s="7">
        <f>K116</f>
        <v>155.55337451162791</v>
      </c>
      <c r="J132" s="7">
        <f>K122+K127+K88</f>
        <v>56.544931873754152</v>
      </c>
      <c r="K132" s="88">
        <f>SUM(A132:J132)</f>
        <v>4697.1435463794023</v>
      </c>
      <c r="L132" s="89"/>
    </row>
    <row r="133" spans="1:12" ht="13.5" customHeight="1" x14ac:dyDescent="0.25"/>
    <row r="134" spans="1:12" ht="15.75" x14ac:dyDescent="0.25">
      <c r="A134" s="16" t="s">
        <v>60</v>
      </c>
      <c r="B134" s="16"/>
      <c r="C134" s="16"/>
      <c r="D134" s="16"/>
      <c r="E134" s="16"/>
      <c r="F134" s="16" t="s">
        <v>61</v>
      </c>
    </row>
    <row r="135" spans="1:12" ht="15.75" customHeight="1" x14ac:dyDescent="0.25">
      <c r="I135" s="11">
        <f>I122+I96+I88+I80+I71+I62+I127+I116</f>
        <v>7069201.0373010002</v>
      </c>
      <c r="J135" s="10"/>
      <c r="K135" s="11">
        <f>K132*J126</f>
        <v>7069201.0373010002</v>
      </c>
      <c r="L135" s="12"/>
    </row>
    <row r="136" spans="1:12" ht="10.5" customHeight="1" x14ac:dyDescent="0.25"/>
    <row r="137" spans="1:12" hidden="1" x14ac:dyDescent="0.25"/>
    <row r="138" spans="1:12" hidden="1" x14ac:dyDescent="0.25"/>
    <row r="139" spans="1:12" ht="13.5" customHeight="1" x14ac:dyDescent="0.25">
      <c r="A139" s="45" t="s">
        <v>112</v>
      </c>
      <c r="B139" s="45"/>
      <c r="C139" s="45"/>
    </row>
    <row r="140" spans="1:12" x14ac:dyDescent="0.25">
      <c r="A140" s="45" t="s">
        <v>62</v>
      </c>
      <c r="B140" s="45"/>
      <c r="C140" s="45"/>
    </row>
  </sheetData>
  <mergeCells count="140">
    <mergeCell ref="A45:E45"/>
    <mergeCell ref="G45:K45"/>
    <mergeCell ref="K132:L132"/>
    <mergeCell ref="A87:E87"/>
    <mergeCell ref="A125:E125"/>
    <mergeCell ref="A126:E126"/>
    <mergeCell ref="A127:H127"/>
    <mergeCell ref="A129:L129"/>
    <mergeCell ref="A130:C130"/>
    <mergeCell ref="D130:J130"/>
    <mergeCell ref="K130:L131"/>
    <mergeCell ref="A118:L118"/>
    <mergeCell ref="A119:E119"/>
    <mergeCell ref="A120:E120"/>
    <mergeCell ref="A121:E121"/>
    <mergeCell ref="A122:H122"/>
    <mergeCell ref="A124:L124"/>
    <mergeCell ref="A110:E110"/>
    <mergeCell ref="A111:E111"/>
    <mergeCell ref="A112:E112"/>
    <mergeCell ref="A113:E113"/>
    <mergeCell ref="A114:E114"/>
    <mergeCell ref="A115:E115"/>
    <mergeCell ref="A104:E104"/>
    <mergeCell ref="A105:E105"/>
    <mergeCell ref="A106:E106"/>
    <mergeCell ref="A107:E107"/>
    <mergeCell ref="A108:E108"/>
    <mergeCell ref="A109:E109"/>
    <mergeCell ref="A98:L98"/>
    <mergeCell ref="A99:E99"/>
    <mergeCell ref="A100:E100"/>
    <mergeCell ref="A101:E101"/>
    <mergeCell ref="A102:E102"/>
    <mergeCell ref="A103:E103"/>
    <mergeCell ref="A91:E91"/>
    <mergeCell ref="A92:E92"/>
    <mergeCell ref="A93:E93"/>
    <mergeCell ref="A94:E94"/>
    <mergeCell ref="A95:E95"/>
    <mergeCell ref="A96:H96"/>
    <mergeCell ref="A83:E83"/>
    <mergeCell ref="A84:E84"/>
    <mergeCell ref="A85:E85"/>
    <mergeCell ref="A86:E86"/>
    <mergeCell ref="A88:H88"/>
    <mergeCell ref="A90:L90"/>
    <mergeCell ref="A76:E76"/>
    <mergeCell ref="A77:E77"/>
    <mergeCell ref="A78:E78"/>
    <mergeCell ref="A79:E79"/>
    <mergeCell ref="A80:H80"/>
    <mergeCell ref="A82:L82"/>
    <mergeCell ref="A69:E69"/>
    <mergeCell ref="A70:E70"/>
    <mergeCell ref="A71:H71"/>
    <mergeCell ref="A73:L73"/>
    <mergeCell ref="A74:E74"/>
    <mergeCell ref="A75:E75"/>
    <mergeCell ref="A64:L64"/>
    <mergeCell ref="A65:E65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50:E50"/>
    <mergeCell ref="A51:E51"/>
    <mergeCell ref="A52:E52"/>
    <mergeCell ref="A53:E53"/>
    <mergeCell ref="A54:E54"/>
    <mergeCell ref="A55:E55"/>
    <mergeCell ref="A48:E48"/>
    <mergeCell ref="A49:E49"/>
    <mergeCell ref="A62:E62"/>
    <mergeCell ref="A28:E28"/>
    <mergeCell ref="G28:K28"/>
    <mergeCell ref="A29:E29"/>
    <mergeCell ref="G29:K29"/>
    <mergeCell ref="A30:E30"/>
    <mergeCell ref="G30:K30"/>
    <mergeCell ref="A25:E25"/>
    <mergeCell ref="G25:K25"/>
    <mergeCell ref="A26:E26"/>
    <mergeCell ref="G26:K26"/>
    <mergeCell ref="A27:E27"/>
    <mergeCell ref="G27:K27"/>
    <mergeCell ref="A22:E22"/>
    <mergeCell ref="G22:K22"/>
    <mergeCell ref="A23:E23"/>
    <mergeCell ref="G23:K23"/>
    <mergeCell ref="A24:E24"/>
    <mergeCell ref="G24:K24"/>
    <mergeCell ref="A19:E19"/>
    <mergeCell ref="G19:K19"/>
    <mergeCell ref="A20:E20"/>
    <mergeCell ref="G20:K20"/>
    <mergeCell ref="A21:E21"/>
    <mergeCell ref="G21:K21"/>
    <mergeCell ref="A17:E17"/>
    <mergeCell ref="G17:K17"/>
    <mergeCell ref="A18:E18"/>
    <mergeCell ref="G18:K18"/>
    <mergeCell ref="A4:F4"/>
    <mergeCell ref="A5:D5"/>
    <mergeCell ref="A7:L7"/>
    <mergeCell ref="A8:L8"/>
    <mergeCell ref="A9:L9"/>
    <mergeCell ref="A16:E16"/>
    <mergeCell ref="G16:K16"/>
    <mergeCell ref="A31:E31"/>
    <mergeCell ref="G31:K31"/>
    <mergeCell ref="A32:E32"/>
    <mergeCell ref="G32:K32"/>
    <mergeCell ref="A33:E33"/>
    <mergeCell ref="G33:K33"/>
    <mergeCell ref="A34:E34"/>
    <mergeCell ref="G34:K34"/>
    <mergeCell ref="A35:E35"/>
    <mergeCell ref="G35:K35"/>
    <mergeCell ref="A41:E41"/>
    <mergeCell ref="G41:K41"/>
    <mergeCell ref="A42:E42"/>
    <mergeCell ref="G42:K42"/>
    <mergeCell ref="A43:E43"/>
    <mergeCell ref="A44:E44"/>
    <mergeCell ref="A36:E36"/>
    <mergeCell ref="G36:K36"/>
    <mergeCell ref="A37:E37"/>
    <mergeCell ref="G37:K37"/>
    <mergeCell ref="A38:E38"/>
    <mergeCell ref="G38:K38"/>
    <mergeCell ref="A39:E39"/>
    <mergeCell ref="G39:K39"/>
    <mergeCell ref="A40:E40"/>
    <mergeCell ref="G40:K40"/>
  </mergeCells>
  <pageMargins left="0.35433070866141736" right="0.35433070866141736" top="0.35433070866141736" bottom="0.35433070866141736" header="0.31496062992125984" footer="0.31496062992125984"/>
  <pageSetup paperSize="9" scale="78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СВОД</vt:lpstr>
      <vt:lpstr>Услуга №1</vt:lpstr>
      <vt:lpstr>Услуга №2</vt:lpstr>
      <vt:lpstr>Услуга №3</vt:lpstr>
      <vt:lpstr>Услуга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2020-12-11T09:52:27Z</dcterms:modified>
</cp:coreProperties>
</file>