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3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з.пл.!$4:$5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</definedNames>
  <calcPr calcId="124519"/>
</workbook>
</file>

<file path=xl/calcChain.xml><?xml version="1.0" encoding="utf-8"?>
<calcChain xmlns="http://schemas.openxmlformats.org/spreadsheetml/2006/main">
  <c r="E224" i="1"/>
  <c r="E229" s="1"/>
  <c r="K54" i="4"/>
  <c r="K105"/>
  <c r="K151"/>
  <c r="K100"/>
  <c r="K49"/>
  <c r="K145"/>
  <c r="K94"/>
  <c r="K43"/>
  <c r="K130"/>
  <c r="K79"/>
  <c r="K28"/>
  <c r="K140"/>
  <c r="K89"/>
  <c r="K38"/>
  <c r="K135"/>
  <c r="K84"/>
  <c r="K33"/>
  <c r="D121"/>
  <c r="K125"/>
  <c r="D70"/>
  <c r="K74"/>
  <c r="D19"/>
  <c r="K23"/>
  <c r="K405"/>
  <c r="K120"/>
  <c r="K69"/>
  <c r="K18"/>
  <c r="K115"/>
  <c r="K64"/>
  <c r="K13"/>
  <c r="H301" i="5"/>
  <c r="H300"/>
  <c r="H299"/>
  <c r="H298"/>
  <c r="H296"/>
  <c r="H295"/>
  <c r="H294"/>
  <c r="H293"/>
  <c r="H292"/>
  <c r="H290"/>
  <c r="H289"/>
  <c r="H288"/>
  <c r="H287"/>
  <c r="J302"/>
  <c r="H151"/>
  <c r="H150"/>
  <c r="H149"/>
  <c r="H148"/>
  <c r="H146"/>
  <c r="H145"/>
  <c r="H144"/>
  <c r="H143"/>
  <c r="H142"/>
  <c r="H140"/>
  <c r="H139"/>
  <c r="H138"/>
  <c r="H137"/>
  <c r="J152"/>
  <c r="J459"/>
  <c r="H99" i="7"/>
  <c r="H98"/>
  <c r="H97"/>
  <c r="H96"/>
  <c r="J100"/>
  <c r="H50"/>
  <c r="H49"/>
  <c r="H48"/>
  <c r="H47"/>
  <c r="J51"/>
  <c r="J180"/>
  <c r="J152"/>
  <c r="H150"/>
  <c r="H149"/>
  <c r="H148"/>
  <c r="H147"/>
  <c r="H94"/>
  <c r="H93"/>
  <c r="H92"/>
  <c r="H91"/>
  <c r="J95"/>
  <c r="H45"/>
  <c r="H44"/>
  <c r="H43"/>
  <c r="H42"/>
  <c r="J46"/>
  <c r="J179"/>
  <c r="H435" i="5"/>
  <c r="H434"/>
  <c r="H433"/>
  <c r="H432"/>
  <c r="H430"/>
  <c r="H429"/>
  <c r="H428"/>
  <c r="H427"/>
  <c r="H426"/>
  <c r="H424"/>
  <c r="H423"/>
  <c r="H422"/>
  <c r="H421"/>
  <c r="J436"/>
  <c r="H285"/>
  <c r="H284"/>
  <c r="H283"/>
  <c r="H282"/>
  <c r="H280"/>
  <c r="H279"/>
  <c r="H278"/>
  <c r="H277"/>
  <c r="H276"/>
  <c r="H274"/>
  <c r="H273"/>
  <c r="H272"/>
  <c r="H271"/>
  <c r="J286"/>
  <c r="H135"/>
  <c r="H134"/>
  <c r="H133"/>
  <c r="H132"/>
  <c r="H130"/>
  <c r="H129"/>
  <c r="H128"/>
  <c r="H127"/>
  <c r="H126"/>
  <c r="H124"/>
  <c r="H123"/>
  <c r="H122"/>
  <c r="H121"/>
  <c r="J136"/>
  <c r="J458"/>
  <c r="H418"/>
  <c r="H417"/>
  <c r="H416"/>
  <c r="H413"/>
  <c r="H412"/>
  <c r="H411"/>
  <c r="H410"/>
  <c r="H409"/>
  <c r="H408"/>
  <c r="H407"/>
  <c r="H405"/>
  <c r="H404"/>
  <c r="J419"/>
  <c r="H268"/>
  <c r="H267"/>
  <c r="H266"/>
  <c r="H263"/>
  <c r="H262"/>
  <c r="H261"/>
  <c r="H260"/>
  <c r="H259"/>
  <c r="H258"/>
  <c r="H257"/>
  <c r="H255"/>
  <c r="H254"/>
  <c r="J269"/>
  <c r="H108"/>
  <c r="H118"/>
  <c r="H117"/>
  <c r="H116"/>
  <c r="H113"/>
  <c r="H112"/>
  <c r="H111"/>
  <c r="H110"/>
  <c r="H109"/>
  <c r="H107"/>
  <c r="H105"/>
  <c r="H104"/>
  <c r="J119"/>
  <c r="J457"/>
  <c r="H144" i="7"/>
  <c r="H143"/>
  <c r="H142"/>
  <c r="H141"/>
  <c r="J146"/>
  <c r="H89"/>
  <c r="H88"/>
  <c r="H87"/>
  <c r="H86"/>
  <c r="J90"/>
  <c r="H39"/>
  <c r="H38"/>
  <c r="H40"/>
  <c r="H37"/>
  <c r="J41"/>
  <c r="J178"/>
  <c r="H126"/>
  <c r="H125"/>
  <c r="H124"/>
  <c r="H123"/>
  <c r="J128"/>
  <c r="H74"/>
  <c r="H73"/>
  <c r="H72"/>
  <c r="H71"/>
  <c r="J75"/>
  <c r="H24"/>
  <c r="H25"/>
  <c r="H23"/>
  <c r="H22"/>
  <c r="J26"/>
  <c r="J175"/>
  <c r="H369" i="5"/>
  <c r="H368"/>
  <c r="H367"/>
  <c r="H366"/>
  <c r="H365"/>
  <c r="H364"/>
  <c r="H363"/>
  <c r="H362"/>
  <c r="H361"/>
  <c r="H360"/>
  <c r="H359"/>
  <c r="H358"/>
  <c r="H357"/>
  <c r="H356"/>
  <c r="H355"/>
  <c r="J370"/>
  <c r="H219"/>
  <c r="H218"/>
  <c r="H217"/>
  <c r="H216"/>
  <c r="H215"/>
  <c r="H214"/>
  <c r="H213"/>
  <c r="H212"/>
  <c r="H211"/>
  <c r="H210"/>
  <c r="H209"/>
  <c r="H208"/>
  <c r="H207"/>
  <c r="H206"/>
  <c r="H205"/>
  <c r="J220"/>
  <c r="H59"/>
  <c r="H66"/>
  <c r="H69"/>
  <c r="H68"/>
  <c r="H67"/>
  <c r="H64"/>
  <c r="H63"/>
  <c r="H62"/>
  <c r="H61"/>
  <c r="H60"/>
  <c r="H58"/>
  <c r="H57"/>
  <c r="H56"/>
  <c r="H65"/>
  <c r="H55"/>
  <c r="J70"/>
  <c r="J454"/>
  <c r="H401"/>
  <c r="H400"/>
  <c r="H399"/>
  <c r="H398"/>
  <c r="H397"/>
  <c r="H396"/>
  <c r="H395"/>
  <c r="H394"/>
  <c r="H393"/>
  <c r="H392"/>
  <c r="H390"/>
  <c r="H389"/>
  <c r="H388"/>
  <c r="H387"/>
  <c r="J402"/>
  <c r="H245"/>
  <c r="H251"/>
  <c r="H250"/>
  <c r="H249"/>
  <c r="H248"/>
  <c r="H247"/>
  <c r="H246"/>
  <c r="H244"/>
  <c r="H243"/>
  <c r="H242"/>
  <c r="H240"/>
  <c r="H239"/>
  <c r="H238"/>
  <c r="H237"/>
  <c r="J252"/>
  <c r="H101"/>
  <c r="H100"/>
  <c r="H99"/>
  <c r="H98"/>
  <c r="H96"/>
  <c r="H95"/>
  <c r="H94"/>
  <c r="H93"/>
  <c r="H92"/>
  <c r="H90"/>
  <c r="H89"/>
  <c r="H88"/>
  <c r="H97"/>
  <c r="H87"/>
  <c r="J102"/>
  <c r="J456"/>
  <c r="H138" i="7"/>
  <c r="H137"/>
  <c r="H136"/>
  <c r="H135"/>
  <c r="J140"/>
  <c r="J85"/>
  <c r="H84"/>
  <c r="H83"/>
  <c r="H82"/>
  <c r="H81"/>
  <c r="H34"/>
  <c r="H33"/>
  <c r="H35"/>
  <c r="H32"/>
  <c r="J36"/>
  <c r="J177"/>
  <c r="H131"/>
  <c r="H133"/>
  <c r="H130"/>
  <c r="H129"/>
  <c r="J134"/>
  <c r="H79"/>
  <c r="H78"/>
  <c r="H77"/>
  <c r="H76"/>
  <c r="J80"/>
  <c r="H29"/>
  <c r="H28"/>
  <c r="H30"/>
  <c r="J31"/>
  <c r="H27"/>
  <c r="J176"/>
  <c r="H385" i="5"/>
  <c r="H384"/>
  <c r="H383"/>
  <c r="H382"/>
  <c r="H380"/>
  <c r="H379"/>
  <c r="H378"/>
  <c r="H377"/>
  <c r="H376"/>
  <c r="H375"/>
  <c r="H374"/>
  <c r="H373"/>
  <c r="H372"/>
  <c r="H371"/>
  <c r="J386"/>
  <c r="H235"/>
  <c r="H234"/>
  <c r="H233"/>
  <c r="H232"/>
  <c r="H230"/>
  <c r="H229"/>
  <c r="H228"/>
  <c r="H227"/>
  <c r="H226"/>
  <c r="H225"/>
  <c r="H224"/>
  <c r="H223"/>
  <c r="H222"/>
  <c r="H221"/>
  <c r="J236"/>
  <c r="H75"/>
  <c r="H85"/>
  <c r="H84"/>
  <c r="H83"/>
  <c r="H82"/>
  <c r="H80"/>
  <c r="H79"/>
  <c r="H78"/>
  <c r="H77"/>
  <c r="H76"/>
  <c r="H74"/>
  <c r="H73"/>
  <c r="H72"/>
  <c r="H71"/>
  <c r="J86"/>
  <c r="J455"/>
  <c r="H353"/>
  <c r="H352"/>
  <c r="H351"/>
  <c r="H350"/>
  <c r="H348"/>
  <c r="H347"/>
  <c r="H346"/>
  <c r="H345"/>
  <c r="H344"/>
  <c r="H343"/>
  <c r="H342"/>
  <c r="H341"/>
  <c r="H340"/>
  <c r="H339"/>
  <c r="J354"/>
  <c r="H203"/>
  <c r="H202"/>
  <c r="H201"/>
  <c r="H200"/>
  <c r="H198"/>
  <c r="H197"/>
  <c r="H196"/>
  <c r="H195"/>
  <c r="H194"/>
  <c r="H193"/>
  <c r="H192"/>
  <c r="H191"/>
  <c r="H190"/>
  <c r="H189"/>
  <c r="J204"/>
  <c r="H43"/>
  <c r="H53"/>
  <c r="H52"/>
  <c r="H51"/>
  <c r="H50"/>
  <c r="H48"/>
  <c r="H47"/>
  <c r="H46"/>
  <c r="H45"/>
  <c r="H44"/>
  <c r="H42"/>
  <c r="H41"/>
  <c r="H40"/>
  <c r="H39"/>
  <c r="J54"/>
  <c r="J453"/>
  <c r="J122" i="7"/>
  <c r="H118"/>
  <c r="H117"/>
  <c r="H121"/>
  <c r="H120"/>
  <c r="H69"/>
  <c r="H68"/>
  <c r="H67"/>
  <c r="H66"/>
  <c r="J70"/>
  <c r="H20"/>
  <c r="H19"/>
  <c r="H18"/>
  <c r="H17"/>
  <c r="J21"/>
  <c r="J174"/>
  <c r="H64"/>
  <c r="H63"/>
  <c r="H62"/>
  <c r="H61"/>
  <c r="J65"/>
  <c r="H14"/>
  <c r="H13"/>
  <c r="H12"/>
  <c r="H15"/>
  <c r="J16"/>
  <c r="H112"/>
  <c r="H113"/>
  <c r="H115"/>
  <c r="H111"/>
  <c r="J116"/>
  <c r="J173"/>
  <c r="H337" i="5"/>
  <c r="H336"/>
  <c r="H335"/>
  <c r="H334"/>
  <c r="H332"/>
  <c r="H331"/>
  <c r="H330"/>
  <c r="H329"/>
  <c r="H328"/>
  <c r="H327"/>
  <c r="H326"/>
  <c r="H324"/>
  <c r="H323"/>
  <c r="J338"/>
  <c r="H187"/>
  <c r="H186"/>
  <c r="H185"/>
  <c r="H184"/>
  <c r="H182"/>
  <c r="H181"/>
  <c r="H180"/>
  <c r="H179"/>
  <c r="H178"/>
  <c r="H177"/>
  <c r="H176"/>
  <c r="H174"/>
  <c r="H173"/>
  <c r="J188"/>
  <c r="H27"/>
  <c r="H26"/>
  <c r="H37"/>
  <c r="H36"/>
  <c r="H34"/>
  <c r="H29"/>
  <c r="H28"/>
  <c r="H32"/>
  <c r="H35"/>
  <c r="H31"/>
  <c r="H30"/>
  <c r="H24"/>
  <c r="H23"/>
  <c r="J38"/>
  <c r="J452"/>
  <c r="H108" i="7"/>
  <c r="H107"/>
  <c r="H106"/>
  <c r="H105"/>
  <c r="J110"/>
  <c r="J60"/>
  <c r="H58"/>
  <c r="H9"/>
  <c r="J11"/>
  <c r="L109"/>
  <c r="H59"/>
  <c r="H57"/>
  <c r="H56"/>
  <c r="J172"/>
  <c r="L8"/>
  <c r="L9"/>
  <c r="L10"/>
  <c r="L12"/>
  <c r="L13"/>
  <c r="L14"/>
  <c r="L15"/>
  <c r="L17"/>
  <c r="L18"/>
  <c r="L19"/>
  <c r="L20"/>
  <c r="L22"/>
  <c r="L23"/>
  <c r="L24"/>
  <c r="L25"/>
  <c r="L27"/>
  <c r="L28"/>
  <c r="L29"/>
  <c r="L30"/>
  <c r="L32"/>
  <c r="L33"/>
  <c r="L34"/>
  <c r="L35"/>
  <c r="L37"/>
  <c r="L38"/>
  <c r="L39"/>
  <c r="L40"/>
  <c r="L42"/>
  <c r="L43"/>
  <c r="L44"/>
  <c r="L45"/>
  <c r="L47"/>
  <c r="L48"/>
  <c r="L49"/>
  <c r="L50"/>
  <c r="L52"/>
  <c r="L53"/>
  <c r="L54"/>
  <c r="L55"/>
  <c r="L56"/>
  <c r="L57"/>
  <c r="L58"/>
  <c r="L59"/>
  <c r="L61"/>
  <c r="L62"/>
  <c r="L63"/>
  <c r="L64"/>
  <c r="L66"/>
  <c r="L67"/>
  <c r="L68"/>
  <c r="L69"/>
  <c r="L71"/>
  <c r="L72"/>
  <c r="L73"/>
  <c r="L74"/>
  <c r="L76"/>
  <c r="L77"/>
  <c r="L78"/>
  <c r="L79"/>
  <c r="L81"/>
  <c r="L82"/>
  <c r="L83"/>
  <c r="L84"/>
  <c r="L86"/>
  <c r="L87"/>
  <c r="L88"/>
  <c r="L89"/>
  <c r="L91"/>
  <c r="L92"/>
  <c r="L93"/>
  <c r="L94"/>
  <c r="L96"/>
  <c r="L97"/>
  <c r="L98"/>
  <c r="L99"/>
  <c r="L101"/>
  <c r="L102"/>
  <c r="L103"/>
  <c r="L104"/>
  <c r="L105"/>
  <c r="L106"/>
  <c r="L107"/>
  <c r="L108"/>
  <c r="L111"/>
  <c r="L112"/>
  <c r="L113"/>
  <c r="L114"/>
  <c r="L115"/>
  <c r="L117"/>
  <c r="L118"/>
  <c r="L119"/>
  <c r="L120"/>
  <c r="L121"/>
  <c r="L123"/>
  <c r="L124"/>
  <c r="L125"/>
  <c r="L126"/>
  <c r="L127"/>
  <c r="L129"/>
  <c r="L130"/>
  <c r="L131"/>
  <c r="L132"/>
  <c r="L133"/>
  <c r="L135"/>
  <c r="L136"/>
  <c r="L137"/>
  <c r="L138"/>
  <c r="L139"/>
  <c r="L141"/>
  <c r="L142"/>
  <c r="L143"/>
  <c r="L144"/>
  <c r="L145"/>
  <c r="L147"/>
  <c r="L148"/>
  <c r="L149"/>
  <c r="L150"/>
  <c r="L151"/>
  <c r="L153"/>
  <c r="L154"/>
  <c r="L155"/>
  <c r="L156"/>
  <c r="L157"/>
  <c r="L7"/>
  <c r="H7"/>
  <c r="H8"/>
  <c r="H10"/>
  <c r="A148"/>
  <c r="A142"/>
  <c r="A136"/>
  <c r="A130"/>
  <c r="A124"/>
  <c r="A118"/>
  <c r="A112"/>
  <c r="A106"/>
  <c r="A97"/>
  <c r="A92"/>
  <c r="A87"/>
  <c r="A82"/>
  <c r="A77"/>
  <c r="A72"/>
  <c r="A67"/>
  <c r="A62"/>
  <c r="A57"/>
  <c r="A48"/>
  <c r="A43"/>
  <c r="A38"/>
  <c r="A33"/>
  <c r="A28"/>
  <c r="A23"/>
  <c r="A18"/>
  <c r="A13"/>
  <c r="A8"/>
  <c r="H321" i="5"/>
  <c r="H320"/>
  <c r="H319"/>
  <c r="H318"/>
  <c r="H317"/>
  <c r="H316"/>
  <c r="H315"/>
  <c r="H314"/>
  <c r="H313"/>
  <c r="H312"/>
  <c r="H310"/>
  <c r="H309"/>
  <c r="H308"/>
  <c r="H307"/>
  <c r="J322"/>
  <c r="H171"/>
  <c r="H170"/>
  <c r="H169"/>
  <c r="H168"/>
  <c r="H167"/>
  <c r="H166"/>
  <c r="H165"/>
  <c r="H164"/>
  <c r="H163"/>
  <c r="H162"/>
  <c r="H160"/>
  <c r="H159"/>
  <c r="H158"/>
  <c r="H157"/>
  <c r="J172"/>
  <c r="H18"/>
  <c r="J22"/>
  <c r="H20"/>
  <c r="H21"/>
  <c r="H13"/>
  <c r="H12"/>
  <c r="H17"/>
  <c r="H16"/>
  <c r="H19"/>
  <c r="H15"/>
  <c r="H14"/>
  <c r="H10"/>
  <c r="H9"/>
  <c r="H8"/>
  <c r="H7"/>
  <c r="J451"/>
  <c r="A422"/>
  <c r="A405"/>
  <c r="E418" s="1"/>
  <c r="F418" s="1"/>
  <c r="G418" s="1"/>
  <c r="I418" s="1"/>
  <c r="A388"/>
  <c r="A372"/>
  <c r="E383" s="1"/>
  <c r="A356"/>
  <c r="E365" s="1"/>
  <c r="A340"/>
  <c r="E351" s="1"/>
  <c r="A324"/>
  <c r="E334" s="1"/>
  <c r="A308"/>
  <c r="A288"/>
  <c r="A272"/>
  <c r="A255"/>
  <c r="E268" s="1"/>
  <c r="A238"/>
  <c r="A222"/>
  <c r="E232" s="1"/>
  <c r="A206"/>
  <c r="E214" s="1"/>
  <c r="F214" s="1"/>
  <c r="A190"/>
  <c r="E200" s="1"/>
  <c r="A174"/>
  <c r="E186" s="1"/>
  <c r="F186" s="1"/>
  <c r="A158"/>
  <c r="A138"/>
  <c r="A122"/>
  <c r="A105"/>
  <c r="A88"/>
  <c r="A72"/>
  <c r="A56"/>
  <c r="A40"/>
  <c r="A24"/>
  <c r="A8"/>
  <c r="L173" i="1"/>
  <c r="L87"/>
  <c r="L372"/>
  <c r="L250"/>
  <c r="L164"/>
  <c r="L78"/>
  <c r="L371"/>
  <c r="L241"/>
  <c r="L155"/>
  <c r="L69"/>
  <c r="L370"/>
  <c r="L214"/>
  <c r="L128"/>
  <c r="L42"/>
  <c r="L367"/>
  <c r="L232"/>
  <c r="L146"/>
  <c r="L60"/>
  <c r="L369"/>
  <c r="L368"/>
  <c r="L223"/>
  <c r="L137"/>
  <c r="L51"/>
  <c r="L205"/>
  <c r="L119"/>
  <c r="L33"/>
  <c r="L366"/>
  <c r="L196"/>
  <c r="L110"/>
  <c r="L24"/>
  <c r="L365"/>
  <c r="L15"/>
  <c r="L101"/>
  <c r="L187"/>
  <c r="L364"/>
  <c r="E242"/>
  <c r="E247" s="1"/>
  <c r="E233"/>
  <c r="E238" s="1"/>
  <c r="E215"/>
  <c r="E206"/>
  <c r="E208" s="1"/>
  <c r="E197"/>
  <c r="E199" s="1"/>
  <c r="E188"/>
  <c r="E190" s="1"/>
  <c r="E178"/>
  <c r="E183" s="1"/>
  <c r="E165"/>
  <c r="E170" s="1"/>
  <c r="E156"/>
  <c r="E161" s="1"/>
  <c r="E147"/>
  <c r="E149" s="1"/>
  <c r="E138"/>
  <c r="E143" s="1"/>
  <c r="E129"/>
  <c r="E131" s="1"/>
  <c r="E120"/>
  <c r="E125" s="1"/>
  <c r="E111"/>
  <c r="E116" s="1"/>
  <c r="E102"/>
  <c r="E105" s="1"/>
  <c r="E92"/>
  <c r="E97" s="1"/>
  <c r="E79"/>
  <c r="E81" s="1"/>
  <c r="E70"/>
  <c r="E75" s="1"/>
  <c r="E61"/>
  <c r="E63" s="1"/>
  <c r="E52"/>
  <c r="E43"/>
  <c r="E48" s="1"/>
  <c r="E34"/>
  <c r="E36" s="1"/>
  <c r="E25"/>
  <c r="E26" s="1"/>
  <c r="E16"/>
  <c r="E21" s="1"/>
  <c r="E217"/>
  <c r="E107"/>
  <c r="E104"/>
  <c r="E57"/>
  <c r="E8"/>
  <c r="E6"/>
  <c r="E11" s="1"/>
  <c r="E337"/>
  <c r="E341" s="1"/>
  <c r="E328"/>
  <c r="E319"/>
  <c r="E323" s="1"/>
  <c r="E310"/>
  <c r="E315" s="1"/>
  <c r="E301"/>
  <c r="E306" s="1"/>
  <c r="E292"/>
  <c r="E297" s="1"/>
  <c r="E283"/>
  <c r="E288" s="1"/>
  <c r="E274"/>
  <c r="E278" s="1"/>
  <c r="E333"/>
  <c r="E264"/>
  <c r="E269" s="1"/>
  <c r="D358"/>
  <c r="D354"/>
  <c r="D350"/>
  <c r="J9" i="6"/>
  <c r="J64"/>
  <c r="J125"/>
  <c r="A162"/>
  <c r="A156"/>
  <c r="A151"/>
  <c r="A145"/>
  <c r="A140"/>
  <c r="A134"/>
  <c r="A128"/>
  <c r="A123"/>
  <c r="A107"/>
  <c r="A101"/>
  <c r="A95"/>
  <c r="A90"/>
  <c r="A84"/>
  <c r="A79"/>
  <c r="A73"/>
  <c r="A67"/>
  <c r="A62"/>
  <c r="A52"/>
  <c r="A46"/>
  <c r="A40"/>
  <c r="A35"/>
  <c r="A29"/>
  <c r="A24"/>
  <c r="A18"/>
  <c r="A12"/>
  <c r="A7"/>
  <c r="J206"/>
  <c r="J196"/>
  <c r="J186"/>
  <c r="E134" i="1" l="1"/>
  <c r="E413" i="5"/>
  <c r="F413" s="1"/>
  <c r="E130" i="1"/>
  <c r="E344" i="5"/>
  <c r="F344" s="1"/>
  <c r="G344" s="1"/>
  <c r="E227"/>
  <c r="F227" s="1"/>
  <c r="E215"/>
  <c r="F215" s="1"/>
  <c r="G215" s="1"/>
  <c r="I215" s="1"/>
  <c r="E324" i="1"/>
  <c r="E340" i="5"/>
  <c r="F340" s="1"/>
  <c r="G340" s="1"/>
  <c r="I340" s="1"/>
  <c r="E218"/>
  <c r="F218" s="1"/>
  <c r="E409"/>
  <c r="F409" s="1"/>
  <c r="E175"/>
  <c r="F175" s="1"/>
  <c r="G175" s="1"/>
  <c r="I175" s="1"/>
  <c r="E378"/>
  <c r="F378" s="1"/>
  <c r="G378" s="1"/>
  <c r="I378" s="1"/>
  <c r="E187"/>
  <c r="F187" s="1"/>
  <c r="G187" s="1"/>
  <c r="I187" s="1"/>
  <c r="E224"/>
  <c r="F224" s="1"/>
  <c r="E234"/>
  <c r="F234" s="1"/>
  <c r="E373"/>
  <c r="F373" s="1"/>
  <c r="G373" s="1"/>
  <c r="I373" s="1"/>
  <c r="E385"/>
  <c r="F385" s="1"/>
  <c r="E367"/>
  <c r="E103" i="1"/>
  <c r="E181" i="5"/>
  <c r="F181" s="1"/>
  <c r="E349"/>
  <c r="F349" s="1"/>
  <c r="E223"/>
  <c r="F223" s="1"/>
  <c r="E231"/>
  <c r="F231" s="1"/>
  <c r="E384"/>
  <c r="F384" s="1"/>
  <c r="E210"/>
  <c r="F210" s="1"/>
  <c r="E362"/>
  <c r="E416"/>
  <c r="F416" s="1"/>
  <c r="G416" s="1"/>
  <c r="I416" s="1"/>
  <c r="E27" i="1"/>
  <c r="E177" i="5"/>
  <c r="F177" s="1"/>
  <c r="E346"/>
  <c r="F346" s="1"/>
  <c r="G346" s="1"/>
  <c r="I346" s="1"/>
  <c r="E228"/>
  <c r="F228" s="1"/>
  <c r="G228" s="1"/>
  <c r="I228" s="1"/>
  <c r="E380"/>
  <c r="F380" s="1"/>
  <c r="E359"/>
  <c r="F359" s="1"/>
  <c r="G359" s="1"/>
  <c r="I359" s="1"/>
  <c r="E414"/>
  <c r="F232"/>
  <c r="G232" s="1"/>
  <c r="I232" s="1"/>
  <c r="F365"/>
  <c r="G365" s="1"/>
  <c r="I365" s="1"/>
  <c r="F351"/>
  <c r="G351" s="1"/>
  <c r="I351" s="1"/>
  <c r="F200"/>
  <c r="G200" s="1"/>
  <c r="I200" s="1"/>
  <c r="F268"/>
  <c r="G268" s="1"/>
  <c r="I268" s="1"/>
  <c r="F334"/>
  <c r="G334" s="1"/>
  <c r="I334" s="1"/>
  <c r="E268" i="1"/>
  <c r="E329" i="5"/>
  <c r="E190"/>
  <c r="E255"/>
  <c r="F255" s="1"/>
  <c r="G255" s="1"/>
  <c r="I255" s="1"/>
  <c r="E259"/>
  <c r="E10" i="1"/>
  <c r="E176" i="5"/>
  <c r="E179"/>
  <c r="E180"/>
  <c r="E183"/>
  <c r="E324"/>
  <c r="E327"/>
  <c r="E330"/>
  <c r="F330" s="1"/>
  <c r="G330" s="1"/>
  <c r="I330" s="1"/>
  <c r="E332"/>
  <c r="E336"/>
  <c r="E193"/>
  <c r="E196"/>
  <c r="F196" s="1"/>
  <c r="G196" s="1"/>
  <c r="I196" s="1"/>
  <c r="E198"/>
  <c r="E202"/>
  <c r="E341"/>
  <c r="E347"/>
  <c r="F347" s="1"/>
  <c r="E353"/>
  <c r="F353" s="1"/>
  <c r="G353" s="1"/>
  <c r="E221"/>
  <c r="F221" s="1"/>
  <c r="G223"/>
  <c r="I223" s="1"/>
  <c r="E225"/>
  <c r="F225" s="1"/>
  <c r="E229"/>
  <c r="F229" s="1"/>
  <c r="E233"/>
  <c r="E374"/>
  <c r="E377"/>
  <c r="G380"/>
  <c r="I380" s="1"/>
  <c r="E207"/>
  <c r="F207" s="1"/>
  <c r="G207" s="1"/>
  <c r="I207" s="1"/>
  <c r="E209"/>
  <c r="E212"/>
  <c r="E216"/>
  <c r="E217"/>
  <c r="E355"/>
  <c r="E358"/>
  <c r="E363"/>
  <c r="E366"/>
  <c r="E254"/>
  <c r="E260"/>
  <c r="F260" s="1"/>
  <c r="G260" s="1"/>
  <c r="I260" s="1"/>
  <c r="E263"/>
  <c r="E266"/>
  <c r="F266" s="1"/>
  <c r="E407"/>
  <c r="F407" s="1"/>
  <c r="G409"/>
  <c r="I409" s="1"/>
  <c r="E412"/>
  <c r="F412" s="1"/>
  <c r="G412" s="1"/>
  <c r="I412" s="1"/>
  <c r="E415"/>
  <c r="E417"/>
  <c r="F417" s="1"/>
  <c r="E264"/>
  <c r="E265" i="1"/>
  <c r="E9"/>
  <c r="E174" i="5"/>
  <c r="E178"/>
  <c r="F178" s="1"/>
  <c r="G178" s="1"/>
  <c r="E182"/>
  <c r="F182" s="1"/>
  <c r="G182" s="1"/>
  <c r="I182" s="1"/>
  <c r="E184"/>
  <c r="E185"/>
  <c r="E326"/>
  <c r="E328"/>
  <c r="E333"/>
  <c r="E335"/>
  <c r="F335" s="1"/>
  <c r="G335" s="1"/>
  <c r="I335" s="1"/>
  <c r="E337"/>
  <c r="E189"/>
  <c r="E192"/>
  <c r="F192" s="1"/>
  <c r="E194"/>
  <c r="E199"/>
  <c r="E201"/>
  <c r="F201" s="1"/>
  <c r="G201" s="1"/>
  <c r="I201" s="1"/>
  <c r="E203"/>
  <c r="E342"/>
  <c r="E345"/>
  <c r="E352"/>
  <c r="F352" s="1"/>
  <c r="I353"/>
  <c r="E235"/>
  <c r="F235" s="1"/>
  <c r="G235" s="1"/>
  <c r="I235" s="1"/>
  <c r="E371"/>
  <c r="E372"/>
  <c r="E379"/>
  <c r="E382"/>
  <c r="E206"/>
  <c r="F206" s="1"/>
  <c r="E211"/>
  <c r="F211" s="1"/>
  <c r="G211" s="1"/>
  <c r="I211" s="1"/>
  <c r="E213"/>
  <c r="E219"/>
  <c r="F219" s="1"/>
  <c r="G219" s="1"/>
  <c r="I219" s="1"/>
  <c r="E360"/>
  <c r="E361"/>
  <c r="F362"/>
  <c r="G362" s="1"/>
  <c r="I362" s="1"/>
  <c r="E368"/>
  <c r="E369"/>
  <c r="E256"/>
  <c r="E257"/>
  <c r="E258"/>
  <c r="E265"/>
  <c r="E406"/>
  <c r="F406" s="1"/>
  <c r="E411"/>
  <c r="F411" s="1"/>
  <c r="F414"/>
  <c r="G414" s="1"/>
  <c r="I414" s="1"/>
  <c r="E325"/>
  <c r="E195"/>
  <c r="G224"/>
  <c r="I224" s="1"/>
  <c r="E7" i="1"/>
  <c r="E173" i="5"/>
  <c r="F173" s="1"/>
  <c r="G173" s="1"/>
  <c r="I173" s="1"/>
  <c r="E323"/>
  <c r="E331"/>
  <c r="E191"/>
  <c r="E197"/>
  <c r="E339"/>
  <c r="F339" s="1"/>
  <c r="E343"/>
  <c r="F343" s="1"/>
  <c r="E348"/>
  <c r="F348" s="1"/>
  <c r="G348" s="1"/>
  <c r="I348" s="1"/>
  <c r="E350"/>
  <c r="E222"/>
  <c r="F222" s="1"/>
  <c r="G222" s="1"/>
  <c r="I222" s="1"/>
  <c r="E226"/>
  <c r="F226" s="1"/>
  <c r="G226" s="1"/>
  <c r="I226" s="1"/>
  <c r="E230"/>
  <c r="F230" s="1"/>
  <c r="G230" s="1"/>
  <c r="I230" s="1"/>
  <c r="E375"/>
  <c r="E376"/>
  <c r="E381"/>
  <c r="E205"/>
  <c r="E208"/>
  <c r="E356"/>
  <c r="E357"/>
  <c r="E364"/>
  <c r="E261"/>
  <c r="E262"/>
  <c r="E267"/>
  <c r="E404"/>
  <c r="E405"/>
  <c r="E408"/>
  <c r="F408" s="1"/>
  <c r="G408" s="1"/>
  <c r="I408" s="1"/>
  <c r="E410"/>
  <c r="F264"/>
  <c r="G264" s="1"/>
  <c r="I264" s="1"/>
  <c r="F265"/>
  <c r="G265" s="1"/>
  <c r="I265" s="1"/>
  <c r="F355"/>
  <c r="G355" s="1"/>
  <c r="I355" s="1"/>
  <c r="F363"/>
  <c r="G363" s="1"/>
  <c r="I363" s="1"/>
  <c r="F367"/>
  <c r="G367" s="1"/>
  <c r="I367" s="1"/>
  <c r="G214"/>
  <c r="I214" s="1"/>
  <c r="F374"/>
  <c r="G374" s="1"/>
  <c r="I374" s="1"/>
  <c r="F383"/>
  <c r="G383" s="1"/>
  <c r="I383" s="1"/>
  <c r="G225"/>
  <c r="I225" s="1"/>
  <c r="I344"/>
  <c r="F325"/>
  <c r="G325" s="1"/>
  <c r="I325" s="1"/>
  <c r="F326"/>
  <c r="G326" s="1"/>
  <c r="I326" s="1"/>
  <c r="I178"/>
  <c r="G177"/>
  <c r="I177" s="1"/>
  <c r="G186"/>
  <c r="I186" s="1"/>
  <c r="E66" i="1"/>
  <c r="E62"/>
  <c r="E64"/>
  <c r="E30"/>
  <c r="E246"/>
  <c r="E245"/>
  <c r="E244"/>
  <c r="E243"/>
  <c r="E237"/>
  <c r="E236"/>
  <c r="E235"/>
  <c r="E234"/>
  <c r="E228"/>
  <c r="E227"/>
  <c r="E226"/>
  <c r="E225"/>
  <c r="E216"/>
  <c r="E220"/>
  <c r="E219"/>
  <c r="E218"/>
  <c r="E207"/>
  <c r="E211"/>
  <c r="E210"/>
  <c r="E209"/>
  <c r="E198"/>
  <c r="E202"/>
  <c r="E201"/>
  <c r="E200"/>
  <c r="E189"/>
  <c r="E193"/>
  <c r="E192"/>
  <c r="E191"/>
  <c r="E182"/>
  <c r="E181"/>
  <c r="E180"/>
  <c r="E179"/>
  <c r="E169"/>
  <c r="E168"/>
  <c r="E167"/>
  <c r="E166"/>
  <c r="E160"/>
  <c r="E159"/>
  <c r="E158"/>
  <c r="E157"/>
  <c r="E148"/>
  <c r="E152"/>
  <c r="E151"/>
  <c r="E150"/>
  <c r="E142"/>
  <c r="E141"/>
  <c r="E140"/>
  <c r="E139"/>
  <c r="E133"/>
  <c r="E132"/>
  <c r="E124"/>
  <c r="E123"/>
  <c r="E122"/>
  <c r="E121"/>
  <c r="E115"/>
  <c r="E114"/>
  <c r="E113"/>
  <c r="E112"/>
  <c r="E106"/>
  <c r="E96"/>
  <c r="E95"/>
  <c r="E94"/>
  <c r="E93"/>
  <c r="E80"/>
  <c r="E84"/>
  <c r="E83"/>
  <c r="E82"/>
  <c r="E74"/>
  <c r="E73"/>
  <c r="E72"/>
  <c r="E71"/>
  <c r="E65"/>
  <c r="E56"/>
  <c r="E55"/>
  <c r="E54"/>
  <c r="E53"/>
  <c r="E47"/>
  <c r="E46"/>
  <c r="E45"/>
  <c r="E44"/>
  <c r="E37"/>
  <c r="E35"/>
  <c r="E39"/>
  <c r="E38"/>
  <c r="E29"/>
  <c r="E28"/>
  <c r="E20"/>
  <c r="E19"/>
  <c r="E18"/>
  <c r="E17"/>
  <c r="E320"/>
  <c r="E338"/>
  <c r="E342"/>
  <c r="E332"/>
  <c r="E329"/>
  <c r="E314"/>
  <c r="E311"/>
  <c r="E305"/>
  <c r="E302"/>
  <c r="E296"/>
  <c r="E293"/>
  <c r="E287"/>
  <c r="E284"/>
  <c r="E275"/>
  <c r="E279"/>
  <c r="E401" i="5"/>
  <c r="F401" s="1"/>
  <c r="E400"/>
  <c r="F400" s="1"/>
  <c r="E399"/>
  <c r="F399" s="1"/>
  <c r="E398"/>
  <c r="F398" s="1"/>
  <c r="E397"/>
  <c r="F397" s="1"/>
  <c r="E396"/>
  <c r="F396" s="1"/>
  <c r="E395"/>
  <c r="F395" s="1"/>
  <c r="E394"/>
  <c r="F394" s="1"/>
  <c r="E393"/>
  <c r="E392"/>
  <c r="F392" s="1"/>
  <c r="E391"/>
  <c r="F391" s="1"/>
  <c r="E390"/>
  <c r="F390" s="1"/>
  <c r="E389"/>
  <c r="F389" s="1"/>
  <c r="E388"/>
  <c r="E387"/>
  <c r="F387" s="1"/>
  <c r="E251"/>
  <c r="F251" s="1"/>
  <c r="G251" s="1"/>
  <c r="I251" s="1"/>
  <c r="E250"/>
  <c r="E249"/>
  <c r="F249" s="1"/>
  <c r="E248"/>
  <c r="F248" s="1"/>
  <c r="E247"/>
  <c r="F247" s="1"/>
  <c r="E246"/>
  <c r="F246" s="1"/>
  <c r="E245"/>
  <c r="E244"/>
  <c r="F244" s="1"/>
  <c r="E243"/>
  <c r="F242"/>
  <c r="G242" s="1"/>
  <c r="I242" s="1"/>
  <c r="E242"/>
  <c r="E241"/>
  <c r="F241" s="1"/>
  <c r="E240"/>
  <c r="F240" s="1"/>
  <c r="E239"/>
  <c r="F239" s="1"/>
  <c r="E238"/>
  <c r="F238" s="1"/>
  <c r="E237"/>
  <c r="F237" s="1"/>
  <c r="E101"/>
  <c r="F101" s="1"/>
  <c r="E100"/>
  <c r="F100" s="1"/>
  <c r="E99"/>
  <c r="F99" s="1"/>
  <c r="E98"/>
  <c r="F98" s="1"/>
  <c r="E97"/>
  <c r="F97" s="1"/>
  <c r="F96"/>
  <c r="G96" s="1"/>
  <c r="E96"/>
  <c r="E95"/>
  <c r="F95" s="1"/>
  <c r="G95" s="1"/>
  <c r="E94"/>
  <c r="F94" s="1"/>
  <c r="G94" s="1"/>
  <c r="I94" s="1"/>
  <c r="E93"/>
  <c r="F93" s="1"/>
  <c r="E92"/>
  <c r="F92" s="1"/>
  <c r="E91"/>
  <c r="F91" s="1"/>
  <c r="E90"/>
  <c r="E89"/>
  <c r="F89" s="1"/>
  <c r="E88"/>
  <c r="E87"/>
  <c r="F87" s="1"/>
  <c r="E301"/>
  <c r="F301" s="1"/>
  <c r="E300"/>
  <c r="F300" s="1"/>
  <c r="E299"/>
  <c r="F299" s="1"/>
  <c r="E298"/>
  <c r="F298" s="1"/>
  <c r="G298" s="1"/>
  <c r="I298" s="1"/>
  <c r="F297"/>
  <c r="G297" s="1"/>
  <c r="I297" s="1"/>
  <c r="E297"/>
  <c r="E296"/>
  <c r="F296" s="1"/>
  <c r="E295"/>
  <c r="F295" s="1"/>
  <c r="E294"/>
  <c r="E293"/>
  <c r="F293" s="1"/>
  <c r="E292"/>
  <c r="F292" s="1"/>
  <c r="G292" s="1"/>
  <c r="I292" s="1"/>
  <c r="E291"/>
  <c r="F291" s="1"/>
  <c r="G291" s="1"/>
  <c r="I291" s="1"/>
  <c r="E290"/>
  <c r="F290" s="1"/>
  <c r="E289"/>
  <c r="F289" s="1"/>
  <c r="E288"/>
  <c r="F288" s="1"/>
  <c r="E287"/>
  <c r="F287" s="1"/>
  <c r="G210" l="1"/>
  <c r="I210" s="1"/>
  <c r="G385"/>
  <c r="I385" s="1"/>
  <c r="G413"/>
  <c r="I413" s="1"/>
  <c r="G349"/>
  <c r="I349" s="1"/>
  <c r="G218"/>
  <c r="I218" s="1"/>
  <c r="G227"/>
  <c r="I227" s="1"/>
  <c r="G406"/>
  <c r="I406" s="1"/>
  <c r="G181"/>
  <c r="I181" s="1"/>
  <c r="G417"/>
  <c r="I417" s="1"/>
  <c r="G352"/>
  <c r="I352" s="1"/>
  <c r="G339"/>
  <c r="I339" s="1"/>
  <c r="G231"/>
  <c r="I231" s="1"/>
  <c r="G192"/>
  <c r="I192" s="1"/>
  <c r="G343"/>
  <c r="I343" s="1"/>
  <c r="G266"/>
  <c r="I266" s="1"/>
  <c r="G384"/>
  <c r="I384" s="1"/>
  <c r="G347"/>
  <c r="I347" s="1"/>
  <c r="G234"/>
  <c r="I234" s="1"/>
  <c r="G407"/>
  <c r="I407" s="1"/>
  <c r="F356"/>
  <c r="G356" s="1"/>
  <c r="I356" s="1"/>
  <c r="F191"/>
  <c r="G191" s="1"/>
  <c r="I191" s="1"/>
  <c r="G189"/>
  <c r="I189" s="1"/>
  <c r="F189"/>
  <c r="F328"/>
  <c r="G328" s="1"/>
  <c r="I328" s="1"/>
  <c r="F263"/>
  <c r="G263" s="1"/>
  <c r="I263" s="1"/>
  <c r="F366"/>
  <c r="G366" s="1"/>
  <c r="I366" s="1"/>
  <c r="F212"/>
  <c r="G212" s="1"/>
  <c r="I212" s="1"/>
  <c r="F377"/>
  <c r="G377" s="1"/>
  <c r="I377" s="1"/>
  <c r="F198"/>
  <c r="G198" s="1"/>
  <c r="I198" s="1"/>
  <c r="F332"/>
  <c r="G332" s="1"/>
  <c r="I332" s="1"/>
  <c r="F179"/>
  <c r="G179" s="1"/>
  <c r="I179" s="1"/>
  <c r="F410"/>
  <c r="G410" s="1"/>
  <c r="I410" s="1"/>
  <c r="F267"/>
  <c r="G267" s="1"/>
  <c r="I267" s="1"/>
  <c r="F357"/>
  <c r="G357" s="1"/>
  <c r="I357" s="1"/>
  <c r="F375"/>
  <c r="G375" s="1"/>
  <c r="I375" s="1"/>
  <c r="F350"/>
  <c r="G350" s="1"/>
  <c r="I350" s="1"/>
  <c r="F197"/>
  <c r="G197" s="1"/>
  <c r="I197" s="1"/>
  <c r="F195"/>
  <c r="G195" s="1"/>
  <c r="I195" s="1"/>
  <c r="F258"/>
  <c r="G258" s="1"/>
  <c r="I258" s="1"/>
  <c r="F369"/>
  <c r="G369" s="1"/>
  <c r="I369" s="1"/>
  <c r="F360"/>
  <c r="G360" s="1"/>
  <c r="I360" s="1"/>
  <c r="F379"/>
  <c r="G379" s="1"/>
  <c r="I379" s="1"/>
  <c r="F203"/>
  <c r="G203" s="1"/>
  <c r="I203" s="1"/>
  <c r="F333"/>
  <c r="G333" s="1"/>
  <c r="I333" s="1"/>
  <c r="F184"/>
  <c r="G184" s="1"/>
  <c r="I184" s="1"/>
  <c r="G174"/>
  <c r="I174" s="1"/>
  <c r="F174"/>
  <c r="F216"/>
  <c r="G216" s="1"/>
  <c r="I216" s="1"/>
  <c r="F202"/>
  <c r="G202" s="1"/>
  <c r="I202" s="1"/>
  <c r="F336"/>
  <c r="G336" s="1"/>
  <c r="I336" s="1"/>
  <c r="F324"/>
  <c r="G324" s="1"/>
  <c r="I324" s="1"/>
  <c r="F180"/>
  <c r="G180" s="1"/>
  <c r="I180" s="1"/>
  <c r="G391"/>
  <c r="I391" s="1"/>
  <c r="G396"/>
  <c r="I396" s="1"/>
  <c r="G397"/>
  <c r="I397" s="1"/>
  <c r="G401"/>
  <c r="I401" s="1"/>
  <c r="G229"/>
  <c r="I229" s="1"/>
  <c r="F190"/>
  <c r="G190" s="1"/>
  <c r="I190" s="1"/>
  <c r="F404"/>
  <c r="G404" s="1"/>
  <c r="I404" s="1"/>
  <c r="F364"/>
  <c r="G364" s="1"/>
  <c r="I364" s="1"/>
  <c r="F205"/>
  <c r="G205" s="1"/>
  <c r="I205" s="1"/>
  <c r="F376"/>
  <c r="G376" s="1"/>
  <c r="I376" s="1"/>
  <c r="F323"/>
  <c r="G323" s="1"/>
  <c r="I323" s="1"/>
  <c r="F361"/>
  <c r="G361" s="1"/>
  <c r="I361" s="1"/>
  <c r="F213"/>
  <c r="G213" s="1"/>
  <c r="I213" s="1"/>
  <c r="F382"/>
  <c r="G382" s="1"/>
  <c r="I382" s="1"/>
  <c r="F371"/>
  <c r="G371" s="1"/>
  <c r="I371" s="1"/>
  <c r="F342"/>
  <c r="G342" s="1"/>
  <c r="I342" s="1"/>
  <c r="F194"/>
  <c r="G194" s="1"/>
  <c r="I194" s="1"/>
  <c r="F185"/>
  <c r="G185" s="1"/>
  <c r="I185" s="1"/>
  <c r="F415"/>
  <c r="G415" s="1"/>
  <c r="I415" s="1"/>
  <c r="F254"/>
  <c r="G254" s="1"/>
  <c r="I254" s="1"/>
  <c r="F358"/>
  <c r="G358" s="1"/>
  <c r="I358" s="1"/>
  <c r="F217"/>
  <c r="G217" s="1"/>
  <c r="I217" s="1"/>
  <c r="F233"/>
  <c r="G233" s="1"/>
  <c r="I233" s="1"/>
  <c r="F341"/>
  <c r="G341" s="1"/>
  <c r="I341" s="1"/>
  <c r="F193"/>
  <c r="G193" s="1"/>
  <c r="I193" s="1"/>
  <c r="F327"/>
  <c r="G327"/>
  <c r="I327" s="1"/>
  <c r="F183"/>
  <c r="G183" s="1"/>
  <c r="I183" s="1"/>
  <c r="F329"/>
  <c r="G329" s="1"/>
  <c r="I329" s="1"/>
  <c r="G93"/>
  <c r="G98"/>
  <c r="G241"/>
  <c r="I241" s="1"/>
  <c r="G246"/>
  <c r="I246" s="1"/>
  <c r="G247"/>
  <c r="I247" s="1"/>
  <c r="G387"/>
  <c r="I387" s="1"/>
  <c r="G392"/>
  <c r="I392" s="1"/>
  <c r="G206"/>
  <c r="I206" s="1"/>
  <c r="G411"/>
  <c r="I411" s="1"/>
  <c r="F262"/>
  <c r="G262" s="1"/>
  <c r="I262" s="1"/>
  <c r="F257"/>
  <c r="G257" s="1"/>
  <c r="I257" s="1"/>
  <c r="F368"/>
  <c r="G368" s="1"/>
  <c r="I368" s="1"/>
  <c r="E267" i="1"/>
  <c r="E266"/>
  <c r="F405" i="5"/>
  <c r="G405" s="1"/>
  <c r="I405" s="1"/>
  <c r="F261"/>
  <c r="G261" s="1"/>
  <c r="I261" s="1"/>
  <c r="F208"/>
  <c r="G208" s="1"/>
  <c r="I208" s="1"/>
  <c r="F381"/>
  <c r="G381" s="1"/>
  <c r="I381" s="1"/>
  <c r="F331"/>
  <c r="G331" s="1"/>
  <c r="I331" s="1"/>
  <c r="F256"/>
  <c r="G256" s="1"/>
  <c r="I256" s="1"/>
  <c r="F372"/>
  <c r="G372" s="1"/>
  <c r="I372" s="1"/>
  <c r="F345"/>
  <c r="G345" s="1"/>
  <c r="I345" s="1"/>
  <c r="F199"/>
  <c r="G199" s="1"/>
  <c r="I199" s="1"/>
  <c r="F337"/>
  <c r="G337" s="1"/>
  <c r="I337" s="1"/>
  <c r="F209"/>
  <c r="G209" s="1"/>
  <c r="I209" s="1"/>
  <c r="F176"/>
  <c r="G176" s="1"/>
  <c r="I176" s="1"/>
  <c r="F259"/>
  <c r="G259" s="1"/>
  <c r="I259" s="1"/>
  <c r="F245"/>
  <c r="G245" s="1"/>
  <c r="I245" s="1"/>
  <c r="F388"/>
  <c r="G388" s="1"/>
  <c r="I388" s="1"/>
  <c r="G395"/>
  <c r="I395" s="1"/>
  <c r="G221"/>
  <c r="I221" s="1"/>
  <c r="G393"/>
  <c r="I393" s="1"/>
  <c r="G399"/>
  <c r="I399" s="1"/>
  <c r="G389"/>
  <c r="I389" s="1"/>
  <c r="F393"/>
  <c r="G398"/>
  <c r="I398" s="1"/>
  <c r="G289"/>
  <c r="I289" s="1"/>
  <c r="G287"/>
  <c r="I287" s="1"/>
  <c r="G288"/>
  <c r="I288" s="1"/>
  <c r="G295"/>
  <c r="I295" s="1"/>
  <c r="G296"/>
  <c r="I296" s="1"/>
  <c r="G301"/>
  <c r="I301" s="1"/>
  <c r="G293"/>
  <c r="I293" s="1"/>
  <c r="G299"/>
  <c r="I299" s="1"/>
  <c r="G239"/>
  <c r="I239" s="1"/>
  <c r="G249"/>
  <c r="I249" s="1"/>
  <c r="G237"/>
  <c r="I237" s="1"/>
  <c r="G238"/>
  <c r="I238" s="1"/>
  <c r="F243"/>
  <c r="G243" s="1"/>
  <c r="I243" s="1"/>
  <c r="G248"/>
  <c r="I248" s="1"/>
  <c r="I93"/>
  <c r="G87"/>
  <c r="G89"/>
  <c r="G91"/>
  <c r="G92"/>
  <c r="I92" s="1"/>
  <c r="G97"/>
  <c r="F88"/>
  <c r="G88" s="1"/>
  <c r="F90"/>
  <c r="G90" s="1"/>
  <c r="E322" i="1"/>
  <c r="E321"/>
  <c r="E339"/>
  <c r="E340"/>
  <c r="E330"/>
  <c r="E331"/>
  <c r="E312"/>
  <c r="E313"/>
  <c r="E303"/>
  <c r="E304"/>
  <c r="E294"/>
  <c r="E295"/>
  <c r="E285"/>
  <c r="E286"/>
  <c r="E276"/>
  <c r="E277"/>
  <c r="G390" i="5"/>
  <c r="I390" s="1"/>
  <c r="G394"/>
  <c r="I394" s="1"/>
  <c r="G400"/>
  <c r="I400" s="1"/>
  <c r="G240"/>
  <c r="I240" s="1"/>
  <c r="G244"/>
  <c r="I244" s="1"/>
  <c r="F250"/>
  <c r="G250" s="1"/>
  <c r="I250" s="1"/>
  <c r="G99"/>
  <c r="G100"/>
  <c r="G101"/>
  <c r="G290"/>
  <c r="I290" s="1"/>
  <c r="G300"/>
  <c r="I300" s="1"/>
  <c r="F294"/>
  <c r="G294" s="1"/>
  <c r="I294" s="1"/>
  <c r="E151"/>
  <c r="F151" s="1"/>
  <c r="E150"/>
  <c r="F150" s="1"/>
  <c r="E149"/>
  <c r="F149" s="1"/>
  <c r="E148"/>
  <c r="E147"/>
  <c r="F147" s="1"/>
  <c r="G147" s="1"/>
  <c r="I147" s="1"/>
  <c r="E146"/>
  <c r="F146" s="1"/>
  <c r="E145"/>
  <c r="F145" s="1"/>
  <c r="E144"/>
  <c r="F144" s="1"/>
  <c r="E143"/>
  <c r="E142"/>
  <c r="F142" s="1"/>
  <c r="G142" s="1"/>
  <c r="I142" s="1"/>
  <c r="E141"/>
  <c r="F141" s="1"/>
  <c r="E140"/>
  <c r="F140" s="1"/>
  <c r="E139"/>
  <c r="F139" s="1"/>
  <c r="E138"/>
  <c r="E137"/>
  <c r="E85"/>
  <c r="E84"/>
  <c r="F84" s="1"/>
  <c r="E83"/>
  <c r="F83" s="1"/>
  <c r="F82"/>
  <c r="E82"/>
  <c r="E81"/>
  <c r="E80"/>
  <c r="F79"/>
  <c r="E79"/>
  <c r="E78"/>
  <c r="E77"/>
  <c r="F77" s="1"/>
  <c r="E76"/>
  <c r="E75"/>
  <c r="F75" s="1"/>
  <c r="E74"/>
  <c r="E73"/>
  <c r="E72"/>
  <c r="E71"/>
  <c r="F71" s="1"/>
  <c r="E118"/>
  <c r="F118" s="1"/>
  <c r="E117"/>
  <c r="F117" s="1"/>
  <c r="E116"/>
  <c r="F116" s="1"/>
  <c r="E115"/>
  <c r="F115" s="1"/>
  <c r="G115" s="1"/>
  <c r="I115" s="1"/>
  <c r="E114"/>
  <c r="F114" s="1"/>
  <c r="E113"/>
  <c r="F113" s="1"/>
  <c r="E112"/>
  <c r="F112" s="1"/>
  <c r="E111"/>
  <c r="F111" s="1"/>
  <c r="G111" s="1"/>
  <c r="E110"/>
  <c r="F110" s="1"/>
  <c r="G110" s="1"/>
  <c r="I110" s="1"/>
  <c r="E109"/>
  <c r="F109" s="1"/>
  <c r="E108"/>
  <c r="F108" s="1"/>
  <c r="E107"/>
  <c r="F107" s="1"/>
  <c r="G107" s="1"/>
  <c r="E106"/>
  <c r="F106" s="1"/>
  <c r="G106" s="1"/>
  <c r="E105"/>
  <c r="F105" s="1"/>
  <c r="E104"/>
  <c r="F104" s="1"/>
  <c r="E69"/>
  <c r="F69" s="1"/>
  <c r="G69" s="1"/>
  <c r="E68"/>
  <c r="F68" s="1"/>
  <c r="G68" s="1"/>
  <c r="E67"/>
  <c r="F67" s="1"/>
  <c r="E66"/>
  <c r="F66" s="1"/>
  <c r="E65"/>
  <c r="F65" s="1"/>
  <c r="E64"/>
  <c r="F64" s="1"/>
  <c r="E63"/>
  <c r="F63" s="1"/>
  <c r="E62"/>
  <c r="F62" s="1"/>
  <c r="G62" s="1"/>
  <c r="I62" s="1"/>
  <c r="E61"/>
  <c r="F61" s="1"/>
  <c r="G61" s="1"/>
  <c r="E60"/>
  <c r="F60" s="1"/>
  <c r="E59"/>
  <c r="F59" s="1"/>
  <c r="E58"/>
  <c r="F58" s="1"/>
  <c r="G58" s="1"/>
  <c r="E57"/>
  <c r="F57" s="1"/>
  <c r="G57" s="1"/>
  <c r="E56"/>
  <c r="F56" s="1"/>
  <c r="E55"/>
  <c r="F55" s="1"/>
  <c r="E435"/>
  <c r="F435" s="1"/>
  <c r="E434"/>
  <c r="E433"/>
  <c r="E432"/>
  <c r="F432" s="1"/>
  <c r="G432" s="1"/>
  <c r="I432" s="1"/>
  <c r="E431"/>
  <c r="F431" s="1"/>
  <c r="G431" s="1"/>
  <c r="I431" s="1"/>
  <c r="E430"/>
  <c r="F430" s="1"/>
  <c r="E429"/>
  <c r="F429" s="1"/>
  <c r="E428"/>
  <c r="E427"/>
  <c r="E426"/>
  <c r="F426" s="1"/>
  <c r="G426" s="1"/>
  <c r="I426" s="1"/>
  <c r="E425"/>
  <c r="F425" s="1"/>
  <c r="G425" s="1"/>
  <c r="I425" s="1"/>
  <c r="E424"/>
  <c r="F424" s="1"/>
  <c r="E423"/>
  <c r="E422"/>
  <c r="F422" s="1"/>
  <c r="E421"/>
  <c r="E285"/>
  <c r="F285" s="1"/>
  <c r="E284"/>
  <c r="E283"/>
  <c r="F283" s="1"/>
  <c r="G283" s="1"/>
  <c r="I283" s="1"/>
  <c r="E282"/>
  <c r="F282" s="1"/>
  <c r="G282" s="1"/>
  <c r="I282" s="1"/>
  <c r="E281"/>
  <c r="F281" s="1"/>
  <c r="G281" s="1"/>
  <c r="I281" s="1"/>
  <c r="E280"/>
  <c r="F280" s="1"/>
  <c r="G280" s="1"/>
  <c r="I280" s="1"/>
  <c r="E279"/>
  <c r="F279" s="1"/>
  <c r="E278"/>
  <c r="F278" s="1"/>
  <c r="E277"/>
  <c r="F277" s="1"/>
  <c r="E276"/>
  <c r="F276" s="1"/>
  <c r="G276" s="1"/>
  <c r="I276" s="1"/>
  <c r="E275"/>
  <c r="F275" s="1"/>
  <c r="G275" s="1"/>
  <c r="I275" s="1"/>
  <c r="E274"/>
  <c r="F274" s="1"/>
  <c r="E273"/>
  <c r="F273" s="1"/>
  <c r="E272"/>
  <c r="F272" s="1"/>
  <c r="G272" s="1"/>
  <c r="I272" s="1"/>
  <c r="E271"/>
  <c r="F271" s="1"/>
  <c r="G271" s="1"/>
  <c r="I271" s="1"/>
  <c r="E135"/>
  <c r="E134"/>
  <c r="E133"/>
  <c r="F133" s="1"/>
  <c r="E132"/>
  <c r="F132" s="1"/>
  <c r="E131"/>
  <c r="E130"/>
  <c r="F130" s="1"/>
  <c r="E129"/>
  <c r="E128"/>
  <c r="F128" s="1"/>
  <c r="G128" s="1"/>
  <c r="E127"/>
  <c r="F127" s="1"/>
  <c r="E126"/>
  <c r="F126" s="1"/>
  <c r="E125"/>
  <c r="E124"/>
  <c r="F124" s="1"/>
  <c r="G124" s="1"/>
  <c r="E123"/>
  <c r="F123" s="1"/>
  <c r="G123" s="1"/>
  <c r="E122"/>
  <c r="F122" s="1"/>
  <c r="E121"/>
  <c r="E31"/>
  <c r="F31" s="1"/>
  <c r="E30"/>
  <c r="F30" s="1"/>
  <c r="E29"/>
  <c r="F29" s="1"/>
  <c r="E321"/>
  <c r="F321" s="1"/>
  <c r="E320"/>
  <c r="E319"/>
  <c r="F319" s="1"/>
  <c r="G319" s="1"/>
  <c r="I319" s="1"/>
  <c r="E318"/>
  <c r="F318" s="1"/>
  <c r="G318" s="1"/>
  <c r="I318" s="1"/>
  <c r="E317"/>
  <c r="F317" s="1"/>
  <c r="E316"/>
  <c r="F316" s="1"/>
  <c r="E315"/>
  <c r="F315" s="1"/>
  <c r="E314"/>
  <c r="F314" s="1"/>
  <c r="E313"/>
  <c r="F313" s="1"/>
  <c r="G313" s="1"/>
  <c r="I313" s="1"/>
  <c r="E312"/>
  <c r="F312" s="1"/>
  <c r="E311"/>
  <c r="F311" s="1"/>
  <c r="E310"/>
  <c r="E309"/>
  <c r="F309" s="1"/>
  <c r="G309" s="1"/>
  <c r="I309" s="1"/>
  <c r="E308"/>
  <c r="F308" s="1"/>
  <c r="E307"/>
  <c r="F307" s="1"/>
  <c r="E171"/>
  <c r="F171" s="1"/>
  <c r="G171" s="1"/>
  <c r="I171" s="1"/>
  <c r="E170"/>
  <c r="F170" s="1"/>
  <c r="G170" s="1"/>
  <c r="I170" s="1"/>
  <c r="E169"/>
  <c r="F169" s="1"/>
  <c r="E168"/>
  <c r="F168" s="1"/>
  <c r="E167"/>
  <c r="E166"/>
  <c r="F166" s="1"/>
  <c r="E165"/>
  <c r="F165" s="1"/>
  <c r="G165" s="1"/>
  <c r="I165" s="1"/>
  <c r="E164"/>
  <c r="F164" s="1"/>
  <c r="G164" s="1"/>
  <c r="I164" s="1"/>
  <c r="E163"/>
  <c r="F163" s="1"/>
  <c r="E162"/>
  <c r="F162" s="1"/>
  <c r="E161"/>
  <c r="F161" s="1"/>
  <c r="G161" s="1"/>
  <c r="I161" s="1"/>
  <c r="E160"/>
  <c r="F160" s="1"/>
  <c r="G160" s="1"/>
  <c r="I160" s="1"/>
  <c r="E159"/>
  <c r="F159" s="1"/>
  <c r="E158"/>
  <c r="F158" s="1"/>
  <c r="E157"/>
  <c r="F157" s="1"/>
  <c r="G157" s="1"/>
  <c r="I157" s="1"/>
  <c r="E53"/>
  <c r="E52"/>
  <c r="E51"/>
  <c r="E448"/>
  <c r="E447"/>
  <c r="E446"/>
  <c r="E445"/>
  <c r="E444"/>
  <c r="E443"/>
  <c r="E442"/>
  <c r="E441"/>
  <c r="E440"/>
  <c r="E439"/>
  <c r="E438"/>
  <c r="E437"/>
  <c r="E50"/>
  <c r="E49"/>
  <c r="E48"/>
  <c r="E47"/>
  <c r="E46"/>
  <c r="E45"/>
  <c r="E44"/>
  <c r="E43"/>
  <c r="E42"/>
  <c r="E41"/>
  <c r="E40"/>
  <c r="E39"/>
  <c r="E37"/>
  <c r="E36"/>
  <c r="E35"/>
  <c r="E34"/>
  <c r="E33"/>
  <c r="E32"/>
  <c r="E28"/>
  <c r="E27"/>
  <c r="E26"/>
  <c r="E25"/>
  <c r="E24"/>
  <c r="E23"/>
  <c r="E21"/>
  <c r="E20"/>
  <c r="E19"/>
  <c r="E18"/>
  <c r="E17"/>
  <c r="E16"/>
  <c r="E15"/>
  <c r="E14"/>
  <c r="E13"/>
  <c r="E12"/>
  <c r="E11"/>
  <c r="E10"/>
  <c r="E9"/>
  <c r="E8"/>
  <c r="E7"/>
  <c r="D88" i="4"/>
  <c r="D87"/>
  <c r="D85"/>
  <c r="D139"/>
  <c r="D138"/>
  <c r="D136"/>
  <c r="E139"/>
  <c r="E138"/>
  <c r="F138" s="1"/>
  <c r="E137"/>
  <c r="F137" s="1"/>
  <c r="E136"/>
  <c r="F136" s="1"/>
  <c r="F88"/>
  <c r="E88"/>
  <c r="F87"/>
  <c r="E87"/>
  <c r="G87" s="1"/>
  <c r="I87" s="1"/>
  <c r="F86"/>
  <c r="E86"/>
  <c r="F85"/>
  <c r="E85"/>
  <c r="G85" s="1"/>
  <c r="I85" s="1"/>
  <c r="D37"/>
  <c r="D36"/>
  <c r="D34"/>
  <c r="D104"/>
  <c r="D103"/>
  <c r="D101"/>
  <c r="E104"/>
  <c r="F104" s="1"/>
  <c r="F103"/>
  <c r="E103"/>
  <c r="E102"/>
  <c r="F102" s="1"/>
  <c r="F101"/>
  <c r="E101"/>
  <c r="D53"/>
  <c r="D52"/>
  <c r="D50"/>
  <c r="D124"/>
  <c r="G124" s="1"/>
  <c r="I124" s="1"/>
  <c r="D123"/>
  <c r="G123" s="1"/>
  <c r="I123" s="1"/>
  <c r="D73"/>
  <c r="D72"/>
  <c r="D22"/>
  <c r="D21"/>
  <c r="D83"/>
  <c r="D82"/>
  <c r="D80"/>
  <c r="D134"/>
  <c r="D133"/>
  <c r="D131"/>
  <c r="E134"/>
  <c r="F134" s="1"/>
  <c r="E133"/>
  <c r="F133" s="1"/>
  <c r="E132"/>
  <c r="F132" s="1"/>
  <c r="E131"/>
  <c r="F131" s="1"/>
  <c r="E83"/>
  <c r="F83" s="1"/>
  <c r="E82"/>
  <c r="F82" s="1"/>
  <c r="E81"/>
  <c r="F81" s="1"/>
  <c r="F80"/>
  <c r="E80"/>
  <c r="D32"/>
  <c r="D31"/>
  <c r="D29"/>
  <c r="D93"/>
  <c r="D92"/>
  <c r="D90"/>
  <c r="D144"/>
  <c r="D143"/>
  <c r="D141"/>
  <c r="E144"/>
  <c r="F144" s="1"/>
  <c r="E143"/>
  <c r="F143" s="1"/>
  <c r="E142"/>
  <c r="F142" s="1"/>
  <c r="E141"/>
  <c r="F141" s="1"/>
  <c r="E93"/>
  <c r="F93" s="1"/>
  <c r="E92"/>
  <c r="F92" s="1"/>
  <c r="E91"/>
  <c r="F91" s="1"/>
  <c r="E90"/>
  <c r="F90" s="1"/>
  <c r="D42"/>
  <c r="D41"/>
  <c r="D39"/>
  <c r="D78"/>
  <c r="D77"/>
  <c r="D75"/>
  <c r="G75" s="1"/>
  <c r="I75" s="1"/>
  <c r="D129"/>
  <c r="D128"/>
  <c r="D126"/>
  <c r="E129"/>
  <c r="F129" s="1"/>
  <c r="E128"/>
  <c r="F128" s="1"/>
  <c r="E127"/>
  <c r="F127" s="1"/>
  <c r="E126"/>
  <c r="F126" s="1"/>
  <c r="E78"/>
  <c r="F78" s="1"/>
  <c r="E77"/>
  <c r="F77" s="1"/>
  <c r="E76"/>
  <c r="F76" s="1"/>
  <c r="E75"/>
  <c r="F75" s="1"/>
  <c r="D27"/>
  <c r="D26"/>
  <c r="D24"/>
  <c r="D99"/>
  <c r="D98"/>
  <c r="D96"/>
  <c r="D150"/>
  <c r="D149"/>
  <c r="D147"/>
  <c r="G147" s="1"/>
  <c r="I147" s="1"/>
  <c r="F150"/>
  <c r="E150"/>
  <c r="G149"/>
  <c r="I149" s="1"/>
  <c r="F149"/>
  <c r="E149"/>
  <c r="G148"/>
  <c r="I148" s="1"/>
  <c r="F148"/>
  <c r="E148"/>
  <c r="E147"/>
  <c r="F147" s="1"/>
  <c r="F99"/>
  <c r="E99"/>
  <c r="G99" s="1"/>
  <c r="I99" s="1"/>
  <c r="F98"/>
  <c r="E98"/>
  <c r="E97"/>
  <c r="F97" s="1"/>
  <c r="E96"/>
  <c r="F96" s="1"/>
  <c r="D48"/>
  <c r="D47"/>
  <c r="D45"/>
  <c r="F124"/>
  <c r="E124"/>
  <c r="E123"/>
  <c r="F123" s="1"/>
  <c r="F122"/>
  <c r="E122"/>
  <c r="F121"/>
  <c r="E121"/>
  <c r="G121"/>
  <c r="I121" s="1"/>
  <c r="E73"/>
  <c r="G72"/>
  <c r="I72" s="1"/>
  <c r="F72"/>
  <c r="E72"/>
  <c r="E71"/>
  <c r="F71" s="1"/>
  <c r="F70"/>
  <c r="G70" s="1"/>
  <c r="I70" s="1"/>
  <c r="E70"/>
  <c r="D68"/>
  <c r="D67"/>
  <c r="D65"/>
  <c r="D119"/>
  <c r="D118"/>
  <c r="D116"/>
  <c r="D17"/>
  <c r="D16"/>
  <c r="D14"/>
  <c r="I354" i="5" l="1"/>
  <c r="K354" s="1"/>
  <c r="G77"/>
  <c r="I77" s="1"/>
  <c r="G122"/>
  <c r="I188"/>
  <c r="K188" s="1"/>
  <c r="I370"/>
  <c r="K370" s="1"/>
  <c r="I419"/>
  <c r="K419" s="1"/>
  <c r="G430"/>
  <c r="I430" s="1"/>
  <c r="G141"/>
  <c r="I141" s="1"/>
  <c r="I236"/>
  <c r="K236" s="1"/>
  <c r="I204"/>
  <c r="K204" s="1"/>
  <c r="I386"/>
  <c r="K386" s="1"/>
  <c r="I338"/>
  <c r="K338" s="1"/>
  <c r="I269"/>
  <c r="K269" s="1"/>
  <c r="I220"/>
  <c r="K220" s="1"/>
  <c r="G130"/>
  <c r="I130" s="1"/>
  <c r="G277"/>
  <c r="I277" s="1"/>
  <c r="G429"/>
  <c r="I429" s="1"/>
  <c r="G435"/>
  <c r="I435" s="1"/>
  <c r="G116"/>
  <c r="G83"/>
  <c r="I83" s="1"/>
  <c r="G126"/>
  <c r="G127"/>
  <c r="I127" s="1"/>
  <c r="G133"/>
  <c r="G424"/>
  <c r="I424" s="1"/>
  <c r="I302"/>
  <c r="K302" s="1"/>
  <c r="L302" s="1"/>
  <c r="I402"/>
  <c r="K402" s="1"/>
  <c r="L402" s="1"/>
  <c r="F135"/>
  <c r="G135" s="1"/>
  <c r="F74"/>
  <c r="G74" s="1"/>
  <c r="I74" s="1"/>
  <c r="G82"/>
  <c r="I82" s="1"/>
  <c r="G149"/>
  <c r="I149" s="1"/>
  <c r="I252"/>
  <c r="K252" s="1"/>
  <c r="G422"/>
  <c r="I422" s="1"/>
  <c r="F421"/>
  <c r="G421" s="1"/>
  <c r="I421" s="1"/>
  <c r="F427"/>
  <c r="G427" s="1"/>
  <c r="I427" s="1"/>
  <c r="F433"/>
  <c r="G433" s="1"/>
  <c r="I433" s="1"/>
  <c r="G314"/>
  <c r="I314" s="1"/>
  <c r="G316"/>
  <c r="I316" s="1"/>
  <c r="F310"/>
  <c r="G310" s="1"/>
  <c r="I310" s="1"/>
  <c r="F320"/>
  <c r="G320" s="1"/>
  <c r="I320" s="1"/>
  <c r="G308"/>
  <c r="I308" s="1"/>
  <c r="G312"/>
  <c r="I312" s="1"/>
  <c r="G317"/>
  <c r="I317" s="1"/>
  <c r="G273"/>
  <c r="I273" s="1"/>
  <c r="G278"/>
  <c r="I278" s="1"/>
  <c r="F284"/>
  <c r="G284" s="1"/>
  <c r="I284" s="1"/>
  <c r="G158"/>
  <c r="I158" s="1"/>
  <c r="G162"/>
  <c r="I162" s="1"/>
  <c r="G166"/>
  <c r="I166" s="1"/>
  <c r="F167"/>
  <c r="G167" s="1"/>
  <c r="I167" s="1"/>
  <c r="G139"/>
  <c r="F137"/>
  <c r="G137" s="1"/>
  <c r="I137" s="1"/>
  <c r="F138"/>
  <c r="G138" s="1"/>
  <c r="I138" s="1"/>
  <c r="F143"/>
  <c r="G143" s="1"/>
  <c r="I143" s="1"/>
  <c r="F148"/>
  <c r="G148" s="1"/>
  <c r="I148" s="1"/>
  <c r="G144"/>
  <c r="I144" s="1"/>
  <c r="G146"/>
  <c r="I146" s="1"/>
  <c r="G150"/>
  <c r="I150" s="1"/>
  <c r="G132"/>
  <c r="F121"/>
  <c r="G121" s="1"/>
  <c r="F125"/>
  <c r="G125" s="1"/>
  <c r="F129"/>
  <c r="G129" s="1"/>
  <c r="I129" s="1"/>
  <c r="F134"/>
  <c r="G134" s="1"/>
  <c r="I128"/>
  <c r="I106"/>
  <c r="G104"/>
  <c r="I104" s="1"/>
  <c r="I116"/>
  <c r="G108"/>
  <c r="G117"/>
  <c r="I117" s="1"/>
  <c r="G112"/>
  <c r="I112" s="1"/>
  <c r="I107"/>
  <c r="I111"/>
  <c r="G79"/>
  <c r="G71"/>
  <c r="F73"/>
  <c r="G73" s="1"/>
  <c r="I73" s="1"/>
  <c r="F78"/>
  <c r="G78" s="1"/>
  <c r="I78" s="1"/>
  <c r="G75"/>
  <c r="I75" s="1"/>
  <c r="G84"/>
  <c r="I84" s="1"/>
  <c r="I57"/>
  <c r="G59"/>
  <c r="I59" s="1"/>
  <c r="G63"/>
  <c r="I63" s="1"/>
  <c r="G55"/>
  <c r="I55" s="1"/>
  <c r="G141" i="4"/>
  <c r="I141" s="1"/>
  <c r="G139"/>
  <c r="I139" s="1"/>
  <c r="F139"/>
  <c r="G101"/>
  <c r="I101" s="1"/>
  <c r="G103"/>
  <c r="I103" s="1"/>
  <c r="G104"/>
  <c r="I104" s="1"/>
  <c r="G97"/>
  <c r="I97" s="1"/>
  <c r="G98"/>
  <c r="I98" s="1"/>
  <c r="G93"/>
  <c r="I93" s="1"/>
  <c r="G92"/>
  <c r="I92" s="1"/>
  <c r="G88"/>
  <c r="I88" s="1"/>
  <c r="G86"/>
  <c r="I86" s="1"/>
  <c r="I89" s="1"/>
  <c r="J89" s="1"/>
  <c r="L89" s="1"/>
  <c r="M89" s="1"/>
  <c r="G80"/>
  <c r="I80" s="1"/>
  <c r="G81"/>
  <c r="I81" s="1"/>
  <c r="G73"/>
  <c r="I73" s="1"/>
  <c r="G71"/>
  <c r="I71" s="1"/>
  <c r="I74" s="1"/>
  <c r="J74" s="1"/>
  <c r="F73"/>
  <c r="L252" i="5"/>
  <c r="I139"/>
  <c r="G140"/>
  <c r="I140" s="1"/>
  <c r="G145"/>
  <c r="I145" s="1"/>
  <c r="G151"/>
  <c r="I151" s="1"/>
  <c r="I79"/>
  <c r="I71"/>
  <c r="F72"/>
  <c r="G72" s="1"/>
  <c r="I72" s="1"/>
  <c r="F76"/>
  <c r="G76" s="1"/>
  <c r="I76" s="1"/>
  <c r="F80"/>
  <c r="G80" s="1"/>
  <c r="I80" s="1"/>
  <c r="F81"/>
  <c r="G81" s="1"/>
  <c r="I81" s="1"/>
  <c r="F85"/>
  <c r="G85" s="1"/>
  <c r="I85" s="1"/>
  <c r="I108"/>
  <c r="G105"/>
  <c r="I105" s="1"/>
  <c r="G109"/>
  <c r="I109" s="1"/>
  <c r="G113"/>
  <c r="I113" s="1"/>
  <c r="G114"/>
  <c r="I114" s="1"/>
  <c r="G118"/>
  <c r="I118" s="1"/>
  <c r="I69"/>
  <c r="I58"/>
  <c r="I68"/>
  <c r="I61"/>
  <c r="G56"/>
  <c r="I56" s="1"/>
  <c r="G60"/>
  <c r="I60" s="1"/>
  <c r="G64"/>
  <c r="I64" s="1"/>
  <c r="G65"/>
  <c r="I65" s="1"/>
  <c r="G66"/>
  <c r="I66" s="1"/>
  <c r="G67"/>
  <c r="I67" s="1"/>
  <c r="F423"/>
  <c r="G423" s="1"/>
  <c r="I423" s="1"/>
  <c r="F428"/>
  <c r="G428" s="1"/>
  <c r="I428" s="1"/>
  <c r="F434"/>
  <c r="G434" s="1"/>
  <c r="I434" s="1"/>
  <c r="G274"/>
  <c r="I274" s="1"/>
  <c r="G279"/>
  <c r="I279" s="1"/>
  <c r="G285"/>
  <c r="I285" s="1"/>
  <c r="F131"/>
  <c r="G131" s="1"/>
  <c r="G29"/>
  <c r="I29" s="1"/>
  <c r="G30"/>
  <c r="I30" s="1"/>
  <c r="G31"/>
  <c r="I31" s="1"/>
  <c r="G307"/>
  <c r="I307" s="1"/>
  <c r="G311"/>
  <c r="I311" s="1"/>
  <c r="G315"/>
  <c r="I315" s="1"/>
  <c r="G321"/>
  <c r="I321" s="1"/>
  <c r="G159"/>
  <c r="I159" s="1"/>
  <c r="G163"/>
  <c r="I163" s="1"/>
  <c r="G168"/>
  <c r="I168" s="1"/>
  <c r="G169"/>
  <c r="I169" s="1"/>
  <c r="G143" i="4"/>
  <c r="I143" s="1"/>
  <c r="G122"/>
  <c r="I122" s="1"/>
  <c r="G96"/>
  <c r="I96" s="1"/>
  <c r="G90"/>
  <c r="I90" s="1"/>
  <c r="G144"/>
  <c r="I144" s="1"/>
  <c r="G83"/>
  <c r="I83" s="1"/>
  <c r="G134"/>
  <c r="I134" s="1"/>
  <c r="G150"/>
  <c r="I150" s="1"/>
  <c r="G129"/>
  <c r="I129" s="1"/>
  <c r="G78"/>
  <c r="I78" s="1"/>
  <c r="G91"/>
  <c r="I91" s="1"/>
  <c r="I94" s="1"/>
  <c r="J94" s="1"/>
  <c r="L94" s="1"/>
  <c r="M94" s="1"/>
  <c r="G142"/>
  <c r="I142" s="1"/>
  <c r="G82"/>
  <c r="I82" s="1"/>
  <c r="G132"/>
  <c r="I132" s="1"/>
  <c r="G133"/>
  <c r="I133" s="1"/>
  <c r="G102"/>
  <c r="I102" s="1"/>
  <c r="I105" s="1"/>
  <c r="J105" s="1"/>
  <c r="L105" s="1"/>
  <c r="M105" s="1"/>
  <c r="G131"/>
  <c r="I131" s="1"/>
  <c r="I135" s="1"/>
  <c r="J135" s="1"/>
  <c r="L135" s="1"/>
  <c r="M135" s="1"/>
  <c r="G136"/>
  <c r="I136" s="1"/>
  <c r="G138"/>
  <c r="I138" s="1"/>
  <c r="G137"/>
  <c r="I137" s="1"/>
  <c r="G128"/>
  <c r="I128" s="1"/>
  <c r="G126"/>
  <c r="I126" s="1"/>
  <c r="G127"/>
  <c r="I127" s="1"/>
  <c r="G77"/>
  <c r="I77" s="1"/>
  <c r="G76"/>
  <c r="I76" s="1"/>
  <c r="I151"/>
  <c r="J151" s="1"/>
  <c r="L151" s="1"/>
  <c r="M151" s="1"/>
  <c r="I125"/>
  <c r="J125" s="1"/>
  <c r="D114"/>
  <c r="D113"/>
  <c r="D111"/>
  <c r="D63"/>
  <c r="D62"/>
  <c r="D60"/>
  <c r="D12"/>
  <c r="D11"/>
  <c r="D9"/>
  <c r="F155"/>
  <c r="E155"/>
  <c r="G155" s="1"/>
  <c r="F154"/>
  <c r="E154"/>
  <c r="E153"/>
  <c r="F153" s="1"/>
  <c r="E152"/>
  <c r="F152" s="1"/>
  <c r="G152" s="1"/>
  <c r="F119"/>
  <c r="E119"/>
  <c r="E118"/>
  <c r="F117"/>
  <c r="E117"/>
  <c r="G117" s="1"/>
  <c r="E116"/>
  <c r="F116" s="1"/>
  <c r="E114"/>
  <c r="F114" s="1"/>
  <c r="E113"/>
  <c r="E112"/>
  <c r="E111"/>
  <c r="F111" s="1"/>
  <c r="E68"/>
  <c r="E67"/>
  <c r="E66"/>
  <c r="E65"/>
  <c r="F65" s="1"/>
  <c r="G65" s="1"/>
  <c r="E63"/>
  <c r="F63" s="1"/>
  <c r="E62"/>
  <c r="F61"/>
  <c r="E61"/>
  <c r="E60"/>
  <c r="F53"/>
  <c r="E53"/>
  <c r="E52"/>
  <c r="G51"/>
  <c r="F51"/>
  <c r="E51"/>
  <c r="E50"/>
  <c r="E48"/>
  <c r="F47"/>
  <c r="E47"/>
  <c r="E46"/>
  <c r="F46" s="1"/>
  <c r="E45"/>
  <c r="F45" s="1"/>
  <c r="G45" s="1"/>
  <c r="E42"/>
  <c r="F42" s="1"/>
  <c r="E41"/>
  <c r="F41" s="1"/>
  <c r="E40"/>
  <c r="F40" s="1"/>
  <c r="E39"/>
  <c r="F39" s="1"/>
  <c r="G39" s="1"/>
  <c r="E37"/>
  <c r="F37" s="1"/>
  <c r="E36"/>
  <c r="E35"/>
  <c r="F35" s="1"/>
  <c r="E34"/>
  <c r="F34" s="1"/>
  <c r="E32"/>
  <c r="F32" s="1"/>
  <c r="E31"/>
  <c r="E30"/>
  <c r="E29"/>
  <c r="F29" s="1"/>
  <c r="E27"/>
  <c r="F27" s="1"/>
  <c r="E26"/>
  <c r="E25"/>
  <c r="F25" s="1"/>
  <c r="E24"/>
  <c r="E22"/>
  <c r="F22" s="1"/>
  <c r="G22" s="1"/>
  <c r="E21"/>
  <c r="F21" s="1"/>
  <c r="E20"/>
  <c r="F20" s="1"/>
  <c r="E19"/>
  <c r="F19" s="1"/>
  <c r="G19" s="1"/>
  <c r="E17"/>
  <c r="F17" s="1"/>
  <c r="E16"/>
  <c r="F16" s="1"/>
  <c r="E15"/>
  <c r="F15" s="1"/>
  <c r="E14"/>
  <c r="F14" s="1"/>
  <c r="G14" s="1"/>
  <c r="E12"/>
  <c r="F12" s="1"/>
  <c r="E11"/>
  <c r="E10"/>
  <c r="F10" s="1"/>
  <c r="E9"/>
  <c r="F9" s="1"/>
  <c r="F205"/>
  <c r="E205"/>
  <c r="E204"/>
  <c r="F203"/>
  <c r="E203"/>
  <c r="G203" s="1"/>
  <c r="F202"/>
  <c r="E202"/>
  <c r="E200"/>
  <c r="F200" s="1"/>
  <c r="E199"/>
  <c r="F198"/>
  <c r="E198"/>
  <c r="E197"/>
  <c r="E194"/>
  <c r="E193"/>
  <c r="F193" s="1"/>
  <c r="G193" s="1"/>
  <c r="E192"/>
  <c r="F192" s="1"/>
  <c r="E191"/>
  <c r="F191" s="1"/>
  <c r="F189"/>
  <c r="E189"/>
  <c r="E188"/>
  <c r="E187"/>
  <c r="F187" s="1"/>
  <c r="E186"/>
  <c r="F186" s="1"/>
  <c r="E184"/>
  <c r="E183"/>
  <c r="F183" s="1"/>
  <c r="E182"/>
  <c r="F182" s="1"/>
  <c r="E181"/>
  <c r="F181" s="1"/>
  <c r="G181" s="1"/>
  <c r="E179"/>
  <c r="E178"/>
  <c r="E177"/>
  <c r="F177" s="1"/>
  <c r="E176"/>
  <c r="F176" s="1"/>
  <c r="G176" s="1"/>
  <c r="G174"/>
  <c r="F174"/>
  <c r="E174"/>
  <c r="E173"/>
  <c r="E172"/>
  <c r="F172" s="1"/>
  <c r="E171"/>
  <c r="F171" s="1"/>
  <c r="E169"/>
  <c r="E168"/>
  <c r="F168" s="1"/>
  <c r="E167"/>
  <c r="F167" s="1"/>
  <c r="E166"/>
  <c r="F166" s="1"/>
  <c r="G166" s="1"/>
  <c r="E164"/>
  <c r="F164" s="1"/>
  <c r="E163"/>
  <c r="E162"/>
  <c r="F162" s="1"/>
  <c r="E161"/>
  <c r="F161" s="1"/>
  <c r="E348"/>
  <c r="F348" s="1"/>
  <c r="E347"/>
  <c r="F347" s="1"/>
  <c r="E346"/>
  <c r="E345"/>
  <c r="F345" s="1"/>
  <c r="E343"/>
  <c r="F343" s="1"/>
  <c r="F342"/>
  <c r="G342" s="1"/>
  <c r="E342"/>
  <c r="E341"/>
  <c r="F341" s="1"/>
  <c r="G341" s="1"/>
  <c r="E340"/>
  <c r="F340" s="1"/>
  <c r="E338"/>
  <c r="E337"/>
  <c r="F337" s="1"/>
  <c r="G337" s="1"/>
  <c r="E336"/>
  <c r="F336" s="1"/>
  <c r="E335"/>
  <c r="F335" s="1"/>
  <c r="E333"/>
  <c r="F333" s="1"/>
  <c r="F332"/>
  <c r="G332" s="1"/>
  <c r="E332"/>
  <c r="E331"/>
  <c r="F331" s="1"/>
  <c r="E330"/>
  <c r="F330" s="1"/>
  <c r="E328"/>
  <c r="F328" s="1"/>
  <c r="E327"/>
  <c r="F327" s="1"/>
  <c r="G327" s="1"/>
  <c r="E326"/>
  <c r="F326" s="1"/>
  <c r="E325"/>
  <c r="F325" s="1"/>
  <c r="E322"/>
  <c r="F322" s="1"/>
  <c r="E321"/>
  <c r="F321" s="1"/>
  <c r="E320"/>
  <c r="F320" s="1"/>
  <c r="E319"/>
  <c r="F319" s="1"/>
  <c r="E317"/>
  <c r="F317" s="1"/>
  <c r="G317" s="1"/>
  <c r="E316"/>
  <c r="F316" s="1"/>
  <c r="E315"/>
  <c r="F315" s="1"/>
  <c r="E314"/>
  <c r="F314" s="1"/>
  <c r="G314" s="1"/>
  <c r="E312"/>
  <c r="F312" s="1"/>
  <c r="G312" s="1"/>
  <c r="F311"/>
  <c r="G311" s="1"/>
  <c r="E311"/>
  <c r="E310"/>
  <c r="F310" s="1"/>
  <c r="E309"/>
  <c r="G307"/>
  <c r="F307"/>
  <c r="E307"/>
  <c r="E306"/>
  <c r="F306" s="1"/>
  <c r="G306" s="1"/>
  <c r="E305"/>
  <c r="F305" s="1"/>
  <c r="E304"/>
  <c r="F304" s="1"/>
  <c r="G302"/>
  <c r="F302"/>
  <c r="E302"/>
  <c r="E301"/>
  <c r="F301" s="1"/>
  <c r="G301" s="1"/>
  <c r="E300"/>
  <c r="F300" s="1"/>
  <c r="E299"/>
  <c r="F299" s="1"/>
  <c r="E297"/>
  <c r="F297" s="1"/>
  <c r="G297" s="1"/>
  <c r="E296"/>
  <c r="F296" s="1"/>
  <c r="E295"/>
  <c r="F295" s="1"/>
  <c r="E294"/>
  <c r="F294" s="1"/>
  <c r="G294" s="1"/>
  <c r="E292"/>
  <c r="F292" s="1"/>
  <c r="G292" s="1"/>
  <c r="E291"/>
  <c r="F291" s="1"/>
  <c r="E290"/>
  <c r="F290" s="1"/>
  <c r="E289"/>
  <c r="F289" s="1"/>
  <c r="G289" s="1"/>
  <c r="E287"/>
  <c r="F287" s="1"/>
  <c r="E286"/>
  <c r="F286" s="1"/>
  <c r="G286" s="1"/>
  <c r="E285"/>
  <c r="F285" s="1"/>
  <c r="E284"/>
  <c r="F284" s="1"/>
  <c r="F282"/>
  <c r="E282"/>
  <c r="E281"/>
  <c r="F281" s="1"/>
  <c r="G281" s="1"/>
  <c r="E280"/>
  <c r="F280" s="1"/>
  <c r="E279"/>
  <c r="F279" s="1"/>
  <c r="E277"/>
  <c r="F277" s="1"/>
  <c r="G277" s="1"/>
  <c r="E276"/>
  <c r="E275"/>
  <c r="F275" s="1"/>
  <c r="E274"/>
  <c r="F274" s="1"/>
  <c r="G274" s="1"/>
  <c r="F272"/>
  <c r="E272"/>
  <c r="E271"/>
  <c r="F271" s="1"/>
  <c r="E270"/>
  <c r="E269"/>
  <c r="F269" s="1"/>
  <c r="E267"/>
  <c r="F267" s="1"/>
  <c r="E266"/>
  <c r="F266" s="1"/>
  <c r="G266" s="1"/>
  <c r="F265"/>
  <c r="E265"/>
  <c r="E264"/>
  <c r="F264" s="1"/>
  <c r="E262"/>
  <c r="F261"/>
  <c r="G261" s="1"/>
  <c r="E261"/>
  <c r="E260"/>
  <c r="F260" s="1"/>
  <c r="E259"/>
  <c r="F259" s="1"/>
  <c r="E257"/>
  <c r="F257" s="1"/>
  <c r="E256"/>
  <c r="F256" s="1"/>
  <c r="E255"/>
  <c r="F255" s="1"/>
  <c r="E254"/>
  <c r="F254" s="1"/>
  <c r="E252"/>
  <c r="F252" s="1"/>
  <c r="G252" s="1"/>
  <c r="E251"/>
  <c r="F251" s="1"/>
  <c r="E250"/>
  <c r="F250" s="1"/>
  <c r="E249"/>
  <c r="F249" s="1"/>
  <c r="E247"/>
  <c r="F247" s="1"/>
  <c r="E246"/>
  <c r="F246" s="1"/>
  <c r="E245"/>
  <c r="F245" s="1"/>
  <c r="G245" s="1"/>
  <c r="E244"/>
  <c r="E242"/>
  <c r="F242" s="1"/>
  <c r="E241"/>
  <c r="F241" s="1"/>
  <c r="F240"/>
  <c r="E240"/>
  <c r="G240" s="1"/>
  <c r="E239"/>
  <c r="F239" s="1"/>
  <c r="E237"/>
  <c r="F237" s="1"/>
  <c r="F236"/>
  <c r="G236" s="1"/>
  <c r="E236"/>
  <c r="F235"/>
  <c r="E235"/>
  <c r="E234"/>
  <c r="F234" s="1"/>
  <c r="E232"/>
  <c r="E231"/>
  <c r="F231" s="1"/>
  <c r="F230"/>
  <c r="E230"/>
  <c r="E229"/>
  <c r="F229" s="1"/>
  <c r="E227"/>
  <c r="F227" s="1"/>
  <c r="F226"/>
  <c r="E226"/>
  <c r="E225"/>
  <c r="F225" s="1"/>
  <c r="E224"/>
  <c r="F224" s="1"/>
  <c r="E222"/>
  <c r="F222" s="1"/>
  <c r="G221"/>
  <c r="F221"/>
  <c r="E221"/>
  <c r="E220"/>
  <c r="E219"/>
  <c r="F219" s="1"/>
  <c r="E400"/>
  <c r="F400" s="1"/>
  <c r="G399"/>
  <c r="F399"/>
  <c r="E399"/>
  <c r="F398"/>
  <c r="E398"/>
  <c r="E397"/>
  <c r="F397" s="1"/>
  <c r="F395"/>
  <c r="E395"/>
  <c r="G395" s="1"/>
  <c r="F394"/>
  <c r="E394"/>
  <c r="E393"/>
  <c r="F393" s="1"/>
  <c r="G392"/>
  <c r="F392"/>
  <c r="E392"/>
  <c r="F389"/>
  <c r="E389"/>
  <c r="E388"/>
  <c r="F388" s="1"/>
  <c r="F387"/>
  <c r="E387"/>
  <c r="G387" s="1"/>
  <c r="E386"/>
  <c r="F386" s="1"/>
  <c r="G383"/>
  <c r="F383"/>
  <c r="E383"/>
  <c r="F382"/>
  <c r="E382"/>
  <c r="E381"/>
  <c r="F381" s="1"/>
  <c r="F380"/>
  <c r="E380"/>
  <c r="G380" s="1"/>
  <c r="E378"/>
  <c r="F378" s="1"/>
  <c r="G377"/>
  <c r="F377"/>
  <c r="E377"/>
  <c r="F376"/>
  <c r="E376"/>
  <c r="E375"/>
  <c r="F375" s="1"/>
  <c r="F373"/>
  <c r="E373"/>
  <c r="G373" s="1"/>
  <c r="E372"/>
  <c r="F372" s="1"/>
  <c r="F371"/>
  <c r="E371"/>
  <c r="E370"/>
  <c r="F370" s="1"/>
  <c r="F368"/>
  <c r="E368"/>
  <c r="E367"/>
  <c r="F367" s="1"/>
  <c r="F366"/>
  <c r="E366"/>
  <c r="G366" s="1"/>
  <c r="F365"/>
  <c r="E365"/>
  <c r="F363"/>
  <c r="E363"/>
  <c r="E362"/>
  <c r="F362" s="1"/>
  <c r="F361"/>
  <c r="E361"/>
  <c r="G361" s="1"/>
  <c r="E360"/>
  <c r="F360" s="1"/>
  <c r="G202" l="1"/>
  <c r="I172" i="5"/>
  <c r="K172" s="1"/>
  <c r="L172" s="1"/>
  <c r="I286"/>
  <c r="K286" s="1"/>
  <c r="I436"/>
  <c r="K436" s="1"/>
  <c r="L436" s="1"/>
  <c r="I322"/>
  <c r="K322" s="1"/>
  <c r="L322" s="1"/>
  <c r="I145" i="4"/>
  <c r="J145" s="1"/>
  <c r="L145" s="1"/>
  <c r="M145" s="1"/>
  <c r="G347"/>
  <c r="G287"/>
  <c r="G272"/>
  <c r="G246"/>
  <c r="G232"/>
  <c r="F232"/>
  <c r="G226"/>
  <c r="G227"/>
  <c r="G222"/>
  <c r="G116"/>
  <c r="I100"/>
  <c r="J100" s="1"/>
  <c r="L100" s="1"/>
  <c r="M100" s="1"/>
  <c r="I84"/>
  <c r="J84" s="1"/>
  <c r="L84" s="1"/>
  <c r="M84" s="1"/>
  <c r="G37"/>
  <c r="G29"/>
  <c r="G10"/>
  <c r="I152" i="5"/>
  <c r="K152" s="1"/>
  <c r="L152" s="1"/>
  <c r="L386"/>
  <c r="L236"/>
  <c r="I86"/>
  <c r="L419"/>
  <c r="L269"/>
  <c r="I119"/>
  <c r="K119" s="1"/>
  <c r="L119" s="1"/>
  <c r="L220"/>
  <c r="L370"/>
  <c r="L286"/>
  <c r="L204"/>
  <c r="L354"/>
  <c r="L188"/>
  <c r="L338"/>
  <c r="G179" i="4"/>
  <c r="G50"/>
  <c r="G363"/>
  <c r="G376"/>
  <c r="G382"/>
  <c r="G389"/>
  <c r="G398"/>
  <c r="G235"/>
  <c r="G239"/>
  <c r="G360"/>
  <c r="G371"/>
  <c r="G372"/>
  <c r="G378"/>
  <c r="G386"/>
  <c r="G400"/>
  <c r="G230"/>
  <c r="G231"/>
  <c r="G237"/>
  <c r="G241"/>
  <c r="G254"/>
  <c r="G321"/>
  <c r="G328"/>
  <c r="G161"/>
  <c r="G162"/>
  <c r="G189"/>
  <c r="G198"/>
  <c r="G205"/>
  <c r="G9"/>
  <c r="G17"/>
  <c r="G111"/>
  <c r="G365"/>
  <c r="G394"/>
  <c r="F220"/>
  <c r="G220" s="1"/>
  <c r="G225"/>
  <c r="F244"/>
  <c r="G244" s="1"/>
  <c r="G256"/>
  <c r="F262"/>
  <c r="G262" s="1"/>
  <c r="G271"/>
  <c r="G282"/>
  <c r="F309"/>
  <c r="G309" s="1"/>
  <c r="F346"/>
  <c r="G346" s="1"/>
  <c r="F179"/>
  <c r="G25"/>
  <c r="F50"/>
  <c r="G61"/>
  <c r="G154"/>
  <c r="I130"/>
  <c r="J130" s="1"/>
  <c r="L130" s="1"/>
  <c r="M130" s="1"/>
  <c r="I140"/>
  <c r="J140" s="1"/>
  <c r="L140" s="1"/>
  <c r="M140" s="1"/>
  <c r="I79"/>
  <c r="J79" s="1"/>
  <c r="L79" s="1"/>
  <c r="M79" s="1"/>
  <c r="G12"/>
  <c r="G119"/>
  <c r="F112"/>
  <c r="G112" s="1"/>
  <c r="G114"/>
  <c r="G68"/>
  <c r="F66"/>
  <c r="G66" s="1"/>
  <c r="F68"/>
  <c r="G63"/>
  <c r="F60"/>
  <c r="G60" s="1"/>
  <c r="G53"/>
  <c r="F48"/>
  <c r="G48" s="1"/>
  <c r="G47"/>
  <c r="G41"/>
  <c r="G42"/>
  <c r="F36"/>
  <c r="G36" s="1"/>
  <c r="F30"/>
  <c r="G30" s="1"/>
  <c r="G32"/>
  <c r="G27"/>
  <c r="F24"/>
  <c r="G24" s="1"/>
  <c r="G21"/>
  <c r="G16"/>
  <c r="G153"/>
  <c r="F118"/>
  <c r="G118" s="1"/>
  <c r="F113"/>
  <c r="G113" s="1"/>
  <c r="F67"/>
  <c r="G67" s="1"/>
  <c r="F62"/>
  <c r="G62" s="1"/>
  <c r="F52"/>
  <c r="G52" s="1"/>
  <c r="G46"/>
  <c r="G40"/>
  <c r="G34"/>
  <c r="G35"/>
  <c r="G31"/>
  <c r="F31"/>
  <c r="F26"/>
  <c r="G26" s="1"/>
  <c r="G20"/>
  <c r="G15"/>
  <c r="F11"/>
  <c r="G11" s="1"/>
  <c r="F188"/>
  <c r="G188" s="1"/>
  <c r="F184"/>
  <c r="G184" s="1"/>
  <c r="G183"/>
  <c r="F194"/>
  <c r="G194" s="1"/>
  <c r="F178"/>
  <c r="G178" s="1"/>
  <c r="G200"/>
  <c r="F197"/>
  <c r="G197" s="1"/>
  <c r="F173"/>
  <c r="G173" s="1"/>
  <c r="G169"/>
  <c r="F169"/>
  <c r="G168"/>
  <c r="G164"/>
  <c r="F204"/>
  <c r="G204" s="1"/>
  <c r="F199"/>
  <c r="G199" s="1"/>
  <c r="G191"/>
  <c r="G192"/>
  <c r="G186"/>
  <c r="G187"/>
  <c r="G182"/>
  <c r="G177"/>
  <c r="G171"/>
  <c r="G172"/>
  <c r="G167"/>
  <c r="F163"/>
  <c r="G163" s="1"/>
  <c r="G296"/>
  <c r="G345"/>
  <c r="G340"/>
  <c r="G291"/>
  <c r="G319"/>
  <c r="G320"/>
  <c r="G316"/>
  <c r="F276"/>
  <c r="G276" s="1"/>
  <c r="G270"/>
  <c r="F270"/>
  <c r="G267"/>
  <c r="G265"/>
  <c r="F338"/>
  <c r="G338" s="1"/>
  <c r="G333"/>
  <c r="G255"/>
  <c r="G249"/>
  <c r="G251"/>
  <c r="G348"/>
  <c r="G343"/>
  <c r="G335"/>
  <c r="G336"/>
  <c r="G330"/>
  <c r="G331"/>
  <c r="G325"/>
  <c r="G326"/>
  <c r="G322"/>
  <c r="G315"/>
  <c r="G310"/>
  <c r="G304"/>
  <c r="G305"/>
  <c r="G299"/>
  <c r="G300"/>
  <c r="G295"/>
  <c r="G290"/>
  <c r="G284"/>
  <c r="G285"/>
  <c r="G279"/>
  <c r="G280"/>
  <c r="G275"/>
  <c r="G269"/>
  <c r="G264"/>
  <c r="G259"/>
  <c r="G260"/>
  <c r="G257"/>
  <c r="G250"/>
  <c r="G247"/>
  <c r="G242"/>
  <c r="G234"/>
  <c r="G229"/>
  <c r="G224"/>
  <c r="G219"/>
  <c r="G368"/>
  <c r="G397"/>
  <c r="G393"/>
  <c r="G388"/>
  <c r="G381"/>
  <c r="G375"/>
  <c r="G370"/>
  <c r="G367"/>
  <c r="G362"/>
  <c r="E358" l="1"/>
  <c r="E357"/>
  <c r="E356"/>
  <c r="E355"/>
  <c r="E132" i="7"/>
  <c r="F132" s="1"/>
  <c r="E144"/>
  <c r="F144" s="1"/>
  <c r="E150"/>
  <c r="F150" s="1"/>
  <c r="G150" s="1"/>
  <c r="E119"/>
  <c r="F119" s="1"/>
  <c r="E114"/>
  <c r="F114" s="1"/>
  <c r="E127"/>
  <c r="E139"/>
  <c r="E156"/>
  <c r="E155"/>
  <c r="E154"/>
  <c r="E153"/>
  <c r="E151"/>
  <c r="E149"/>
  <c r="E148"/>
  <c r="E147"/>
  <c r="E145"/>
  <c r="E143"/>
  <c r="E142"/>
  <c r="E141"/>
  <c r="E138"/>
  <c r="E137"/>
  <c r="E136"/>
  <c r="E135"/>
  <c r="E133"/>
  <c r="E131"/>
  <c r="E130"/>
  <c r="E129"/>
  <c r="E126"/>
  <c r="E125"/>
  <c r="E124"/>
  <c r="E123"/>
  <c r="E121"/>
  <c r="E120"/>
  <c r="E118"/>
  <c r="E117"/>
  <c r="E115"/>
  <c r="E113"/>
  <c r="E112"/>
  <c r="E111"/>
  <c r="E109"/>
  <c r="E108"/>
  <c r="E107"/>
  <c r="E106"/>
  <c r="E105"/>
  <c r="E99"/>
  <c r="E98"/>
  <c r="E97"/>
  <c r="E96"/>
  <c r="E94"/>
  <c r="E93"/>
  <c r="E92"/>
  <c r="E91"/>
  <c r="E89"/>
  <c r="E88"/>
  <c r="E87"/>
  <c r="E86"/>
  <c r="E84"/>
  <c r="E83"/>
  <c r="E82"/>
  <c r="E81"/>
  <c r="E79"/>
  <c r="E78"/>
  <c r="E77"/>
  <c r="E76"/>
  <c r="E74"/>
  <c r="E73"/>
  <c r="E72"/>
  <c r="E71"/>
  <c r="E69"/>
  <c r="E68"/>
  <c r="E67"/>
  <c r="E66"/>
  <c r="E64"/>
  <c r="E63"/>
  <c r="E62"/>
  <c r="E61"/>
  <c r="E59"/>
  <c r="E58"/>
  <c r="E57"/>
  <c r="E56"/>
  <c r="E50"/>
  <c r="E49"/>
  <c r="E48"/>
  <c r="E47"/>
  <c r="E45"/>
  <c r="E44"/>
  <c r="E43"/>
  <c r="E42"/>
  <c r="E40"/>
  <c r="E39"/>
  <c r="E38"/>
  <c r="E37"/>
  <c r="E35"/>
  <c r="E34"/>
  <c r="E33"/>
  <c r="E32"/>
  <c r="E30"/>
  <c r="E29"/>
  <c r="E28"/>
  <c r="E27"/>
  <c r="E25"/>
  <c r="E24"/>
  <c r="E23"/>
  <c r="E22"/>
  <c r="E20"/>
  <c r="E19"/>
  <c r="E18"/>
  <c r="E17"/>
  <c r="E15"/>
  <c r="E14"/>
  <c r="E13"/>
  <c r="E12"/>
  <c r="E10"/>
  <c r="E9"/>
  <c r="E8"/>
  <c r="E7"/>
  <c r="E169"/>
  <c r="E168"/>
  <c r="E166"/>
  <c r="E165"/>
  <c r="E163"/>
  <c r="E162"/>
  <c r="J153" i="6"/>
  <c r="H151"/>
  <c r="H150"/>
  <c r="J92"/>
  <c r="H90"/>
  <c r="H89"/>
  <c r="J37"/>
  <c r="H35"/>
  <c r="H34"/>
  <c r="J110"/>
  <c r="H107"/>
  <c r="H106"/>
  <c r="J55"/>
  <c r="H52"/>
  <c r="H51"/>
  <c r="J148"/>
  <c r="H145"/>
  <c r="H144"/>
  <c r="J87"/>
  <c r="H84"/>
  <c r="H83"/>
  <c r="H29"/>
  <c r="H28"/>
  <c r="J159"/>
  <c r="H156"/>
  <c r="H155"/>
  <c r="J43"/>
  <c r="H40"/>
  <c r="H39"/>
  <c r="J81"/>
  <c r="H79"/>
  <c r="H78"/>
  <c r="J26"/>
  <c r="H24"/>
  <c r="H23"/>
  <c r="H162"/>
  <c r="H161"/>
  <c r="J165"/>
  <c r="J104"/>
  <c r="H101"/>
  <c r="H100"/>
  <c r="J49"/>
  <c r="H46"/>
  <c r="H45"/>
  <c r="J137"/>
  <c r="H134"/>
  <c r="H133"/>
  <c r="J76"/>
  <c r="H73"/>
  <c r="H72"/>
  <c r="J21"/>
  <c r="H18"/>
  <c r="H17"/>
  <c r="E203"/>
  <c r="E202"/>
  <c r="E201"/>
  <c r="E200"/>
  <c r="E199"/>
  <c r="E198"/>
  <c r="E197"/>
  <c r="E193"/>
  <c r="E192"/>
  <c r="E191"/>
  <c r="E190"/>
  <c r="E189"/>
  <c r="E188"/>
  <c r="E187"/>
  <c r="E168"/>
  <c r="E167"/>
  <c r="E162"/>
  <c r="E161"/>
  <c r="E156"/>
  <c r="E155"/>
  <c r="E151"/>
  <c r="E150"/>
  <c r="E145"/>
  <c r="E144"/>
  <c r="E140"/>
  <c r="E139"/>
  <c r="E134"/>
  <c r="E133"/>
  <c r="E128"/>
  <c r="E127"/>
  <c r="E123"/>
  <c r="E122"/>
  <c r="E107"/>
  <c r="E106"/>
  <c r="E101"/>
  <c r="E100"/>
  <c r="E95"/>
  <c r="E94"/>
  <c r="E90"/>
  <c r="E89"/>
  <c r="E84"/>
  <c r="E83"/>
  <c r="E79"/>
  <c r="E78"/>
  <c r="E73"/>
  <c r="E72"/>
  <c r="E67"/>
  <c r="E66"/>
  <c r="E62"/>
  <c r="E61"/>
  <c r="E52"/>
  <c r="E51"/>
  <c r="E46"/>
  <c r="E45"/>
  <c r="E40"/>
  <c r="E39"/>
  <c r="E35"/>
  <c r="E34"/>
  <c r="E29"/>
  <c r="E28"/>
  <c r="E24"/>
  <c r="E23"/>
  <c r="E18"/>
  <c r="E17"/>
  <c r="E12"/>
  <c r="E11"/>
  <c r="E7"/>
  <c r="E6"/>
  <c r="J70"/>
  <c r="H67"/>
  <c r="H66"/>
  <c r="J15"/>
  <c r="H12"/>
  <c r="H11"/>
  <c r="H62"/>
  <c r="H61"/>
  <c r="H7"/>
  <c r="H6"/>
  <c r="E183"/>
  <c r="E182"/>
  <c r="E181"/>
  <c r="E180"/>
  <c r="E179"/>
  <c r="E178"/>
  <c r="E177"/>
  <c r="G132" i="7" l="1"/>
  <c r="I132" s="1"/>
  <c r="G144"/>
  <c r="I144" s="1"/>
  <c r="I150"/>
  <c r="G119"/>
  <c r="I119" s="1"/>
  <c r="G114"/>
  <c r="I114" l="1"/>
  <c r="N250" i="1"/>
  <c r="N214"/>
  <c r="N205"/>
  <c r="N187"/>
  <c r="N164"/>
  <c r="N128"/>
  <c r="N119"/>
  <c r="N101"/>
  <c r="N78"/>
  <c r="N42"/>
  <c r="N15"/>
  <c r="I169"/>
  <c r="H169"/>
  <c r="G169"/>
  <c r="I168"/>
  <c r="G168"/>
  <c r="H168" s="1"/>
  <c r="I167"/>
  <c r="H167"/>
  <c r="G167"/>
  <c r="I166"/>
  <c r="H166"/>
  <c r="G166"/>
  <c r="I165"/>
  <c r="H165"/>
  <c r="G165"/>
  <c r="I160"/>
  <c r="H160"/>
  <c r="G160"/>
  <c r="I159"/>
  <c r="G159"/>
  <c r="H159" s="1"/>
  <c r="I158"/>
  <c r="H158"/>
  <c r="G158"/>
  <c r="I157"/>
  <c r="H157"/>
  <c r="G157"/>
  <c r="I156"/>
  <c r="H156"/>
  <c r="G156"/>
  <c r="I151"/>
  <c r="H151"/>
  <c r="G151"/>
  <c r="I150"/>
  <c r="G150"/>
  <c r="H150" s="1"/>
  <c r="I149"/>
  <c r="H149"/>
  <c r="G149"/>
  <c r="I148"/>
  <c r="H148"/>
  <c r="G148"/>
  <c r="I147"/>
  <c r="H147"/>
  <c r="G147"/>
  <c r="I143"/>
  <c r="H143"/>
  <c r="G143"/>
  <c r="I142"/>
  <c r="G142"/>
  <c r="H142" s="1"/>
  <c r="I141"/>
  <c r="H141"/>
  <c r="G141"/>
  <c r="I140"/>
  <c r="H140"/>
  <c r="G140"/>
  <c r="I139"/>
  <c r="H139"/>
  <c r="G139"/>
  <c r="I138"/>
  <c r="G138"/>
  <c r="H138" s="1"/>
  <c r="I133"/>
  <c r="H133"/>
  <c r="G133"/>
  <c r="I132"/>
  <c r="H132"/>
  <c r="G132"/>
  <c r="I131"/>
  <c r="G131"/>
  <c r="H131" s="1"/>
  <c r="I130"/>
  <c r="G130"/>
  <c r="H130" s="1"/>
  <c r="I129"/>
  <c r="H129"/>
  <c r="G129"/>
  <c r="I125"/>
  <c r="H125"/>
  <c r="G125"/>
  <c r="I124"/>
  <c r="G124"/>
  <c r="H124" s="1"/>
  <c r="I123"/>
  <c r="H123"/>
  <c r="G123"/>
  <c r="I122"/>
  <c r="H122"/>
  <c r="G122"/>
  <c r="I121"/>
  <c r="H121"/>
  <c r="G121"/>
  <c r="I120"/>
  <c r="G120"/>
  <c r="H120" s="1"/>
  <c r="I116"/>
  <c r="H116"/>
  <c r="G116"/>
  <c r="I115"/>
  <c r="H115"/>
  <c r="G115"/>
  <c r="I114"/>
  <c r="G114"/>
  <c r="H114" s="1"/>
  <c r="I113"/>
  <c r="H113"/>
  <c r="G113"/>
  <c r="I112"/>
  <c r="H112"/>
  <c r="G112"/>
  <c r="I111"/>
  <c r="H111"/>
  <c r="G111"/>
  <c r="I106"/>
  <c r="H106"/>
  <c r="G106"/>
  <c r="I105"/>
  <c r="G105"/>
  <c r="H105" s="1"/>
  <c r="I104"/>
  <c r="H104"/>
  <c r="G104"/>
  <c r="I103"/>
  <c r="H103"/>
  <c r="G103"/>
  <c r="I102"/>
  <c r="H102"/>
  <c r="G102"/>
  <c r="I97"/>
  <c r="H97"/>
  <c r="G97"/>
  <c r="I96"/>
  <c r="H96"/>
  <c r="G96"/>
  <c r="I95"/>
  <c r="H95"/>
  <c r="G95"/>
  <c r="I94"/>
  <c r="G94"/>
  <c r="H94" s="1"/>
  <c r="I93"/>
  <c r="G93"/>
  <c r="H93" s="1"/>
  <c r="I92"/>
  <c r="H92"/>
  <c r="G92"/>
  <c r="I83"/>
  <c r="H83"/>
  <c r="G83"/>
  <c r="I82"/>
  <c r="G82"/>
  <c r="H82" s="1"/>
  <c r="I81"/>
  <c r="H81"/>
  <c r="G81"/>
  <c r="I80"/>
  <c r="H80"/>
  <c r="G80"/>
  <c r="I79"/>
  <c r="H79"/>
  <c r="G79"/>
  <c r="I74"/>
  <c r="H74"/>
  <c r="G74"/>
  <c r="I73"/>
  <c r="G73"/>
  <c r="H73" s="1"/>
  <c r="I72"/>
  <c r="H72"/>
  <c r="G72"/>
  <c r="I71"/>
  <c r="H71"/>
  <c r="G71"/>
  <c r="I70"/>
  <c r="H70"/>
  <c r="G70"/>
  <c r="I65"/>
  <c r="H65"/>
  <c r="G65"/>
  <c r="I64"/>
  <c r="G64"/>
  <c r="H64" s="1"/>
  <c r="I63"/>
  <c r="H63"/>
  <c r="G63"/>
  <c r="I62"/>
  <c r="H62"/>
  <c r="G62"/>
  <c r="I61"/>
  <c r="H61"/>
  <c r="G61"/>
  <c r="I57"/>
  <c r="H57"/>
  <c r="G57"/>
  <c r="I56"/>
  <c r="H56"/>
  <c r="G56"/>
  <c r="I55"/>
  <c r="G55"/>
  <c r="H55" s="1"/>
  <c r="I54"/>
  <c r="H54"/>
  <c r="G54"/>
  <c r="I53"/>
  <c r="H53"/>
  <c r="G53"/>
  <c r="I52"/>
  <c r="H52"/>
  <c r="G52"/>
  <c r="I47"/>
  <c r="H47"/>
  <c r="G47"/>
  <c r="I46"/>
  <c r="G46"/>
  <c r="H46" s="1"/>
  <c r="I45"/>
  <c r="H45"/>
  <c r="G45"/>
  <c r="I44"/>
  <c r="H44"/>
  <c r="G44"/>
  <c r="I43"/>
  <c r="H43"/>
  <c r="G43"/>
  <c r="I39"/>
  <c r="H39"/>
  <c r="G39"/>
  <c r="I38"/>
  <c r="G38"/>
  <c r="H38" s="1"/>
  <c r="I37"/>
  <c r="H37"/>
  <c r="G37"/>
  <c r="I36"/>
  <c r="H36"/>
  <c r="G36"/>
  <c r="I35"/>
  <c r="H35"/>
  <c r="G35"/>
  <c r="I34"/>
  <c r="G34"/>
  <c r="H34" s="1"/>
  <c r="N33"/>
  <c r="I30"/>
  <c r="H30"/>
  <c r="G30"/>
  <c r="I29"/>
  <c r="H29"/>
  <c r="G29"/>
  <c r="I28"/>
  <c r="G28"/>
  <c r="H28" s="1"/>
  <c r="I27"/>
  <c r="G27"/>
  <c r="H27" s="1"/>
  <c r="I26"/>
  <c r="H26"/>
  <c r="G26"/>
  <c r="I25"/>
  <c r="H25"/>
  <c r="G25"/>
  <c r="I20"/>
  <c r="H20"/>
  <c r="G20"/>
  <c r="I19"/>
  <c r="G19"/>
  <c r="H19" s="1"/>
  <c r="I18"/>
  <c r="H18"/>
  <c r="G18"/>
  <c r="I17"/>
  <c r="H17"/>
  <c r="G17"/>
  <c r="I16"/>
  <c r="H16"/>
  <c r="G16"/>
  <c r="I7"/>
  <c r="I8"/>
  <c r="I9"/>
  <c r="I10"/>
  <c r="I11"/>
  <c r="I6"/>
  <c r="I255"/>
  <c r="H255"/>
  <c r="G255"/>
  <c r="I254"/>
  <c r="G254"/>
  <c r="H254" s="1"/>
  <c r="I253"/>
  <c r="H253"/>
  <c r="G253"/>
  <c r="I252"/>
  <c r="H252"/>
  <c r="G252"/>
  <c r="I251"/>
  <c r="H251"/>
  <c r="G251"/>
  <c r="I246"/>
  <c r="H246"/>
  <c r="G246"/>
  <c r="I245"/>
  <c r="G245"/>
  <c r="H245" s="1"/>
  <c r="I244"/>
  <c r="H244"/>
  <c r="G244"/>
  <c r="I243"/>
  <c r="H243"/>
  <c r="G243"/>
  <c r="I242"/>
  <c r="H242"/>
  <c r="G242"/>
  <c r="I237"/>
  <c r="H237"/>
  <c r="G237"/>
  <c r="I236"/>
  <c r="G236"/>
  <c r="H236" s="1"/>
  <c r="I235"/>
  <c r="H235"/>
  <c r="G235"/>
  <c r="I234"/>
  <c r="H234"/>
  <c r="G234"/>
  <c r="I233"/>
  <c r="H233"/>
  <c r="G233"/>
  <c r="I229"/>
  <c r="H229"/>
  <c r="G229"/>
  <c r="I228"/>
  <c r="G228"/>
  <c r="H228" s="1"/>
  <c r="I227"/>
  <c r="H227"/>
  <c r="G227"/>
  <c r="I226"/>
  <c r="H226"/>
  <c r="G226"/>
  <c r="I225"/>
  <c r="H225"/>
  <c r="G225"/>
  <c r="I224"/>
  <c r="G224"/>
  <c r="H224" s="1"/>
  <c r="I219"/>
  <c r="H219"/>
  <c r="G219"/>
  <c r="I218"/>
  <c r="G218"/>
  <c r="H218" s="1"/>
  <c r="I217"/>
  <c r="H217"/>
  <c r="G217"/>
  <c r="I216"/>
  <c r="H216"/>
  <c r="G216"/>
  <c r="I215"/>
  <c r="H215"/>
  <c r="G215"/>
  <c r="I211"/>
  <c r="H211"/>
  <c r="G211"/>
  <c r="I202"/>
  <c r="H202"/>
  <c r="G202"/>
  <c r="I210"/>
  <c r="H210"/>
  <c r="G210"/>
  <c r="I209"/>
  <c r="G209"/>
  <c r="H209" s="1"/>
  <c r="I208"/>
  <c r="H208"/>
  <c r="G208"/>
  <c r="I207"/>
  <c r="H207"/>
  <c r="G207"/>
  <c r="I206"/>
  <c r="H206"/>
  <c r="G206"/>
  <c r="I201"/>
  <c r="H201"/>
  <c r="G201"/>
  <c r="I200"/>
  <c r="H200"/>
  <c r="G200"/>
  <c r="I199"/>
  <c r="G199"/>
  <c r="H199" s="1"/>
  <c r="I198"/>
  <c r="H198"/>
  <c r="G198"/>
  <c r="I197"/>
  <c r="H197"/>
  <c r="G197"/>
  <c r="I192"/>
  <c r="G192"/>
  <c r="H192" s="1"/>
  <c r="I191"/>
  <c r="H191"/>
  <c r="G191"/>
  <c r="I190"/>
  <c r="H190"/>
  <c r="G190"/>
  <c r="I189"/>
  <c r="H189"/>
  <c r="G189"/>
  <c r="I188"/>
  <c r="G188"/>
  <c r="H188" s="1"/>
  <c r="I179"/>
  <c r="I180"/>
  <c r="I181"/>
  <c r="I182"/>
  <c r="I183"/>
  <c r="I178"/>
  <c r="I341"/>
  <c r="H341"/>
  <c r="G341"/>
  <c r="I340"/>
  <c r="H340"/>
  <c r="G340"/>
  <c r="I339"/>
  <c r="G339"/>
  <c r="H339" s="1"/>
  <c r="I338"/>
  <c r="G338"/>
  <c r="H338" s="1"/>
  <c r="I337"/>
  <c r="H337"/>
  <c r="G337"/>
  <c r="I332"/>
  <c r="H332"/>
  <c r="G332"/>
  <c r="I331"/>
  <c r="H331"/>
  <c r="G331"/>
  <c r="I330"/>
  <c r="G330"/>
  <c r="H330" s="1"/>
  <c r="I329"/>
  <c r="G329"/>
  <c r="H329" s="1"/>
  <c r="I328"/>
  <c r="H328"/>
  <c r="G328"/>
  <c r="I323"/>
  <c r="H323"/>
  <c r="G323"/>
  <c r="I322"/>
  <c r="H322"/>
  <c r="G322"/>
  <c r="I321"/>
  <c r="H321"/>
  <c r="G321"/>
  <c r="I320"/>
  <c r="G320"/>
  <c r="H320" s="1"/>
  <c r="I319"/>
  <c r="H319"/>
  <c r="G319"/>
  <c r="I315"/>
  <c r="H315"/>
  <c r="G315"/>
  <c r="I314"/>
  <c r="H314"/>
  <c r="G314"/>
  <c r="I313"/>
  <c r="G313"/>
  <c r="H313" s="1"/>
  <c r="I312"/>
  <c r="G312"/>
  <c r="H312" s="1"/>
  <c r="I311"/>
  <c r="H311"/>
  <c r="G311"/>
  <c r="I310"/>
  <c r="H310"/>
  <c r="G310"/>
  <c r="I302"/>
  <c r="I303"/>
  <c r="I304"/>
  <c r="I305"/>
  <c r="I301"/>
  <c r="I297"/>
  <c r="H297"/>
  <c r="G297"/>
  <c r="I296"/>
  <c r="H296"/>
  <c r="G296"/>
  <c r="I295"/>
  <c r="H295"/>
  <c r="G295"/>
  <c r="I294"/>
  <c r="G294"/>
  <c r="H294" s="1"/>
  <c r="I293"/>
  <c r="H293"/>
  <c r="G293"/>
  <c r="I292"/>
  <c r="H292"/>
  <c r="G292"/>
  <c r="I288"/>
  <c r="H288"/>
  <c r="G288"/>
  <c r="I287"/>
  <c r="H287"/>
  <c r="G287"/>
  <c r="I286"/>
  <c r="H286"/>
  <c r="G286"/>
  <c r="I285"/>
  <c r="G285"/>
  <c r="H285" s="1"/>
  <c r="I284"/>
  <c r="H284"/>
  <c r="G284"/>
  <c r="I283"/>
  <c r="H283"/>
  <c r="G283"/>
  <c r="I278"/>
  <c r="H278"/>
  <c r="G278"/>
  <c r="I277"/>
  <c r="G277"/>
  <c r="H277" s="1"/>
  <c r="I276"/>
  <c r="G276"/>
  <c r="H276" s="1"/>
  <c r="I275"/>
  <c r="H275"/>
  <c r="G275"/>
  <c r="I274"/>
  <c r="H274"/>
  <c r="G274"/>
  <c r="I269"/>
  <c r="I268"/>
  <c r="I267"/>
  <c r="I265"/>
  <c r="I264"/>
  <c r="I266"/>
  <c r="E362"/>
  <c r="I358"/>
  <c r="H358"/>
  <c r="G358"/>
  <c r="I354"/>
  <c r="H354"/>
  <c r="G354"/>
  <c r="I350"/>
  <c r="C334" l="1"/>
  <c r="C248"/>
  <c r="C162"/>
  <c r="C316"/>
  <c r="C230"/>
  <c r="C144"/>
  <c r="C343"/>
  <c r="C257"/>
  <c r="C307"/>
  <c r="C221"/>
  <c r="C135"/>
  <c r="C325"/>
  <c r="C239"/>
  <c r="C153"/>
  <c r="C298"/>
  <c r="C212"/>
  <c r="C126"/>
  <c r="C287"/>
  <c r="C283"/>
  <c r="C289" s="1"/>
  <c r="C201"/>
  <c r="C197"/>
  <c r="C203" s="1"/>
  <c r="C115"/>
  <c r="C111"/>
  <c r="C117" s="1"/>
  <c r="C280"/>
  <c r="C194"/>
  <c r="C108"/>
  <c r="C271"/>
  <c r="C185"/>
  <c r="C99"/>
  <c r="C29"/>
  <c r="C25"/>
  <c r="F52" i="5" l="1"/>
  <c r="F45"/>
  <c r="F44"/>
  <c r="J32" i="6"/>
  <c r="G52" i="5" l="1"/>
  <c r="I52" s="1"/>
  <c r="G44"/>
  <c r="I44" s="1"/>
  <c r="G45"/>
  <c r="I45" s="1"/>
  <c r="J209" i="6"/>
  <c r="H123"/>
  <c r="H122"/>
  <c r="I224" i="4" l="1"/>
  <c r="I317" l="1"/>
  <c r="I301"/>
  <c r="I164"/>
  <c r="I300"/>
  <c r="I330"/>
  <c r="I163"/>
  <c r="I335"/>
  <c r="I227"/>
  <c r="I229"/>
  <c r="I322"/>
  <c r="I345"/>
  <c r="I346"/>
  <c r="I299"/>
  <c r="I314"/>
  <c r="I333"/>
  <c r="I232"/>
  <c r="I302"/>
  <c r="I319"/>
  <c r="I337"/>
  <c r="I338"/>
  <c r="I348"/>
  <c r="I321"/>
  <c r="I332"/>
  <c r="I161"/>
  <c r="I316"/>
  <c r="I162"/>
  <c r="I347"/>
  <c r="I336"/>
  <c r="I331"/>
  <c r="I320"/>
  <c r="I315"/>
  <c r="I304"/>
  <c r="I305"/>
  <c r="I306"/>
  <c r="I307"/>
  <c r="I290"/>
  <c r="I292"/>
  <c r="I289"/>
  <c r="I291"/>
  <c r="I287"/>
  <c r="I285"/>
  <c r="I284"/>
  <c r="I286"/>
  <c r="I274"/>
  <c r="I275"/>
  <c r="I276"/>
  <c r="I277"/>
  <c r="I269"/>
  <c r="I270"/>
  <c r="I271"/>
  <c r="I272"/>
  <c r="I260"/>
  <c r="I262"/>
  <c r="I259"/>
  <c r="I261"/>
  <c r="I257"/>
  <c r="I255"/>
  <c r="I254"/>
  <c r="I256"/>
  <c r="I245"/>
  <c r="I247"/>
  <c r="I244"/>
  <c r="I246"/>
  <c r="I240"/>
  <c r="I242"/>
  <c r="I239"/>
  <c r="I241"/>
  <c r="I230"/>
  <c r="I231"/>
  <c r="I226"/>
  <c r="I225"/>
  <c r="N173" i="1"/>
  <c r="N87"/>
  <c r="N241"/>
  <c r="N155"/>
  <c r="N69"/>
  <c r="J229"/>
  <c r="N232"/>
  <c r="J143"/>
  <c r="N146"/>
  <c r="J57"/>
  <c r="N60"/>
  <c r="N223"/>
  <c r="N137"/>
  <c r="N51"/>
  <c r="N196"/>
  <c r="N24"/>
  <c r="G183"/>
  <c r="H183" s="1"/>
  <c r="G11"/>
  <c r="H11" s="1"/>
  <c r="J97" l="1"/>
  <c r="J11"/>
  <c r="J183"/>
  <c r="I165" i="4"/>
  <c r="J165" s="1"/>
  <c r="L165" s="1"/>
  <c r="I334"/>
  <c r="J334" s="1"/>
  <c r="L334" s="1"/>
  <c r="I233"/>
  <c r="I339"/>
  <c r="J339" s="1"/>
  <c r="L339" s="1"/>
  <c r="I248"/>
  <c r="J248" s="1"/>
  <c r="L248" s="1"/>
  <c r="I349"/>
  <c r="J349" s="1"/>
  <c r="L349" s="1"/>
  <c r="I318"/>
  <c r="J318" s="1"/>
  <c r="L318" s="1"/>
  <c r="I303"/>
  <c r="J303" s="1"/>
  <c r="L303" s="1"/>
  <c r="I243"/>
  <c r="J243" s="1"/>
  <c r="L243" s="1"/>
  <c r="I263"/>
  <c r="J263" s="1"/>
  <c r="L263" s="1"/>
  <c r="I228"/>
  <c r="J228" s="1"/>
  <c r="L228" s="1"/>
  <c r="I288"/>
  <c r="J288" s="1"/>
  <c r="L288" s="1"/>
  <c r="I258"/>
  <c r="J258" s="1"/>
  <c r="L258" s="1"/>
  <c r="I278"/>
  <c r="J278" s="1"/>
  <c r="L278" s="1"/>
  <c r="I323"/>
  <c r="J323" s="1"/>
  <c r="L323" s="1"/>
  <c r="I308"/>
  <c r="J308" s="1"/>
  <c r="L308" s="1"/>
  <c r="I293"/>
  <c r="J293" s="1"/>
  <c r="L293" s="1"/>
  <c r="I273"/>
  <c r="J273" s="1"/>
  <c r="L273" s="1"/>
  <c r="J233"/>
  <c r="L233" s="1"/>
  <c r="N110" i="1"/>
  <c r="J315" l="1"/>
  <c r="G269"/>
  <c r="H269" s="1"/>
  <c r="J269" s="1"/>
  <c r="G268"/>
  <c r="H268" s="1"/>
  <c r="G267"/>
  <c r="H267" s="1"/>
  <c r="H266"/>
  <c r="G266"/>
  <c r="H265"/>
  <c r="G265"/>
  <c r="G264"/>
  <c r="H264" s="1"/>
  <c r="J267" l="1"/>
  <c r="J264"/>
  <c r="J268"/>
  <c r="J266"/>
  <c r="J265"/>
  <c r="C171"/>
  <c r="J270"/>
  <c r="C49"/>
  <c r="J214" i="6"/>
  <c r="J212"/>
  <c r="F9" i="7"/>
  <c r="G9" s="1"/>
  <c r="I9" s="1"/>
  <c r="F10"/>
  <c r="G10" s="1"/>
  <c r="I10" s="1"/>
  <c r="F156"/>
  <c r="F155"/>
  <c r="F154"/>
  <c r="F151"/>
  <c r="F149"/>
  <c r="F148"/>
  <c r="F145"/>
  <c r="F142"/>
  <c r="F141"/>
  <c r="F138"/>
  <c r="F136"/>
  <c r="F133"/>
  <c r="F131"/>
  <c r="F130"/>
  <c r="F126"/>
  <c r="F125"/>
  <c r="F124"/>
  <c r="F121"/>
  <c r="F120"/>
  <c r="F117"/>
  <c r="F115"/>
  <c r="F112"/>
  <c r="F108"/>
  <c r="F107"/>
  <c r="F106"/>
  <c r="F99"/>
  <c r="F98"/>
  <c r="F97"/>
  <c r="F94"/>
  <c r="G94" s="1"/>
  <c r="I94" s="1"/>
  <c r="F92"/>
  <c r="F91"/>
  <c r="F89"/>
  <c r="F87"/>
  <c r="F86"/>
  <c r="F84"/>
  <c r="F82"/>
  <c r="F79"/>
  <c r="F78"/>
  <c r="F77"/>
  <c r="F73"/>
  <c r="F72"/>
  <c r="F71"/>
  <c r="F69"/>
  <c r="F68"/>
  <c r="F67"/>
  <c r="F64"/>
  <c r="F63"/>
  <c r="F61"/>
  <c r="F59"/>
  <c r="F57"/>
  <c r="F49"/>
  <c r="F48"/>
  <c r="F47"/>
  <c r="F45"/>
  <c r="F44"/>
  <c r="F43"/>
  <c r="F40"/>
  <c r="F38"/>
  <c r="F35"/>
  <c r="F34"/>
  <c r="F33"/>
  <c r="F30"/>
  <c r="F28"/>
  <c r="F25"/>
  <c r="F24"/>
  <c r="F23"/>
  <c r="F19"/>
  <c r="F18"/>
  <c r="F17"/>
  <c r="F14"/>
  <c r="F13"/>
  <c r="F12"/>
  <c r="F169"/>
  <c r="L168"/>
  <c r="F168"/>
  <c r="L165"/>
  <c r="F165"/>
  <c r="L162"/>
  <c r="J306" i="1"/>
  <c r="G305"/>
  <c r="H305" s="1"/>
  <c r="G304"/>
  <c r="H304" s="1"/>
  <c r="G303"/>
  <c r="H303" s="1"/>
  <c r="G302"/>
  <c r="H302" s="1"/>
  <c r="G301"/>
  <c r="H301" s="1"/>
  <c r="N361"/>
  <c r="C360"/>
  <c r="J359"/>
  <c r="N357"/>
  <c r="C356"/>
  <c r="J355"/>
  <c r="N353"/>
  <c r="J273" l="1"/>
  <c r="K273" s="1"/>
  <c r="J271"/>
  <c r="G13" i="7"/>
  <c r="F15"/>
  <c r="G15" s="1"/>
  <c r="G18"/>
  <c r="F20"/>
  <c r="G20" s="1"/>
  <c r="F22"/>
  <c r="G22" s="1"/>
  <c r="G24"/>
  <c r="G28"/>
  <c r="G34"/>
  <c r="F39"/>
  <c r="G39" s="1"/>
  <c r="G44"/>
  <c r="G48"/>
  <c r="F50"/>
  <c r="G50" s="1"/>
  <c r="F58"/>
  <c r="G58" s="1"/>
  <c r="I58" s="1"/>
  <c r="F62"/>
  <c r="G62" s="1"/>
  <c r="I62" s="1"/>
  <c r="G64"/>
  <c r="I64" s="1"/>
  <c r="G68"/>
  <c r="I68" s="1"/>
  <c r="G72"/>
  <c r="I72" s="1"/>
  <c r="F74"/>
  <c r="G74" s="1"/>
  <c r="I74" s="1"/>
  <c r="F76"/>
  <c r="G76" s="1"/>
  <c r="I76" s="1"/>
  <c r="I80" s="1"/>
  <c r="K80" s="1"/>
  <c r="L80" s="1"/>
  <c r="G78"/>
  <c r="I78" s="1"/>
  <c r="F83"/>
  <c r="G83" s="1"/>
  <c r="I83" s="1"/>
  <c r="G86"/>
  <c r="I86" s="1"/>
  <c r="F88"/>
  <c r="G88" s="1"/>
  <c r="I88" s="1"/>
  <c r="G91"/>
  <c r="I91" s="1"/>
  <c r="F93"/>
  <c r="G93" s="1"/>
  <c r="I93" s="1"/>
  <c r="G98"/>
  <c r="I98" s="1"/>
  <c r="F105"/>
  <c r="G105" s="1"/>
  <c r="I105" s="1"/>
  <c r="G107"/>
  <c r="I107" s="1"/>
  <c r="F113"/>
  <c r="G113" s="1"/>
  <c r="I113" s="1"/>
  <c r="F118"/>
  <c r="G118" s="1"/>
  <c r="I118" s="1"/>
  <c r="G121"/>
  <c r="I121" s="1"/>
  <c r="G125"/>
  <c r="I125" s="1"/>
  <c r="F129"/>
  <c r="G129" s="1"/>
  <c r="I129" s="1"/>
  <c r="G131"/>
  <c r="I131" s="1"/>
  <c r="F137"/>
  <c r="G137" s="1"/>
  <c r="I137" s="1"/>
  <c r="G141"/>
  <c r="F143"/>
  <c r="G143" s="1"/>
  <c r="G149"/>
  <c r="I149" s="1"/>
  <c r="F153"/>
  <c r="G153" s="1"/>
  <c r="G155"/>
  <c r="G154"/>
  <c r="G156"/>
  <c r="F147"/>
  <c r="G147" s="1"/>
  <c r="I147" s="1"/>
  <c r="G148"/>
  <c r="I148" s="1"/>
  <c r="G151"/>
  <c r="I151" s="1"/>
  <c r="G142"/>
  <c r="G145"/>
  <c r="F135"/>
  <c r="G135" s="1"/>
  <c r="I135" s="1"/>
  <c r="G136"/>
  <c r="I136" s="1"/>
  <c r="G138"/>
  <c r="I138" s="1"/>
  <c r="G130"/>
  <c r="I130" s="1"/>
  <c r="G133"/>
  <c r="I133" s="1"/>
  <c r="F123"/>
  <c r="G123" s="1"/>
  <c r="I123" s="1"/>
  <c r="G124"/>
  <c r="I124" s="1"/>
  <c r="G126"/>
  <c r="I126" s="1"/>
  <c r="G117"/>
  <c r="I117" s="1"/>
  <c r="G120"/>
  <c r="I120" s="1"/>
  <c r="F111"/>
  <c r="G111" s="1"/>
  <c r="I111" s="1"/>
  <c r="G112"/>
  <c r="I112" s="1"/>
  <c r="G115"/>
  <c r="I115" s="1"/>
  <c r="G106"/>
  <c r="I106" s="1"/>
  <c r="G108"/>
  <c r="I108" s="1"/>
  <c r="F96"/>
  <c r="G96" s="1"/>
  <c r="I96" s="1"/>
  <c r="G97"/>
  <c r="I97" s="1"/>
  <c r="G99"/>
  <c r="I99" s="1"/>
  <c r="G92"/>
  <c r="I92" s="1"/>
  <c r="G87"/>
  <c r="I87" s="1"/>
  <c r="G89"/>
  <c r="I89" s="1"/>
  <c r="F81"/>
  <c r="G81" s="1"/>
  <c r="I81" s="1"/>
  <c r="G82"/>
  <c r="I82" s="1"/>
  <c r="G84"/>
  <c r="I84" s="1"/>
  <c r="G77"/>
  <c r="I77" s="1"/>
  <c r="G79"/>
  <c r="I79" s="1"/>
  <c r="G71"/>
  <c r="I71" s="1"/>
  <c r="G73"/>
  <c r="I73" s="1"/>
  <c r="F66"/>
  <c r="G66" s="1"/>
  <c r="I66" s="1"/>
  <c r="G67"/>
  <c r="I67" s="1"/>
  <c r="G69"/>
  <c r="I69" s="1"/>
  <c r="G61"/>
  <c r="I61" s="1"/>
  <c r="G63"/>
  <c r="I63" s="1"/>
  <c r="F56"/>
  <c r="G56" s="1"/>
  <c r="I56" s="1"/>
  <c r="G57"/>
  <c r="I57" s="1"/>
  <c r="G59"/>
  <c r="I59" s="1"/>
  <c r="G47"/>
  <c r="G49"/>
  <c r="F42"/>
  <c r="G42" s="1"/>
  <c r="G43"/>
  <c r="G45"/>
  <c r="F37"/>
  <c r="G37" s="1"/>
  <c r="G38"/>
  <c r="G40"/>
  <c r="F32"/>
  <c r="G32" s="1"/>
  <c r="G33"/>
  <c r="G35"/>
  <c r="F27"/>
  <c r="G27" s="1"/>
  <c r="F29"/>
  <c r="G29" s="1"/>
  <c r="G30"/>
  <c r="G23"/>
  <c r="G25"/>
  <c r="G17"/>
  <c r="G19"/>
  <c r="G12"/>
  <c r="G14"/>
  <c r="G168"/>
  <c r="G169"/>
  <c r="I169" s="1"/>
  <c r="G165"/>
  <c r="I165" s="1"/>
  <c r="F166"/>
  <c r="G166" s="1"/>
  <c r="I166" s="1"/>
  <c r="F162"/>
  <c r="G162" s="1"/>
  <c r="F163"/>
  <c r="G163" s="1"/>
  <c r="I163" s="1"/>
  <c r="J301" i="1"/>
  <c r="J302"/>
  <c r="J304"/>
  <c r="J303"/>
  <c r="J305"/>
  <c r="J358"/>
  <c r="J354"/>
  <c r="I65" i="7" l="1"/>
  <c r="K65" s="1"/>
  <c r="L65" s="1"/>
  <c r="I100"/>
  <c r="I70"/>
  <c r="K70" s="1"/>
  <c r="L70" s="1"/>
  <c r="I95"/>
  <c r="K95" s="1"/>
  <c r="L95" s="1"/>
  <c r="I60"/>
  <c r="K60" s="1"/>
  <c r="L60" s="1"/>
  <c r="I85"/>
  <c r="K85" s="1"/>
  <c r="L85" s="1"/>
  <c r="I75"/>
  <c r="K75" s="1"/>
  <c r="L75" s="1"/>
  <c r="I90"/>
  <c r="K90" s="1"/>
  <c r="L90" s="1"/>
  <c r="M165"/>
  <c r="K100"/>
  <c r="L100" s="1"/>
  <c r="I134"/>
  <c r="K134" s="1"/>
  <c r="L134" s="1"/>
  <c r="I152"/>
  <c r="K152" s="1"/>
  <c r="L152" s="1"/>
  <c r="I122"/>
  <c r="K122" s="1"/>
  <c r="L122" s="1"/>
  <c r="I116"/>
  <c r="K116" s="1"/>
  <c r="L116" s="1"/>
  <c r="J272" i="1"/>
  <c r="M273"/>
  <c r="M168" i="7"/>
  <c r="I168"/>
  <c r="I170" s="1"/>
  <c r="K170" s="1"/>
  <c r="I167"/>
  <c r="K167" s="1"/>
  <c r="M162"/>
  <c r="I162"/>
  <c r="I164" s="1"/>
  <c r="K164" s="1"/>
  <c r="J309" i="1"/>
  <c r="K309" s="1"/>
  <c r="M309" s="1"/>
  <c r="J307"/>
  <c r="J361"/>
  <c r="K361" s="1"/>
  <c r="M361" s="1"/>
  <c r="J360"/>
  <c r="J357"/>
  <c r="K357" s="1"/>
  <c r="M357" s="1"/>
  <c r="J356"/>
  <c r="K272" l="1"/>
  <c r="M272" s="1"/>
  <c r="J308"/>
  <c r="K308" s="1"/>
  <c r="M308" s="1"/>
  <c r="C352" l="1"/>
  <c r="J351"/>
  <c r="G350"/>
  <c r="H350" s="1"/>
  <c r="H95" i="6"/>
  <c r="H94"/>
  <c r="J98"/>
  <c r="H140"/>
  <c r="H139"/>
  <c r="J142"/>
  <c r="J350" i="1" l="1"/>
  <c r="J353" s="1"/>
  <c r="K353" s="1"/>
  <c r="M353" s="1"/>
  <c r="J352" l="1"/>
  <c r="H128" i="6" l="1"/>
  <c r="H127"/>
  <c r="J131"/>
  <c r="K205"/>
  <c r="F203"/>
  <c r="F202"/>
  <c r="F201"/>
  <c r="F200"/>
  <c r="F199"/>
  <c r="F198"/>
  <c r="F197"/>
  <c r="K195"/>
  <c r="F193"/>
  <c r="F192"/>
  <c r="F191"/>
  <c r="F190"/>
  <c r="F189"/>
  <c r="F188"/>
  <c r="F187"/>
  <c r="F178"/>
  <c r="G178" s="1"/>
  <c r="F179"/>
  <c r="G179" s="1"/>
  <c r="F180"/>
  <c r="G180" s="1"/>
  <c r="F181"/>
  <c r="G181" s="1"/>
  <c r="F183"/>
  <c r="F182"/>
  <c r="F177"/>
  <c r="G191" l="1"/>
  <c r="I191" s="1"/>
  <c r="G197"/>
  <c r="I197" s="1"/>
  <c r="G198"/>
  <c r="I198" s="1"/>
  <c r="G199"/>
  <c r="I199" s="1"/>
  <c r="G200"/>
  <c r="I200" s="1"/>
  <c r="G201"/>
  <c r="I201" s="1"/>
  <c r="G202"/>
  <c r="I202" s="1"/>
  <c r="G203"/>
  <c r="I203" s="1"/>
  <c r="G187"/>
  <c r="I187" s="1"/>
  <c r="G188"/>
  <c r="I188" s="1"/>
  <c r="G189"/>
  <c r="I189" s="1"/>
  <c r="G190"/>
  <c r="I190" s="1"/>
  <c r="G192"/>
  <c r="I192" s="1"/>
  <c r="G193"/>
  <c r="I193" s="1"/>
  <c r="I180"/>
  <c r="G182"/>
  <c r="I182" s="1"/>
  <c r="I178"/>
  <c r="G177"/>
  <c r="I177" s="1"/>
  <c r="I179"/>
  <c r="I181"/>
  <c r="G183"/>
  <c r="I183" s="1"/>
  <c r="I181" i="4"/>
  <c r="I182"/>
  <c r="I183"/>
  <c r="I184"/>
  <c r="F35" i="5"/>
  <c r="I185" i="4" l="1"/>
  <c r="J185" s="1"/>
  <c r="L185" s="1"/>
  <c r="I204" i="6"/>
  <c r="I206" s="1"/>
  <c r="K206" s="1"/>
  <c r="I194"/>
  <c r="I196" s="1"/>
  <c r="K196" s="1"/>
  <c r="I184"/>
  <c r="K185"/>
  <c r="I186" l="1"/>
  <c r="K186" s="1"/>
  <c r="I202" i="4" l="1"/>
  <c r="I204"/>
  <c r="I203"/>
  <c r="I205"/>
  <c r="I197"/>
  <c r="I199"/>
  <c r="I198"/>
  <c r="I200"/>
  <c r="F139" i="7"/>
  <c r="F127"/>
  <c r="F109"/>
  <c r="F8"/>
  <c r="F7"/>
  <c r="F168" i="6"/>
  <c r="F167"/>
  <c r="F162"/>
  <c r="F151"/>
  <c r="F150"/>
  <c r="F145"/>
  <c r="F144"/>
  <c r="F140"/>
  <c r="F139"/>
  <c r="F134"/>
  <c r="F128"/>
  <c r="F127"/>
  <c r="F123"/>
  <c r="F122"/>
  <c r="F94"/>
  <c r="F89"/>
  <c r="F84"/>
  <c r="F79"/>
  <c r="F67"/>
  <c r="F62"/>
  <c r="F51"/>
  <c r="F45"/>
  <c r="F39"/>
  <c r="F35"/>
  <c r="F34"/>
  <c r="F28"/>
  <c r="F24"/>
  <c r="F17"/>
  <c r="F12"/>
  <c r="F7"/>
  <c r="F50" i="5"/>
  <c r="I11" i="4"/>
  <c r="J342" i="1"/>
  <c r="J333"/>
  <c r="J324"/>
  <c r="J297"/>
  <c r="J288"/>
  <c r="J279"/>
  <c r="J256"/>
  <c r="J247"/>
  <c r="J238"/>
  <c r="J220"/>
  <c r="J211"/>
  <c r="J202"/>
  <c r="J193"/>
  <c r="J184"/>
  <c r="G182"/>
  <c r="H182" s="1"/>
  <c r="G181"/>
  <c r="H181" s="1"/>
  <c r="G180"/>
  <c r="H180" s="1"/>
  <c r="G179"/>
  <c r="H179" s="1"/>
  <c r="G178"/>
  <c r="H178" s="1"/>
  <c r="J170"/>
  <c r="J161"/>
  <c r="J152"/>
  <c r="J134"/>
  <c r="J125"/>
  <c r="J116"/>
  <c r="J107"/>
  <c r="J98"/>
  <c r="C85"/>
  <c r="J84"/>
  <c r="C76"/>
  <c r="J75"/>
  <c r="C67"/>
  <c r="J66"/>
  <c r="C58"/>
  <c r="J48"/>
  <c r="C40"/>
  <c r="J39"/>
  <c r="C31"/>
  <c r="J30"/>
  <c r="C22"/>
  <c r="J21"/>
  <c r="I169" i="6"/>
  <c r="H168"/>
  <c r="H167"/>
  <c r="I163"/>
  <c r="F161"/>
  <c r="I157"/>
  <c r="F155"/>
  <c r="I146"/>
  <c r="I135"/>
  <c r="F133"/>
  <c r="I129"/>
  <c r="I108"/>
  <c r="F106"/>
  <c r="I102"/>
  <c r="I96"/>
  <c r="I85"/>
  <c r="I74"/>
  <c r="F72"/>
  <c r="I68"/>
  <c r="I53"/>
  <c r="I47"/>
  <c r="I41"/>
  <c r="I30"/>
  <c r="I19"/>
  <c r="I206" i="4" l="1"/>
  <c r="J206" s="1"/>
  <c r="I201"/>
  <c r="J338" i="1"/>
  <c r="G139" i="7"/>
  <c r="I139" s="1"/>
  <c r="J340" i="1"/>
  <c r="J337"/>
  <c r="J339"/>
  <c r="J341"/>
  <c r="J330"/>
  <c r="J328"/>
  <c r="J332"/>
  <c r="J329"/>
  <c r="J331"/>
  <c r="J16"/>
  <c r="J165"/>
  <c r="J43"/>
  <c r="J139"/>
  <c r="I156" i="7"/>
  <c r="I154"/>
  <c r="G127"/>
  <c r="I127" s="1"/>
  <c r="G109"/>
  <c r="I109" s="1"/>
  <c r="I141"/>
  <c r="I142"/>
  <c r="I143"/>
  <c r="I145"/>
  <c r="I153"/>
  <c r="I155"/>
  <c r="I19"/>
  <c r="I18"/>
  <c r="I20"/>
  <c r="I48"/>
  <c r="I50"/>
  <c r="I47"/>
  <c r="I49"/>
  <c r="I43"/>
  <c r="I45"/>
  <c r="I42"/>
  <c r="I44"/>
  <c r="I39"/>
  <c r="I37"/>
  <c r="I38"/>
  <c r="I40"/>
  <c r="I32"/>
  <c r="I34"/>
  <c r="I33"/>
  <c r="I35"/>
  <c r="I29"/>
  <c r="I27"/>
  <c r="I28"/>
  <c r="I30"/>
  <c r="I22"/>
  <c r="I24"/>
  <c r="I23"/>
  <c r="I25"/>
  <c r="I15"/>
  <c r="I13"/>
  <c r="I12"/>
  <c r="I14"/>
  <c r="J323" i="1"/>
  <c r="J216"/>
  <c r="J311"/>
  <c r="J322"/>
  <c r="J284"/>
  <c r="J319"/>
  <c r="J320"/>
  <c r="J285"/>
  <c r="J292"/>
  <c r="J312"/>
  <c r="J313"/>
  <c r="J314"/>
  <c r="J321"/>
  <c r="J310"/>
  <c r="J294"/>
  <c r="J295"/>
  <c r="J296"/>
  <c r="J293"/>
  <c r="J286"/>
  <c r="J287"/>
  <c r="J283"/>
  <c r="J275"/>
  <c r="J277"/>
  <c r="J274"/>
  <c r="J276"/>
  <c r="J278"/>
  <c r="J226"/>
  <c r="J228"/>
  <c r="J224"/>
  <c r="J254"/>
  <c r="J252"/>
  <c r="J255"/>
  <c r="J253"/>
  <c r="J251"/>
  <c r="J121"/>
  <c r="J132"/>
  <c r="J140"/>
  <c r="J159"/>
  <c r="J215"/>
  <c r="J234"/>
  <c r="J242"/>
  <c r="J123"/>
  <c r="J130"/>
  <c r="J138"/>
  <c r="J157"/>
  <c r="J236"/>
  <c r="J25"/>
  <c r="J103"/>
  <c r="J105"/>
  <c r="J111"/>
  <c r="J113"/>
  <c r="J115"/>
  <c r="J167"/>
  <c r="J169"/>
  <c r="J217"/>
  <c r="J219"/>
  <c r="J244"/>
  <c r="J246"/>
  <c r="J93"/>
  <c r="J95"/>
  <c r="J142"/>
  <c r="J147"/>
  <c r="J149"/>
  <c r="J151"/>
  <c r="J225"/>
  <c r="J227"/>
  <c r="J218"/>
  <c r="J208"/>
  <c r="J209"/>
  <c r="J210"/>
  <c r="J207"/>
  <c r="J206"/>
  <c r="J245"/>
  <c r="J243"/>
  <c r="J190"/>
  <c r="J191"/>
  <c r="J192"/>
  <c r="J189"/>
  <c r="J188"/>
  <c r="J178"/>
  <c r="J179"/>
  <c r="J180"/>
  <c r="J181"/>
  <c r="J182"/>
  <c r="J197"/>
  <c r="J198"/>
  <c r="J199"/>
  <c r="J200"/>
  <c r="J201"/>
  <c r="J233"/>
  <c r="J235"/>
  <c r="J237"/>
  <c r="J141"/>
  <c r="J168"/>
  <c r="J166"/>
  <c r="J122"/>
  <c r="J124"/>
  <c r="J120"/>
  <c r="J114"/>
  <c r="J112"/>
  <c r="J94"/>
  <c r="J96"/>
  <c r="J92"/>
  <c r="J102"/>
  <c r="J104"/>
  <c r="J106"/>
  <c r="J129"/>
  <c r="J131"/>
  <c r="J133"/>
  <c r="J148"/>
  <c r="J150"/>
  <c r="J156"/>
  <c r="J158"/>
  <c r="J160"/>
  <c r="J82"/>
  <c r="J80"/>
  <c r="J73"/>
  <c r="J72"/>
  <c r="J70"/>
  <c r="J71"/>
  <c r="J61"/>
  <c r="J64"/>
  <c r="J62"/>
  <c r="J55"/>
  <c r="J53"/>
  <c r="J52"/>
  <c r="J46"/>
  <c r="J44"/>
  <c r="J34"/>
  <c r="J37"/>
  <c r="J35"/>
  <c r="J28"/>
  <c r="J26"/>
  <c r="J19"/>
  <c r="J17"/>
  <c r="J27"/>
  <c r="J29"/>
  <c r="J45"/>
  <c r="J47"/>
  <c r="J63"/>
  <c r="J65"/>
  <c r="J79"/>
  <c r="J81"/>
  <c r="J83"/>
  <c r="J18"/>
  <c r="J20"/>
  <c r="J36"/>
  <c r="J38"/>
  <c r="J54"/>
  <c r="J56"/>
  <c r="J74"/>
  <c r="G151" i="6"/>
  <c r="I151" s="1"/>
  <c r="G168"/>
  <c r="I168" s="1"/>
  <c r="G144"/>
  <c r="I144" s="1"/>
  <c r="F156"/>
  <c r="G156" s="1"/>
  <c r="I156" s="1"/>
  <c r="G139"/>
  <c r="I139" s="1"/>
  <c r="G161"/>
  <c r="I161" s="1"/>
  <c r="G134"/>
  <c r="I134" s="1"/>
  <c r="G127"/>
  <c r="I127" s="1"/>
  <c r="G122"/>
  <c r="I122" s="1"/>
  <c r="G128"/>
  <c r="I128" s="1"/>
  <c r="G133"/>
  <c r="I133" s="1"/>
  <c r="G140"/>
  <c r="I140" s="1"/>
  <c r="G145"/>
  <c r="I145" s="1"/>
  <c r="G150"/>
  <c r="I150" s="1"/>
  <c r="G155"/>
  <c r="I155" s="1"/>
  <c r="G162"/>
  <c r="I162" s="1"/>
  <c r="G167"/>
  <c r="I167" s="1"/>
  <c r="G123"/>
  <c r="I123" s="1"/>
  <c r="G106"/>
  <c r="I106" s="1"/>
  <c r="F101"/>
  <c r="G101" s="1"/>
  <c r="I101" s="1"/>
  <c r="F66"/>
  <c r="G66" s="1"/>
  <c r="I66" s="1"/>
  <c r="F61"/>
  <c r="G61" s="1"/>
  <c r="I61" s="1"/>
  <c r="G62"/>
  <c r="I62" s="1"/>
  <c r="G67"/>
  <c r="I67" s="1"/>
  <c r="G72"/>
  <c r="I72" s="1"/>
  <c r="F73"/>
  <c r="G73" s="1"/>
  <c r="I73" s="1"/>
  <c r="F78"/>
  <c r="G78" s="1"/>
  <c r="I78" s="1"/>
  <c r="G79"/>
  <c r="I79" s="1"/>
  <c r="F83"/>
  <c r="G83" s="1"/>
  <c r="I83" s="1"/>
  <c r="G84"/>
  <c r="I84" s="1"/>
  <c r="G89"/>
  <c r="I89" s="1"/>
  <c r="F90"/>
  <c r="G90" s="1"/>
  <c r="I90" s="1"/>
  <c r="G94"/>
  <c r="I94" s="1"/>
  <c r="F95"/>
  <c r="G95" s="1"/>
  <c r="I95" s="1"/>
  <c r="F100"/>
  <c r="G100" s="1"/>
  <c r="I100" s="1"/>
  <c r="F107"/>
  <c r="G107" s="1"/>
  <c r="I107" s="1"/>
  <c r="G51"/>
  <c r="I51" s="1"/>
  <c r="F52"/>
  <c r="G52" s="1"/>
  <c r="I52" s="1"/>
  <c r="G45"/>
  <c r="I45" s="1"/>
  <c r="F46"/>
  <c r="G46" s="1"/>
  <c r="I46" s="1"/>
  <c r="G39"/>
  <c r="I39" s="1"/>
  <c r="F40"/>
  <c r="G40" s="1"/>
  <c r="I40" s="1"/>
  <c r="G34"/>
  <c r="I34" s="1"/>
  <c r="G35"/>
  <c r="I35" s="1"/>
  <c r="F29"/>
  <c r="G29" s="1"/>
  <c r="I29" s="1"/>
  <c r="G28"/>
  <c r="I28" s="1"/>
  <c r="F23"/>
  <c r="G23" s="1"/>
  <c r="I23" s="1"/>
  <c r="G24"/>
  <c r="I24" s="1"/>
  <c r="F18"/>
  <c r="G18" s="1"/>
  <c r="I18" s="1"/>
  <c r="G17"/>
  <c r="I17" s="1"/>
  <c r="F6"/>
  <c r="G6" s="1"/>
  <c r="F11"/>
  <c r="G11" s="1"/>
  <c r="I11" s="1"/>
  <c r="G12"/>
  <c r="I12" s="1"/>
  <c r="I13"/>
  <c r="G7"/>
  <c r="I7" s="1"/>
  <c r="J449" i="5"/>
  <c r="H448"/>
  <c r="H447"/>
  <c r="F447"/>
  <c r="H446"/>
  <c r="H445"/>
  <c r="F445"/>
  <c r="H444"/>
  <c r="H443"/>
  <c r="F443"/>
  <c r="H442"/>
  <c r="H441"/>
  <c r="F441"/>
  <c r="H440"/>
  <c r="F440"/>
  <c r="H439"/>
  <c r="F439"/>
  <c r="H438"/>
  <c r="H437"/>
  <c r="F437"/>
  <c r="F19"/>
  <c r="F18"/>
  <c r="F17"/>
  <c r="F16"/>
  <c r="F51"/>
  <c r="F49"/>
  <c r="F48"/>
  <c r="F47"/>
  <c r="F46"/>
  <c r="F43"/>
  <c r="F42"/>
  <c r="F40"/>
  <c r="F36"/>
  <c r="F33"/>
  <c r="F28"/>
  <c r="F26"/>
  <c r="F24"/>
  <c r="F21"/>
  <c r="F20"/>
  <c r="F15"/>
  <c r="F14"/>
  <c r="F13"/>
  <c r="F12"/>
  <c r="F11"/>
  <c r="F10"/>
  <c r="F9"/>
  <c r="F8"/>
  <c r="F7"/>
  <c r="F358" i="4"/>
  <c r="F357"/>
  <c r="F356"/>
  <c r="F355"/>
  <c r="I342"/>
  <c r="I327"/>
  <c r="I311"/>
  <c r="I296"/>
  <c r="I281"/>
  <c r="I264"/>
  <c r="I251"/>
  <c r="I250"/>
  <c r="I249"/>
  <c r="I222"/>
  <c r="I221"/>
  <c r="I220"/>
  <c r="I219"/>
  <c r="I178"/>
  <c r="I52"/>
  <c r="I31"/>
  <c r="I24"/>
  <c r="I21"/>
  <c r="L206" l="1"/>
  <c r="J411"/>
  <c r="J128" i="1"/>
  <c r="K128" s="1"/>
  <c r="M128" s="1"/>
  <c r="J119"/>
  <c r="K119" s="1"/>
  <c r="M119" s="1"/>
  <c r="J33"/>
  <c r="K33" s="1"/>
  <c r="M33" s="1"/>
  <c r="J300"/>
  <c r="K300" s="1"/>
  <c r="J291"/>
  <c r="K291" s="1"/>
  <c r="J214"/>
  <c r="K214" s="1"/>
  <c r="M214" s="1"/>
  <c r="J42"/>
  <c r="K42" s="1"/>
  <c r="M42" s="1"/>
  <c r="J205"/>
  <c r="K205" s="1"/>
  <c r="M205" s="1"/>
  <c r="J60"/>
  <c r="K60" s="1"/>
  <c r="M60" s="1"/>
  <c r="J187"/>
  <c r="K187" s="1"/>
  <c r="J101"/>
  <c r="K101" s="1"/>
  <c r="I223" i="4"/>
  <c r="J223" s="1"/>
  <c r="L223" s="1"/>
  <c r="J232" i="1"/>
  <c r="K232" s="1"/>
  <c r="M232" s="1"/>
  <c r="J146"/>
  <c r="K146" s="1"/>
  <c r="M146" s="1"/>
  <c r="J318"/>
  <c r="K318" s="1"/>
  <c r="J24"/>
  <c r="K24" s="1"/>
  <c r="M24" s="1"/>
  <c r="J51"/>
  <c r="K51" s="1"/>
  <c r="J69"/>
  <c r="K69" s="1"/>
  <c r="M69" s="1"/>
  <c r="J78"/>
  <c r="K78" s="1"/>
  <c r="J87"/>
  <c r="K87" s="1"/>
  <c r="J110"/>
  <c r="K110" s="1"/>
  <c r="M110" s="1"/>
  <c r="J137"/>
  <c r="K137" s="1"/>
  <c r="M137" s="1"/>
  <c r="J155"/>
  <c r="K155" s="1"/>
  <c r="M155" s="1"/>
  <c r="J196"/>
  <c r="K196" s="1"/>
  <c r="M196" s="1"/>
  <c r="J164"/>
  <c r="K164" s="1"/>
  <c r="M164" s="1"/>
  <c r="J173"/>
  <c r="K173" s="1"/>
  <c r="M173" s="1"/>
  <c r="J223"/>
  <c r="K223" s="1"/>
  <c r="M223" s="1"/>
  <c r="J241"/>
  <c r="K241" s="1"/>
  <c r="M241" s="1"/>
  <c r="J250"/>
  <c r="K250" s="1"/>
  <c r="M250" s="1"/>
  <c r="J345"/>
  <c r="K345" s="1"/>
  <c r="M345" s="1"/>
  <c r="J336"/>
  <c r="K336" s="1"/>
  <c r="M336" s="1"/>
  <c r="J327"/>
  <c r="K327" s="1"/>
  <c r="J282"/>
  <c r="K282" s="1"/>
  <c r="J201" i="4"/>
  <c r="L201" s="1"/>
  <c r="I26" i="6"/>
  <c r="K26" s="1"/>
  <c r="J343" i="1"/>
  <c r="I37" i="4"/>
  <c r="M91" i="7"/>
  <c r="J334" i="1"/>
  <c r="I279" i="4"/>
  <c r="I280"/>
  <c r="M117" i="7"/>
  <c r="M147"/>
  <c r="M129"/>
  <c r="M123"/>
  <c r="M111"/>
  <c r="M105"/>
  <c r="I157"/>
  <c r="I146"/>
  <c r="K146" s="1"/>
  <c r="L146" s="1"/>
  <c r="M141"/>
  <c r="M135"/>
  <c r="I140"/>
  <c r="K140" s="1"/>
  <c r="L140" s="1"/>
  <c r="M81"/>
  <c r="M96"/>
  <c r="M76"/>
  <c r="M86"/>
  <c r="M71"/>
  <c r="M66"/>
  <c r="I17"/>
  <c r="M17"/>
  <c r="M56"/>
  <c r="M61"/>
  <c r="I41"/>
  <c r="K41" s="1"/>
  <c r="L41" s="1"/>
  <c r="I51"/>
  <c r="K51" s="1"/>
  <c r="L51" s="1"/>
  <c r="I46"/>
  <c r="K46" s="1"/>
  <c r="L46" s="1"/>
  <c r="I36"/>
  <c r="K36" s="1"/>
  <c r="L36" s="1"/>
  <c r="I31"/>
  <c r="K31" s="1"/>
  <c r="L31" s="1"/>
  <c r="I26"/>
  <c r="K26" s="1"/>
  <c r="L26" s="1"/>
  <c r="I16"/>
  <c r="K16" s="1"/>
  <c r="L16" s="1"/>
  <c r="J221" i="1"/>
  <c r="J298"/>
  <c r="J325"/>
  <c r="J316"/>
  <c r="J126"/>
  <c r="J171"/>
  <c r="J289"/>
  <c r="J49"/>
  <c r="J248"/>
  <c r="J280"/>
  <c r="J230"/>
  <c r="J22"/>
  <c r="J67"/>
  <c r="J153"/>
  <c r="J117"/>
  <c r="J257"/>
  <c r="J259"/>
  <c r="M259" s="1"/>
  <c r="J31"/>
  <c r="J144"/>
  <c r="J194"/>
  <c r="J212"/>
  <c r="J239"/>
  <c r="J203"/>
  <c r="J185"/>
  <c r="J99"/>
  <c r="J135"/>
  <c r="J108"/>
  <c r="J162"/>
  <c r="J85"/>
  <c r="J76"/>
  <c r="J58"/>
  <c r="J40"/>
  <c r="I170" i="6"/>
  <c r="I171"/>
  <c r="I158"/>
  <c r="I159"/>
  <c r="K159" s="1"/>
  <c r="I152"/>
  <c r="I153"/>
  <c r="K153" s="1"/>
  <c r="I165"/>
  <c r="K165" s="1"/>
  <c r="I164"/>
  <c r="I131"/>
  <c r="K131" s="1"/>
  <c r="I130"/>
  <c r="I125"/>
  <c r="K125" s="1"/>
  <c r="I124"/>
  <c r="I136"/>
  <c r="I137"/>
  <c r="K137" s="1"/>
  <c r="I148"/>
  <c r="K148" s="1"/>
  <c r="I147"/>
  <c r="I142"/>
  <c r="K142" s="1"/>
  <c r="I141"/>
  <c r="I104"/>
  <c r="K104" s="1"/>
  <c r="I103"/>
  <c r="I97"/>
  <c r="I98"/>
  <c r="K98" s="1"/>
  <c r="I87"/>
  <c r="K87" s="1"/>
  <c r="I86"/>
  <c r="I81"/>
  <c r="K81" s="1"/>
  <c r="I80"/>
  <c r="I75"/>
  <c r="I76"/>
  <c r="K76" s="1"/>
  <c r="I64"/>
  <c r="K64" s="1"/>
  <c r="I63"/>
  <c r="I91"/>
  <c r="I92"/>
  <c r="K92" s="1"/>
  <c r="I109"/>
  <c r="I110"/>
  <c r="K110" s="1"/>
  <c r="I70"/>
  <c r="K70" s="1"/>
  <c r="I69"/>
  <c r="I54"/>
  <c r="I55"/>
  <c r="K55" s="1"/>
  <c r="I48"/>
  <c r="I49"/>
  <c r="K49" s="1"/>
  <c r="I42"/>
  <c r="I43"/>
  <c r="K43" s="1"/>
  <c r="I37"/>
  <c r="K37" s="1"/>
  <c r="I36"/>
  <c r="I31"/>
  <c r="I32"/>
  <c r="K32" s="1"/>
  <c r="I25"/>
  <c r="I20"/>
  <c r="I21"/>
  <c r="K21" s="1"/>
  <c r="I15"/>
  <c r="I14"/>
  <c r="F438" i="5"/>
  <c r="G438" s="1"/>
  <c r="I438" s="1"/>
  <c r="G440"/>
  <c r="I440" s="1"/>
  <c r="G437"/>
  <c r="I437" s="1"/>
  <c r="G439"/>
  <c r="I439" s="1"/>
  <c r="G441"/>
  <c r="I441" s="1"/>
  <c r="F442"/>
  <c r="G442" s="1"/>
  <c r="I442" s="1"/>
  <c r="G443"/>
  <c r="I443" s="1"/>
  <c r="F444"/>
  <c r="G444" s="1"/>
  <c r="I444" s="1"/>
  <c r="G445"/>
  <c r="I445" s="1"/>
  <c r="F446"/>
  <c r="G446" s="1"/>
  <c r="I446" s="1"/>
  <c r="G447"/>
  <c r="I447" s="1"/>
  <c r="F448"/>
  <c r="G448" s="1"/>
  <c r="I448" s="1"/>
  <c r="I121"/>
  <c r="I122"/>
  <c r="I123"/>
  <c r="I124"/>
  <c r="I125"/>
  <c r="I126"/>
  <c r="I131"/>
  <c r="I132"/>
  <c r="I133"/>
  <c r="I134"/>
  <c r="I135"/>
  <c r="G17"/>
  <c r="I17" s="1"/>
  <c r="G47"/>
  <c r="I47" s="1"/>
  <c r="G18"/>
  <c r="I18" s="1"/>
  <c r="G19"/>
  <c r="I19" s="1"/>
  <c r="F37"/>
  <c r="G37" s="1"/>
  <c r="I37" s="1"/>
  <c r="F41"/>
  <c r="G41" s="1"/>
  <c r="I41" s="1"/>
  <c r="G43"/>
  <c r="I43" s="1"/>
  <c r="G49"/>
  <c r="I49" s="1"/>
  <c r="F53"/>
  <c r="G53" s="1"/>
  <c r="I53" s="1"/>
  <c r="I87"/>
  <c r="I88"/>
  <c r="I89"/>
  <c r="I90"/>
  <c r="I91"/>
  <c r="I95"/>
  <c r="I96"/>
  <c r="I97"/>
  <c r="I98"/>
  <c r="I99"/>
  <c r="I100"/>
  <c r="I101"/>
  <c r="F39"/>
  <c r="G39" s="1"/>
  <c r="I39" s="1"/>
  <c r="G40"/>
  <c r="I40" s="1"/>
  <c r="G42"/>
  <c r="I42" s="1"/>
  <c r="G46"/>
  <c r="I46" s="1"/>
  <c r="G48"/>
  <c r="I48" s="1"/>
  <c r="G50"/>
  <c r="I50" s="1"/>
  <c r="G51"/>
  <c r="I51" s="1"/>
  <c r="F23"/>
  <c r="G23" s="1"/>
  <c r="I23" s="1"/>
  <c r="G24"/>
  <c r="I24" s="1"/>
  <c r="F25"/>
  <c r="G25" s="1"/>
  <c r="I25" s="1"/>
  <c r="G26"/>
  <c r="I26" s="1"/>
  <c r="F27"/>
  <c r="G27" s="1"/>
  <c r="I27" s="1"/>
  <c r="G28"/>
  <c r="I28" s="1"/>
  <c r="F32"/>
  <c r="G32" s="1"/>
  <c r="I32" s="1"/>
  <c r="G33"/>
  <c r="I33" s="1"/>
  <c r="F34"/>
  <c r="G34" s="1"/>
  <c r="I34" s="1"/>
  <c r="G35"/>
  <c r="I35" s="1"/>
  <c r="G36"/>
  <c r="I36" s="1"/>
  <c r="G16"/>
  <c r="I16" s="1"/>
  <c r="I177" i="4"/>
  <c r="G357"/>
  <c r="I357" s="1"/>
  <c r="I188"/>
  <c r="G355"/>
  <c r="I355" s="1"/>
  <c r="G356"/>
  <c r="I356" s="1"/>
  <c r="G358"/>
  <c r="I358" s="1"/>
  <c r="I360"/>
  <c r="I361"/>
  <c r="I362"/>
  <c r="I363"/>
  <c r="I365"/>
  <c r="I366"/>
  <c r="I367"/>
  <c r="I368"/>
  <c r="I370"/>
  <c r="I371"/>
  <c r="I372"/>
  <c r="I373"/>
  <c r="I375"/>
  <c r="I376"/>
  <c r="I377"/>
  <c r="I378"/>
  <c r="I380"/>
  <c r="I381"/>
  <c r="I382"/>
  <c r="I383"/>
  <c r="I386"/>
  <c r="I387"/>
  <c r="I388"/>
  <c r="I389"/>
  <c r="I392"/>
  <c r="I393"/>
  <c r="I394"/>
  <c r="I395"/>
  <c r="I397"/>
  <c r="I398"/>
  <c r="I399"/>
  <c r="I400"/>
  <c r="I340"/>
  <c r="I325"/>
  <c r="I312"/>
  <c r="I294"/>
  <c r="I297"/>
  <c r="I234"/>
  <c r="I235"/>
  <c r="I236"/>
  <c r="I237"/>
  <c r="I265"/>
  <c r="I266"/>
  <c r="I267"/>
  <c r="I282"/>
  <c r="I295"/>
  <c r="I309"/>
  <c r="I310"/>
  <c r="I326"/>
  <c r="I328"/>
  <c r="I341"/>
  <c r="I343"/>
  <c r="I191"/>
  <c r="I154"/>
  <c r="I25"/>
  <c r="I166"/>
  <c r="I167"/>
  <c r="I168"/>
  <c r="I171"/>
  <c r="I172"/>
  <c r="I173"/>
  <c r="I176"/>
  <c r="I186"/>
  <c r="I193"/>
  <c r="I169"/>
  <c r="I174"/>
  <c r="I179"/>
  <c r="I187"/>
  <c r="I189"/>
  <c r="I192"/>
  <c r="I194"/>
  <c r="I152"/>
  <c r="I156" s="1"/>
  <c r="I111"/>
  <c r="I112"/>
  <c r="I113"/>
  <c r="I114"/>
  <c r="I116"/>
  <c r="I117"/>
  <c r="I118"/>
  <c r="I119"/>
  <c r="I153"/>
  <c r="I155"/>
  <c r="I60"/>
  <c r="I61"/>
  <c r="I62"/>
  <c r="I63"/>
  <c r="I65"/>
  <c r="I66"/>
  <c r="I67"/>
  <c r="I68"/>
  <c r="I50"/>
  <c r="I51"/>
  <c r="I53"/>
  <c r="I45"/>
  <c r="I46"/>
  <c r="I47"/>
  <c r="I48"/>
  <c r="I39"/>
  <c r="I40"/>
  <c r="I41"/>
  <c r="I42"/>
  <c r="I36"/>
  <c r="I35"/>
  <c r="I26"/>
  <c r="I34"/>
  <c r="I29"/>
  <c r="I30"/>
  <c r="I32"/>
  <c r="I27"/>
  <c r="I19"/>
  <c r="I20"/>
  <c r="I22"/>
  <c r="I14"/>
  <c r="I15"/>
  <c r="I16"/>
  <c r="I17"/>
  <c r="K370" i="1" l="1"/>
  <c r="M370" s="1"/>
  <c r="M187"/>
  <c r="M101"/>
  <c r="M78"/>
  <c r="K371"/>
  <c r="M371" s="1"/>
  <c r="I170" i="4"/>
  <c r="J170" s="1"/>
  <c r="L170" s="1"/>
  <c r="I175"/>
  <c r="J175" s="1"/>
  <c r="L175" s="1"/>
  <c r="I313"/>
  <c r="J313" s="1"/>
  <c r="L313" s="1"/>
  <c r="I298"/>
  <c r="J298" s="1"/>
  <c r="L298" s="1"/>
  <c r="I401"/>
  <c r="J401" s="1"/>
  <c r="I396"/>
  <c r="J396" s="1"/>
  <c r="I390"/>
  <c r="J390" s="1"/>
  <c r="I384"/>
  <c r="J384" s="1"/>
  <c r="I379"/>
  <c r="J379" s="1"/>
  <c r="I374"/>
  <c r="J374" s="1"/>
  <c r="I369"/>
  <c r="J369" s="1"/>
  <c r="I364"/>
  <c r="J364" s="1"/>
  <c r="I359"/>
  <c r="J359" s="1"/>
  <c r="I195"/>
  <c r="J195" s="1"/>
  <c r="L195" s="1"/>
  <c r="I190"/>
  <c r="J190" s="1"/>
  <c r="L190" s="1"/>
  <c r="I180"/>
  <c r="J180" s="1"/>
  <c r="L180" s="1"/>
  <c r="I344"/>
  <c r="J344" s="1"/>
  <c r="L344" s="1"/>
  <c r="I329"/>
  <c r="J329" s="1"/>
  <c r="L329" s="1"/>
  <c r="I283"/>
  <c r="J283" s="1"/>
  <c r="L283" s="1"/>
  <c r="I268"/>
  <c r="J268" s="1"/>
  <c r="L268" s="1"/>
  <c r="I252"/>
  <c r="I253" s="1"/>
  <c r="J253" s="1"/>
  <c r="L253" s="1"/>
  <c r="I238"/>
  <c r="J238" s="1"/>
  <c r="L238" s="1"/>
  <c r="J317" i="1"/>
  <c r="K317" s="1"/>
  <c r="M317" s="1"/>
  <c r="K177" i="7"/>
  <c r="J195" i="1"/>
  <c r="K195" s="1"/>
  <c r="M195" s="1"/>
  <c r="J344"/>
  <c r="K344" s="1"/>
  <c r="M344" s="1"/>
  <c r="J145"/>
  <c r="K145" s="1"/>
  <c r="M145" s="1"/>
  <c r="J23"/>
  <c r="K23" s="1"/>
  <c r="M23" s="1"/>
  <c r="K368"/>
  <c r="M368" s="1"/>
  <c r="K369"/>
  <c r="M369" s="1"/>
  <c r="K367"/>
  <c r="M367" s="1"/>
  <c r="I111" i="6"/>
  <c r="K111" s="1"/>
  <c r="I38" i="5"/>
  <c r="K38" s="1"/>
  <c r="L38" s="1"/>
  <c r="I54" i="4"/>
  <c r="J54" s="1"/>
  <c r="I49"/>
  <c r="I43"/>
  <c r="J43" s="1"/>
  <c r="L43" s="1"/>
  <c r="M43" s="1"/>
  <c r="I38"/>
  <c r="J38" s="1"/>
  <c r="L38" s="1"/>
  <c r="M38" s="1"/>
  <c r="I33"/>
  <c r="I28"/>
  <c r="L125"/>
  <c r="M125" s="1"/>
  <c r="I23"/>
  <c r="J23" s="1"/>
  <c r="I120"/>
  <c r="J120" s="1"/>
  <c r="L120" s="1"/>
  <c r="M120" s="1"/>
  <c r="I69"/>
  <c r="I18"/>
  <c r="J18" s="1"/>
  <c r="I115"/>
  <c r="I64"/>
  <c r="J64" s="1"/>
  <c r="L64" s="1"/>
  <c r="M64" s="1"/>
  <c r="M87" i="1"/>
  <c r="K372"/>
  <c r="M372" s="1"/>
  <c r="M51"/>
  <c r="K366"/>
  <c r="M366" s="1"/>
  <c r="K180" i="7"/>
  <c r="L180" s="1"/>
  <c r="I154" i="6"/>
  <c r="K154" s="1"/>
  <c r="I160"/>
  <c r="K160" s="1"/>
  <c r="I99"/>
  <c r="K99" s="1"/>
  <c r="I56"/>
  <c r="K56" s="1"/>
  <c r="J32" i="1"/>
  <c r="K32" s="1"/>
  <c r="M32" s="1"/>
  <c r="J335"/>
  <c r="K335" s="1"/>
  <c r="M335" s="1"/>
  <c r="M282"/>
  <c r="M300"/>
  <c r="M327"/>
  <c r="M291"/>
  <c r="M318"/>
  <c r="I110" i="7"/>
  <c r="K110" s="1"/>
  <c r="I128"/>
  <c r="I21"/>
  <c r="K21" s="1"/>
  <c r="J68" i="1"/>
  <c r="K68" s="1"/>
  <c r="M68" s="1"/>
  <c r="J231"/>
  <c r="K231" s="1"/>
  <c r="M231" s="1"/>
  <c r="J222"/>
  <c r="K222" s="1"/>
  <c r="M222" s="1"/>
  <c r="J213"/>
  <c r="K213" s="1"/>
  <c r="M213" s="1"/>
  <c r="J249"/>
  <c r="K249" s="1"/>
  <c r="M249" s="1"/>
  <c r="J118"/>
  <c r="K118" s="1"/>
  <c r="M118" s="1"/>
  <c r="J326"/>
  <c r="K326" s="1"/>
  <c r="M326" s="1"/>
  <c r="J86"/>
  <c r="K86" s="1"/>
  <c r="M86" s="1"/>
  <c r="J290"/>
  <c r="K290" s="1"/>
  <c r="M290" s="1"/>
  <c r="J127"/>
  <c r="K127" s="1"/>
  <c r="M127" s="1"/>
  <c r="J172"/>
  <c r="K172" s="1"/>
  <c r="M172" s="1"/>
  <c r="J299"/>
  <c r="K299" s="1"/>
  <c r="M299" s="1"/>
  <c r="J258"/>
  <c r="M258" s="1"/>
  <c r="J281"/>
  <c r="K281" s="1"/>
  <c r="M281" s="1"/>
  <c r="J100"/>
  <c r="K100" s="1"/>
  <c r="M100" s="1"/>
  <c r="J154"/>
  <c r="K154" s="1"/>
  <c r="M154" s="1"/>
  <c r="J186"/>
  <c r="K186" s="1"/>
  <c r="M186" s="1"/>
  <c r="J240"/>
  <c r="K240" s="1"/>
  <c r="M240" s="1"/>
  <c r="J204"/>
  <c r="K204" s="1"/>
  <c r="M204" s="1"/>
  <c r="J163"/>
  <c r="K163" s="1"/>
  <c r="M163" s="1"/>
  <c r="J109"/>
  <c r="K109" s="1"/>
  <c r="M109" s="1"/>
  <c r="J136"/>
  <c r="K136" s="1"/>
  <c r="M136" s="1"/>
  <c r="J77"/>
  <c r="K77" s="1"/>
  <c r="M77" s="1"/>
  <c r="J59"/>
  <c r="K59" s="1"/>
  <c r="M59" s="1"/>
  <c r="J50"/>
  <c r="K50" s="1"/>
  <c r="M50" s="1"/>
  <c r="J41"/>
  <c r="K41" s="1"/>
  <c r="M41" s="1"/>
  <c r="I172" i="6"/>
  <c r="I27"/>
  <c r="K27" s="1"/>
  <c r="I38"/>
  <c r="K38" s="1"/>
  <c r="I71"/>
  <c r="K71" s="1"/>
  <c r="I65"/>
  <c r="K65" s="1"/>
  <c r="I82"/>
  <c r="K82" s="1"/>
  <c r="I105"/>
  <c r="K105" s="1"/>
  <c r="I33"/>
  <c r="K33" s="1"/>
  <c r="I138"/>
  <c r="K138" s="1"/>
  <c r="I143"/>
  <c r="K143" s="1"/>
  <c r="I149"/>
  <c r="K149" s="1"/>
  <c r="I126"/>
  <c r="K126" s="1"/>
  <c r="I132"/>
  <c r="K132" s="1"/>
  <c r="I166"/>
  <c r="K166" s="1"/>
  <c r="I88"/>
  <c r="K88" s="1"/>
  <c r="I93"/>
  <c r="K93" s="1"/>
  <c r="I77"/>
  <c r="K77" s="1"/>
  <c r="I50"/>
  <c r="K50" s="1"/>
  <c r="I44"/>
  <c r="K44" s="1"/>
  <c r="I22"/>
  <c r="K22" s="1"/>
  <c r="K15"/>
  <c r="I16"/>
  <c r="K16" s="1"/>
  <c r="I449" i="5"/>
  <c r="I136"/>
  <c r="K136" s="1"/>
  <c r="L136" s="1"/>
  <c r="I102"/>
  <c r="K102" s="1"/>
  <c r="L102" s="1"/>
  <c r="K86"/>
  <c r="L86" s="1"/>
  <c r="I70"/>
  <c r="K70" s="1"/>
  <c r="L70" s="1"/>
  <c r="I54"/>
  <c r="K54" s="1"/>
  <c r="L54" s="1"/>
  <c r="L156" i="4"/>
  <c r="K216" i="6" l="1"/>
  <c r="L216" s="1"/>
  <c r="L115" i="4"/>
  <c r="M115" s="1"/>
  <c r="J115"/>
  <c r="K128" i="7"/>
  <c r="L128" s="1"/>
  <c r="K174"/>
  <c r="L174" s="1"/>
  <c r="L21"/>
  <c r="L110"/>
  <c r="K365" i="1"/>
  <c r="M365" s="1"/>
  <c r="L54" i="4"/>
  <c r="M54" s="1"/>
  <c r="L411"/>
  <c r="J408"/>
  <c r="L408" s="1"/>
  <c r="J409"/>
  <c r="L409" s="1"/>
  <c r="K214" i="6"/>
  <c r="L214" s="1"/>
  <c r="K179" i="7"/>
  <c r="L179" s="1"/>
  <c r="K178"/>
  <c r="L178" s="1"/>
  <c r="K175"/>
  <c r="L175" s="1"/>
  <c r="L177"/>
  <c r="K173"/>
  <c r="L173" s="1"/>
  <c r="K217" i="6"/>
  <c r="L217" s="1"/>
  <c r="K212"/>
  <c r="L212" s="1"/>
  <c r="L359" i="4"/>
  <c r="K176" i="7"/>
  <c r="L176" s="1"/>
  <c r="K211" i="6"/>
  <c r="L211" s="1"/>
  <c r="K215"/>
  <c r="L215" s="1"/>
  <c r="K210"/>
  <c r="L210" s="1"/>
  <c r="K213"/>
  <c r="K457" i="5"/>
  <c r="L457" s="1"/>
  <c r="K452"/>
  <c r="L452" s="1"/>
  <c r="K458"/>
  <c r="L458" s="1"/>
  <c r="J49" i="4"/>
  <c r="J410" s="1"/>
  <c r="J28"/>
  <c r="L28" s="1"/>
  <c r="M28" s="1"/>
  <c r="K456" i="5"/>
  <c r="L456" s="1"/>
  <c r="K453"/>
  <c r="L453" s="1"/>
  <c r="K459"/>
  <c r="L459" s="1"/>
  <c r="K455"/>
  <c r="L455" s="1"/>
  <c r="K454"/>
  <c r="L454" s="1"/>
  <c r="L364" i="4"/>
  <c r="L374"/>
  <c r="L384"/>
  <c r="L396"/>
  <c r="L369"/>
  <c r="L379"/>
  <c r="L390"/>
  <c r="L401"/>
  <c r="L74"/>
  <c r="M74" s="1"/>
  <c r="J69"/>
  <c r="L69" s="1"/>
  <c r="M69" s="1"/>
  <c r="J33"/>
  <c r="L33" s="1"/>
  <c r="M33" s="1"/>
  <c r="L23"/>
  <c r="M23" s="1"/>
  <c r="L18"/>
  <c r="M18" s="1"/>
  <c r="J404" l="1"/>
  <c r="L404" s="1"/>
  <c r="J407"/>
  <c r="L407" s="1"/>
  <c r="J406"/>
  <c r="L406" s="1"/>
  <c r="L49"/>
  <c r="M49" s="1"/>
  <c r="L410"/>
  <c r="J405"/>
  <c r="L405" s="1"/>
  <c r="L213" i="6" l="1"/>
  <c r="C13" i="1" l="1"/>
  <c r="G20" i="5" l="1"/>
  <c r="I20" s="1"/>
  <c r="G21"/>
  <c r="I21" s="1"/>
  <c r="G12"/>
  <c r="I12" s="1"/>
  <c r="G13"/>
  <c r="I13" s="1"/>
  <c r="G14"/>
  <c r="I14" s="1"/>
  <c r="G7"/>
  <c r="I7" s="1"/>
  <c r="G8" i="7" l="1"/>
  <c r="I8" s="1"/>
  <c r="G7"/>
  <c r="I7" s="1"/>
  <c r="G9" i="1"/>
  <c r="H9" s="1"/>
  <c r="G10"/>
  <c r="H10" s="1"/>
  <c r="I11" i="7" l="1"/>
  <c r="K11" s="1"/>
  <c r="J12" i="1"/>
  <c r="J10"/>
  <c r="J9"/>
  <c r="K172" i="7" l="1"/>
  <c r="L172" s="1"/>
  <c r="L11"/>
  <c r="I6" i="6"/>
  <c r="G15" i="5"/>
  <c r="I15" s="1"/>
  <c r="G11"/>
  <c r="I11" s="1"/>
  <c r="G9"/>
  <c r="I9" s="1"/>
  <c r="G10"/>
  <c r="G8"/>
  <c r="I8" s="1"/>
  <c r="I10" i="4"/>
  <c r="I9"/>
  <c r="I12"/>
  <c r="I9" i="6" l="1"/>
  <c r="K9" s="1"/>
  <c r="I8"/>
  <c r="I13" i="4"/>
  <c r="J13" s="1"/>
  <c r="J403" s="1"/>
  <c r="I10" i="5"/>
  <c r="I10" i="6" l="1"/>
  <c r="K10" s="1"/>
  <c r="K209" s="1"/>
  <c r="L403" i="4"/>
  <c r="I22" i="5"/>
  <c r="K22" s="1"/>
  <c r="G6" i="1"/>
  <c r="H6" s="1"/>
  <c r="K451" i="5" l="1"/>
  <c r="L451" s="1"/>
  <c r="L22"/>
  <c r="L209" i="6"/>
  <c r="J6" i="1"/>
  <c r="G8"/>
  <c r="H8" s="1"/>
  <c r="G7"/>
  <c r="H7" s="1"/>
  <c r="J8" l="1"/>
  <c r="J7"/>
  <c r="J15" l="1"/>
  <c r="K15" s="1"/>
  <c r="K364" s="1"/>
  <c r="J13"/>
  <c r="L13" i="4"/>
  <c r="M13" s="1"/>
  <c r="M15" i="1" l="1"/>
  <c r="J14"/>
  <c r="K14" s="1"/>
  <c r="M14" s="1"/>
  <c r="M364" l="1"/>
</calcChain>
</file>

<file path=xl/sharedStrings.xml><?xml version="1.0" encoding="utf-8"?>
<sst xmlns="http://schemas.openxmlformats.org/spreadsheetml/2006/main" count="2735" uniqueCount="125">
  <si>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</si>
  <si>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</si>
  <si>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</si>
  <si>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</si>
  <si>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</si>
  <si>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</si>
  <si>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</si>
  <si>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</si>
  <si>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</si>
  <si>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</si>
  <si>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</si>
  <si>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</si>
  <si>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</si>
  <si>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</si>
  <si>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</si>
  <si>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</si>
  <si>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</si>
  <si>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</si>
  <si>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</si>
  <si>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</si>
  <si>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</si>
  <si>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</si>
  <si>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</si>
  <si>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</si>
  <si>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</si>
  <si>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</si>
  <si>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</si>
  <si>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</si>
  <si>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</si>
  <si>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</si>
  <si>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</si>
  <si>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</si>
  <si>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</si>
  <si>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</si>
  <si>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</si>
  <si>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</si>
  <si>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</si>
  <si>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</si>
  <si>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</si>
  <si>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</si>
  <si>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</si>
  <si>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</si>
  <si>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</si>
  <si>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</si>
  <si>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</si>
  <si>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</si>
  <si>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</si>
  <si>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</si>
  <si>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Прочие затраты</t>
  </si>
  <si>
    <t>Норма затрат на 1 ед. услуги</t>
  </si>
  <si>
    <t>Чистящие, моющие, дезинфицирующие средства, средства гигиены</t>
  </si>
  <si>
    <t>Тариф (цена 1 кв.м.), руб.</t>
  </si>
  <si>
    <t>Хозтовары</t>
  </si>
  <si>
    <t>6=гр.5/кол.воспит.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</si>
  <si>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</si>
  <si>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</si>
  <si>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</si>
  <si>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муниципальный бюджет</t>
  </si>
  <si>
    <t>Госпошлина</t>
  </si>
  <si>
    <t>Налог за негативное воздейств.на окр.среду</t>
  </si>
  <si>
    <t>краевой бюджет</t>
  </si>
  <si>
    <t>Обучение персонала</t>
  </si>
  <si>
    <t>Медицинский осмотр</t>
  </si>
  <si>
    <t>Обслуживание "Стрелец-Мониторинг"</t>
  </si>
  <si>
    <t>Школа № 1</t>
  </si>
  <si>
    <t>Время использования имущ.комплекса на 1 учащ.</t>
  </si>
  <si>
    <t>учащихся</t>
  </si>
  <si>
    <t>Общее полезное время использования: 1) 247*8*(182/1974) =1976*0,0922=182,18</t>
  </si>
  <si>
    <t>Время использования имущественного комплекса на 1 восп.: 1)182,18/182= 1,00101</t>
  </si>
  <si>
    <t>Школа № 2</t>
  </si>
  <si>
    <t>Школа № 3</t>
  </si>
  <si>
    <t>Школа № 7</t>
  </si>
  <si>
    <t>Школа № 9</t>
  </si>
  <si>
    <t>Школа № 14</t>
  </si>
  <si>
    <t>Школа № 8</t>
  </si>
  <si>
    <t>Школа № 4</t>
  </si>
  <si>
    <t>Школа № 11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</si>
  <si>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</si>
  <si>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</si>
  <si>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</si>
  <si>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"Реализация дополнительных общеобразовательных общеразвивающих программ"</t>
  </si>
  <si>
    <t>норма на 1</t>
  </si>
  <si>
    <t>УСЛУГА "Предоставление питания"</t>
  </si>
  <si>
    <t>УСЛУГА "Присмотр и уход"</t>
  </si>
  <si>
    <t>Обслуживание видеонаблюдения</t>
  </si>
  <si>
    <t>ремонт оборудования</t>
  </si>
  <si>
    <t>обслуживание ГЛОНАСС</t>
  </si>
  <si>
    <t>автострахование</t>
  </si>
  <si>
    <t>Техобслуживание тр.ср.</t>
  </si>
  <si>
    <t>ГСМ</t>
  </si>
  <si>
    <t>гардеробщик</t>
  </si>
  <si>
    <t>водитель</t>
  </si>
  <si>
    <t>УСЛУГА "Реализация основных общеобразовательных программ среднего образования"</t>
  </si>
  <si>
    <t xml:space="preserve">Затраты на прочие общехозяйственные нужды </t>
  </si>
  <si>
    <t>военно-полевые сборы</t>
  </si>
  <si>
    <t>мун.бюджет</t>
  </si>
  <si>
    <t>Лицей № 8</t>
  </si>
  <si>
    <t>человеко-часы</t>
  </si>
  <si>
    <t>Очистка снега с крыши</t>
  </si>
  <si>
    <t>РАБОТА "Организация и осуществление транспортного обслуживания учащихся образовательных организаций</t>
  </si>
  <si>
    <t xml:space="preserve">Время использования имущ.комплекса </t>
  </si>
  <si>
    <t>Тех.осмотр тр.ср.</t>
  </si>
  <si>
    <t>Запасные части</t>
  </si>
  <si>
    <t>Показатель объема, рейсы</t>
  </si>
  <si>
    <t>Показатель объема, человеко-часы</t>
  </si>
  <si>
    <t>Медицинское освидетельствование</t>
  </si>
  <si>
    <t>Тариф (цена ), руб.</t>
  </si>
  <si>
    <t>Обучение по безопасному вождению, техминимум</t>
  </si>
  <si>
    <t>вахтер</t>
  </si>
  <si>
    <t>рабочий по компл.обсл.зд.</t>
  </si>
  <si>
    <t>начальное</t>
  </si>
  <si>
    <t>основное</t>
  </si>
  <si>
    <t>среднее</t>
  </si>
  <si>
    <t>возмещение расх. (мусор, охрана, комм.)</t>
  </si>
  <si>
    <t>Огнезащитная обработка</t>
  </si>
  <si>
    <t>Обследование на заклещевленность</t>
  </si>
  <si>
    <t>специалист по БДД</t>
  </si>
  <si>
    <t>оператор теплоого пункта</t>
  </si>
  <si>
    <t>оператор теплового пункта</t>
  </si>
  <si>
    <t>оператор теплоаого пункта</t>
  </si>
  <si>
    <t>оператор тепл.пункта</t>
  </si>
  <si>
    <t>Хозтовары, стоительные материалы</t>
  </si>
  <si>
    <t>Лабораторные исследования</t>
  </si>
  <si>
    <t>Поверка приборов учета</t>
  </si>
  <si>
    <t>Охрана объекта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</si>
</sst>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000"/>
    <numFmt numFmtId="167" formatCode="0.0"/>
    <numFmt numFmtId="168" formatCode="#,##0.00_р_.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1" fillId="0" borderId="5" xfId="0" applyNumberFormat="1" applyFont="1" applyBorder="1"/>
    <xf numFmtId="165" fontId="1" fillId="0" borderId="1" xfId="0" applyNumberFormat="1" applyFont="1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15" xfId="0" applyNumberFormat="1" applyFont="1" applyBorder="1"/>
    <xf numFmtId="165" fontId="1" fillId="0" borderId="16" xfId="0" applyNumberFormat="1" applyFont="1" applyBorder="1"/>
    <xf numFmtId="0" fontId="1" fillId="0" borderId="17" xfId="0" applyFont="1" applyBorder="1"/>
    <xf numFmtId="1" fontId="1" fillId="0" borderId="3" xfId="0" applyNumberFormat="1" applyFont="1" applyBorder="1"/>
    <xf numFmtId="0" fontId="8" fillId="0" borderId="0" xfId="0" applyFont="1"/>
    <xf numFmtId="0" fontId="1" fillId="0" borderId="2" xfId="0" applyFont="1" applyBorder="1" applyAlignment="1">
      <alignment wrapText="1"/>
    </xf>
    <xf numFmtId="1" fontId="0" fillId="0" borderId="18" xfId="0" applyNumberFormat="1" applyBorder="1" applyAlignment="1">
      <alignment horizontal="center"/>
    </xf>
    <xf numFmtId="167" fontId="1" fillId="0" borderId="0" xfId="0" applyNumberFormat="1" applyFont="1"/>
    <xf numFmtId="0" fontId="0" fillId="0" borderId="19" xfId="0" applyBorder="1"/>
    <xf numFmtId="0" fontId="1" fillId="0" borderId="18" xfId="0" applyFont="1" applyBorder="1"/>
    <xf numFmtId="2" fontId="2" fillId="0" borderId="18" xfId="0" applyNumberFormat="1" applyFont="1" applyBorder="1"/>
    <xf numFmtId="0" fontId="9" fillId="0" borderId="0" xfId="0" applyFont="1"/>
    <xf numFmtId="2" fontId="0" fillId="0" borderId="18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0" fontId="10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" fillId="0" borderId="23" xfId="0" applyFont="1" applyBorder="1"/>
    <xf numFmtId="1" fontId="1" fillId="0" borderId="5" xfId="0" applyNumberFormat="1" applyFont="1" applyBorder="1"/>
    <xf numFmtId="165" fontId="0" fillId="0" borderId="0" xfId="0" applyNumberFormat="1" applyBorder="1"/>
    <xf numFmtId="0" fontId="1" fillId="0" borderId="25" xfId="0" applyFont="1" applyBorder="1"/>
    <xf numFmtId="1" fontId="0" fillId="0" borderId="25" xfId="0" applyNumberFormat="1" applyBorder="1" applyAlignment="1">
      <alignment horizontal="center"/>
    </xf>
    <xf numFmtId="2" fontId="2" fillId="0" borderId="25" xfId="0" applyNumberFormat="1" applyFont="1" applyBorder="1"/>
    <xf numFmtId="0" fontId="6" fillId="0" borderId="0" xfId="0" applyFont="1" applyAlignment="1">
      <alignment horizontal="left"/>
    </xf>
    <xf numFmtId="0" fontId="6" fillId="0" borderId="0" xfId="0" applyFont="1" applyAlignment="1"/>
    <xf numFmtId="0" fontId="12" fillId="0" borderId="0" xfId="0" applyFont="1" applyAlignment="1">
      <alignment horizontal="left"/>
    </xf>
    <xf numFmtId="164" fontId="1" fillId="0" borderId="0" xfId="0" applyNumberFormat="1" applyFont="1"/>
    <xf numFmtId="2" fontId="0" fillId="0" borderId="0" xfId="0" applyNumberFormat="1" applyBorder="1"/>
    <xf numFmtId="1" fontId="0" fillId="0" borderId="0" xfId="0" applyNumberFormat="1" applyBorder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1" fillId="0" borderId="15" xfId="0" applyFont="1" applyBorder="1"/>
    <xf numFmtId="166" fontId="1" fillId="0" borderId="0" xfId="0" applyNumberFormat="1" applyFont="1"/>
    <xf numFmtId="166" fontId="1" fillId="2" borderId="0" xfId="0" applyNumberFormat="1" applyFont="1" applyFill="1"/>
    <xf numFmtId="166" fontId="10" fillId="0" borderId="1" xfId="0" applyNumberFormat="1" applyFont="1" applyBorder="1" applyAlignment="1">
      <alignment horizontal="center" vertical="center" wrapText="1"/>
    </xf>
    <xf numFmtId="166" fontId="5" fillId="0" borderId="2" xfId="0" applyNumberFormat="1" applyFont="1" applyBorder="1" applyAlignment="1">
      <alignment horizontal="center"/>
    </xf>
    <xf numFmtId="164" fontId="0" fillId="0" borderId="3" xfId="0" applyNumberFormat="1" applyBorder="1"/>
    <xf numFmtId="166" fontId="2" fillId="0" borderId="0" xfId="0" applyNumberFormat="1" applyFont="1" applyBorder="1"/>
    <xf numFmtId="2" fontId="1" fillId="2" borderId="0" xfId="0" applyNumberFormat="1" applyFont="1" applyFill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1" xfId="0" applyNumberFormat="1" applyFont="1" applyBorder="1" applyAlignment="1">
      <alignment horizontal="center"/>
    </xf>
    <xf numFmtId="166" fontId="1" fillId="0" borderId="5" xfId="0" applyNumberFormat="1" applyFont="1" applyBorder="1" applyAlignment="1">
      <alignment horizontal="center" vertical="center" wrapText="1"/>
    </xf>
    <xf numFmtId="166" fontId="5" fillId="0" borderId="14" xfId="0" applyNumberFormat="1" applyFont="1" applyBorder="1" applyAlignment="1">
      <alignment horizontal="center"/>
    </xf>
    <xf numFmtId="166" fontId="10" fillId="0" borderId="5" xfId="0" applyNumberFormat="1" applyFont="1" applyBorder="1" applyAlignment="1">
      <alignment horizontal="center" vertical="center" wrapText="1"/>
    </xf>
    <xf numFmtId="0" fontId="1" fillId="3" borderId="5" xfId="0" applyFont="1" applyFill="1" applyBorder="1"/>
    <xf numFmtId="0" fontId="1" fillId="3" borderId="1" xfId="0" applyFont="1" applyFill="1" applyBorder="1"/>
    <xf numFmtId="2" fontId="1" fillId="3" borderId="1" xfId="0" applyNumberFormat="1" applyFont="1" applyFill="1" applyBorder="1"/>
    <xf numFmtId="0" fontId="1" fillId="3" borderId="10" xfId="0" applyFont="1" applyFill="1" applyBorder="1"/>
    <xf numFmtId="167" fontId="1" fillId="3" borderId="10" xfId="0" applyNumberFormat="1" applyFont="1" applyFill="1" applyBorder="1"/>
    <xf numFmtId="2" fontId="1" fillId="3" borderId="10" xfId="0" applyNumberFormat="1" applyFont="1" applyFill="1" applyBorder="1"/>
    <xf numFmtId="2" fontId="1" fillId="3" borderId="5" xfId="0" applyNumberFormat="1" applyFont="1" applyFill="1" applyBorder="1"/>
    <xf numFmtId="0" fontId="1" fillId="3" borderId="0" xfId="0" applyFont="1" applyFill="1"/>
    <xf numFmtId="2" fontId="1" fillId="3" borderId="0" xfId="0" applyNumberFormat="1" applyFont="1" applyFill="1"/>
    <xf numFmtId="2" fontId="0" fillId="3" borderId="5" xfId="0" applyNumberFormat="1" applyFill="1" applyBorder="1"/>
    <xf numFmtId="2" fontId="0" fillId="3" borderId="1" xfId="0" applyNumberFormat="1" applyFill="1" applyBorder="1"/>
    <xf numFmtId="165" fontId="1" fillId="0" borderId="6" xfId="0" applyNumberFormat="1" applyFont="1" applyBorder="1"/>
    <xf numFmtId="165" fontId="1" fillId="0" borderId="8" xfId="0" applyNumberFormat="1" applyFont="1" applyBorder="1"/>
    <xf numFmtId="165" fontId="2" fillId="0" borderId="14" xfId="0" applyNumberFormat="1" applyFont="1" applyBorder="1"/>
    <xf numFmtId="165" fontId="2" fillId="0" borderId="20" xfId="0" applyNumberFormat="1" applyFont="1" applyBorder="1"/>
    <xf numFmtId="165" fontId="2" fillId="0" borderId="26" xfId="0" applyNumberFormat="1" applyFont="1" applyBorder="1"/>
    <xf numFmtId="165" fontId="2" fillId="0" borderId="11" xfId="0" applyNumberFormat="1" applyFont="1" applyBorder="1"/>
    <xf numFmtId="1" fontId="1" fillId="3" borderId="3" xfId="0" applyNumberFormat="1" applyFont="1" applyFill="1" applyBorder="1"/>
    <xf numFmtId="164" fontId="1" fillId="3" borderId="1" xfId="0" applyNumberFormat="1" applyFont="1" applyFill="1" applyBorder="1"/>
    <xf numFmtId="0" fontId="1" fillId="3" borderId="2" xfId="0" applyFont="1" applyFill="1" applyBorder="1"/>
    <xf numFmtId="167" fontId="1" fillId="3" borderId="2" xfId="0" applyNumberFormat="1" applyFont="1" applyFill="1" applyBorder="1"/>
    <xf numFmtId="2" fontId="1" fillId="3" borderId="2" xfId="0" applyNumberFormat="1" applyFont="1" applyFill="1" applyBorder="1"/>
    <xf numFmtId="165" fontId="1" fillId="0" borderId="12" xfId="0" applyNumberFormat="1" applyFont="1" applyBorder="1"/>
    <xf numFmtId="165" fontId="2" fillId="0" borderId="0" xfId="0" applyNumberFormat="1" applyFont="1" applyBorder="1"/>
    <xf numFmtId="165" fontId="1" fillId="0" borderId="0" xfId="0" applyNumberFormat="1" applyFont="1"/>
    <xf numFmtId="165" fontId="1" fillId="0" borderId="6" xfId="0" applyNumberFormat="1" applyFont="1" applyBorder="1" applyAlignment="1">
      <alignment horizontal="center" vertical="center" wrapText="1"/>
    </xf>
    <xf numFmtId="165" fontId="5" fillId="0" borderId="11" xfId="0" applyNumberFormat="1" applyFont="1" applyBorder="1" applyAlignment="1">
      <alignment horizontal="center"/>
    </xf>
    <xf numFmtId="0" fontId="0" fillId="4" borderId="7" xfId="0" applyFill="1" applyBorder="1" applyAlignment="1">
      <alignment horizontal="left"/>
    </xf>
    <xf numFmtId="2" fontId="1" fillId="4" borderId="0" xfId="0" applyNumberFormat="1" applyFont="1" applyFill="1"/>
    <xf numFmtId="0" fontId="0" fillId="4" borderId="4" xfId="0" applyFill="1" applyBorder="1"/>
    <xf numFmtId="0" fontId="11" fillId="4" borderId="7" xfId="0" applyFont="1" applyFill="1" applyBorder="1"/>
    <xf numFmtId="0" fontId="11" fillId="4" borderId="13" xfId="0" applyFont="1" applyFill="1" applyBorder="1" applyAlignment="1">
      <alignment horizontal="left"/>
    </xf>
    <xf numFmtId="0" fontId="0" fillId="4" borderId="13" xfId="0" applyFill="1" applyBorder="1"/>
    <xf numFmtId="0" fontId="0" fillId="4" borderId="9" xfId="0" applyFill="1" applyBorder="1"/>
    <xf numFmtId="0" fontId="7" fillId="4" borderId="0" xfId="0" applyFont="1" applyFill="1"/>
    <xf numFmtId="0" fontId="9" fillId="4" borderId="0" xfId="0" applyFont="1" applyFill="1"/>
    <xf numFmtId="0" fontId="0" fillId="4" borderId="0" xfId="0" applyFill="1"/>
    <xf numFmtId="0" fontId="1" fillId="4" borderId="4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/>
    </xf>
    <xf numFmtId="0" fontId="0" fillId="4" borderId="0" xfId="0" applyFill="1" applyBorder="1"/>
    <xf numFmtId="0" fontId="6" fillId="4" borderId="0" xfId="0" applyFont="1" applyFill="1" applyAlignment="1">
      <alignment horizontal="left"/>
    </xf>
    <xf numFmtId="0" fontId="4" fillId="4" borderId="13" xfId="0" applyFont="1" applyFill="1" applyBorder="1" applyAlignment="1">
      <alignment horizontal="center"/>
    </xf>
    <xf numFmtId="0" fontId="0" fillId="4" borderId="19" xfId="0" applyFill="1" applyBorder="1"/>
    <xf numFmtId="0" fontId="0" fillId="4" borderId="24" xfId="0" applyFill="1" applyBorder="1"/>
    <xf numFmtId="0" fontId="1" fillId="4" borderId="0" xfId="0" applyFont="1" applyFill="1"/>
    <xf numFmtId="0" fontId="1" fillId="4" borderId="5" xfId="0" applyFont="1" applyFill="1" applyBorder="1"/>
    <xf numFmtId="0" fontId="1" fillId="4" borderId="1" xfId="0" applyFont="1" applyFill="1" applyBorder="1"/>
    <xf numFmtId="0" fontId="1" fillId="4" borderId="10" xfId="0" applyFont="1" applyFill="1" applyBorder="1"/>
    <xf numFmtId="0" fontId="1" fillId="4" borderId="18" xfId="0" applyFont="1" applyFill="1" applyBorder="1"/>
    <xf numFmtId="167" fontId="1" fillId="4" borderId="0" xfId="0" applyNumberFormat="1" applyFont="1" applyFill="1"/>
    <xf numFmtId="0" fontId="1" fillId="4" borderId="15" xfId="0" applyFont="1" applyFill="1" applyBorder="1"/>
    <xf numFmtId="0" fontId="1" fillId="4" borderId="25" xfId="0" applyFont="1" applyFill="1" applyBorder="1"/>
    <xf numFmtId="168" fontId="1" fillId="4" borderId="0" xfId="0" applyNumberFormat="1" applyFont="1" applyFill="1"/>
    <xf numFmtId="0" fontId="0" fillId="4" borderId="7" xfId="0" applyFill="1" applyBorder="1"/>
    <xf numFmtId="0" fontId="1" fillId="4" borderId="0" xfId="0" applyFont="1" applyFill="1" applyAlignment="1">
      <alignment wrapText="1"/>
    </xf>
    <xf numFmtId="2" fontId="0" fillId="4" borderId="5" xfId="0" applyNumberFormat="1" applyFill="1" applyBorder="1"/>
    <xf numFmtId="2" fontId="0" fillId="4" borderId="15" xfId="0" applyNumberFormat="1" applyFill="1" applyBorder="1"/>
    <xf numFmtId="2" fontId="0" fillId="4" borderId="1" xfId="0" applyNumberForma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3" fillId="0" borderId="27" xfId="0" applyFont="1" applyBorder="1" applyAlignment="1">
      <alignment horizontal="left" wrapText="1"/>
    </xf>
    <xf numFmtId="1" fontId="0" fillId="0" borderId="21" xfId="0" applyNumberFormat="1" applyBorder="1" applyAlignment="1">
      <alignment horizontal="right"/>
    </xf>
    <xf numFmtId="1" fontId="0" fillId="0" borderId="22" xfId="0" applyNumberFormat="1" applyBorder="1" applyAlignment="1">
      <alignment horizontal="right"/>
    </xf>
    <xf numFmtId="1" fontId="0" fillId="0" borderId="28" xfId="0" applyNumberForma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411"/>
  <sheetViews>
    <sheetView topLeftCell="A112" workbookViewId="0">
      <selection activeCell="D210" sqref="D210"/>
    </sheetView>
  </sheetViews>
  <sheetFormatPr defaultRowHeight="15"/>
  <cols>
    <col min="1" max="1" width="16.85546875" style="129" customWidth="1"/>
    <col min="2" max="2" width="15.7109375" style="1" customWidth="1"/>
    <col min="3" max="3" width="10.42578125" style="1" customWidth="1"/>
    <col min="4" max="4" width="11.28515625" style="1" customWidth="1"/>
    <col min="5" max="5" width="13.85546875" style="1" customWidth="1"/>
    <col min="6" max="6" width="13.42578125" style="1" customWidth="1"/>
    <col min="7" max="7" width="12.5703125" customWidth="1"/>
    <col min="8" max="8" width="9.140625" customWidth="1"/>
    <col min="9" max="9" width="15" style="1" customWidth="1"/>
    <col min="10" max="10" width="12.7109375" style="1" customWidth="1"/>
    <col min="11" max="11" width="12.5703125" style="1" customWidth="1"/>
    <col min="12" max="12" width="7.85546875" style="1" customWidth="1"/>
    <col min="13" max="13" width="4.7109375" style="1" customWidth="1"/>
    <col min="14" max="19" width="9.140625" style="1"/>
  </cols>
  <sheetData>
    <row r="1" spans="1:20" ht="23.25" customHeight="1">
      <c r="A1" s="151" t="s">
        <v>18</v>
      </c>
      <c r="B1" s="151"/>
      <c r="C1" s="151"/>
      <c r="D1" s="151"/>
      <c r="E1" s="151"/>
      <c r="F1" s="151"/>
      <c r="G1" s="151"/>
      <c r="H1" s="151"/>
      <c r="I1" s="151"/>
    </row>
    <row r="2" spans="1:20" ht="15.75">
      <c r="A2" s="127" t="s">
        <v>67</v>
      </c>
    </row>
    <row r="3" spans="1:20" ht="15.75">
      <c r="A3" s="127" t="s">
        <v>68</v>
      </c>
    </row>
    <row r="4" spans="1:20" ht="15.75">
      <c r="A4" s="127"/>
    </row>
    <row r="5" spans="1:20" ht="18.75">
      <c r="A5" s="128" t="s">
        <v>77</v>
      </c>
      <c r="T5" s="1"/>
    </row>
    <row r="6" spans="1:20" ht="15.75" thickBot="1">
      <c r="G6" s="54" t="s">
        <v>57</v>
      </c>
    </row>
    <row r="7" spans="1:20" ht="105">
      <c r="A7" s="130" t="s">
        <v>2</v>
      </c>
      <c r="B7" s="23" t="s">
        <v>19</v>
      </c>
      <c r="C7" s="23" t="s">
        <v>14</v>
      </c>
      <c r="D7" s="23" t="s">
        <v>16</v>
      </c>
      <c r="E7" s="23" t="s">
        <v>27</v>
      </c>
      <c r="F7" s="23" t="s">
        <v>65</v>
      </c>
      <c r="G7" s="23" t="s">
        <v>29</v>
      </c>
      <c r="H7" s="23" t="s">
        <v>30</v>
      </c>
      <c r="I7" s="24" t="s">
        <v>11</v>
      </c>
      <c r="J7" s="2" t="s">
        <v>33</v>
      </c>
      <c r="K7" s="2" t="s">
        <v>34</v>
      </c>
      <c r="L7" s="2"/>
      <c r="M7" s="2" t="s">
        <v>81</v>
      </c>
    </row>
    <row r="8" spans="1:20" ht="15.75" thickBot="1">
      <c r="A8" s="131">
        <v>1</v>
      </c>
      <c r="B8" s="25">
        <v>2</v>
      </c>
      <c r="C8" s="25">
        <v>3</v>
      </c>
      <c r="D8" s="25">
        <v>4</v>
      </c>
      <c r="E8" s="25">
        <v>5</v>
      </c>
      <c r="F8" s="25" t="s">
        <v>53</v>
      </c>
      <c r="G8" s="25" t="s">
        <v>31</v>
      </c>
      <c r="H8" s="26">
        <v>8</v>
      </c>
      <c r="I8" s="27" t="s">
        <v>32</v>
      </c>
    </row>
    <row r="9" spans="1:20">
      <c r="A9" s="122" t="s">
        <v>64</v>
      </c>
      <c r="B9" s="11" t="s">
        <v>20</v>
      </c>
      <c r="C9" s="32" t="s">
        <v>24</v>
      </c>
      <c r="D9" s="110">
        <f>(42000-1400)*0.42</f>
        <v>17052</v>
      </c>
      <c r="E9" s="50">
        <f>248*8*(A11/1979)</f>
        <v>182.45982819605862</v>
      </c>
      <c r="F9" s="51">
        <f>E9/A11</f>
        <v>1.0025265285497726</v>
      </c>
      <c r="G9" s="36">
        <f>D9/E9*F9</f>
        <v>93.692307692307693</v>
      </c>
      <c r="H9" s="85">
        <v>7.6466200000000004</v>
      </c>
      <c r="I9" s="115">
        <f>H9*G9</f>
        <v>716.42947384615388</v>
      </c>
    </row>
    <row r="10" spans="1:20">
      <c r="A10" s="123" t="s">
        <v>66</v>
      </c>
      <c r="B10" s="5" t="s">
        <v>21</v>
      </c>
      <c r="C10" s="33" t="s">
        <v>25</v>
      </c>
      <c r="D10" s="111">
        <v>201.15144000000001</v>
      </c>
      <c r="E10" s="7">
        <f>248*8*(A11/1979)</f>
        <v>182.45982819605862</v>
      </c>
      <c r="F10" s="29">
        <f>E10/A11</f>
        <v>1.0025265285497726</v>
      </c>
      <c r="G10" s="36">
        <f>D10/E10*F10</f>
        <v>1.1052276923076922</v>
      </c>
      <c r="H10" s="6">
        <v>1690.46</v>
      </c>
      <c r="I10" s="115">
        <f t="shared" ref="I10" si="0">H10*G10</f>
        <v>1868.3432047384615</v>
      </c>
    </row>
    <row r="11" spans="1:20">
      <c r="A11" s="124">
        <v>182</v>
      </c>
      <c r="B11" s="30" t="s">
        <v>22</v>
      </c>
      <c r="C11" s="34" t="s">
        <v>26</v>
      </c>
      <c r="D11" s="112">
        <f>(850-150)*0.42</f>
        <v>294</v>
      </c>
      <c r="E11" s="7">
        <f>248*8*(A11/1979)</f>
        <v>182.45982819605862</v>
      </c>
      <c r="F11" s="29">
        <f>E11/A11</f>
        <v>1.0025265285497726</v>
      </c>
      <c r="G11" s="36">
        <f t="shared" ref="G11:G12" si="1">D11/E11*F11</f>
        <v>1.6153846153846154</v>
      </c>
      <c r="H11" s="31">
        <v>40.96</v>
      </c>
      <c r="I11" s="115">
        <f>H11*G11</f>
        <v>66.166153846153847</v>
      </c>
    </row>
    <row r="12" spans="1:20">
      <c r="A12" s="125"/>
      <c r="B12" s="30" t="s">
        <v>23</v>
      </c>
      <c r="C12" s="34" t="s">
        <v>26</v>
      </c>
      <c r="D12" s="113">
        <f>(1500-150)*0.42</f>
        <v>567</v>
      </c>
      <c r="E12" s="7">
        <f>248*8*(A11/1979)</f>
        <v>182.45982819605862</v>
      </c>
      <c r="F12" s="29">
        <f>E12/A11</f>
        <v>1.0025265285497726</v>
      </c>
      <c r="G12" s="36">
        <f t="shared" si="1"/>
        <v>3.1153846153846154</v>
      </c>
      <c r="H12" s="31">
        <v>59.65</v>
      </c>
      <c r="I12" s="115">
        <f>H12*G12</f>
        <v>185.8326923076923</v>
      </c>
    </row>
    <row r="13" spans="1:20" s="1" customFormat="1" ht="15.75" thickBot="1">
      <c r="A13" s="126"/>
      <c r="B13" s="18"/>
      <c r="C13" s="18"/>
      <c r="D13" s="18"/>
      <c r="E13" s="18"/>
      <c r="F13" s="18"/>
      <c r="G13" s="37"/>
      <c r="H13" s="21"/>
      <c r="I13" s="109">
        <f>SUM(I9:I12)</f>
        <v>2836.7715247384617</v>
      </c>
      <c r="J13" s="121">
        <f>I13*A11</f>
        <v>516292.41750240006</v>
      </c>
      <c r="K13" s="121">
        <f>(1434860-144128.96)*0.4</f>
        <v>516292.41600000003</v>
      </c>
      <c r="L13" s="121">
        <f>K13-J13</f>
        <v>-1.5024000313133001E-3</v>
      </c>
      <c r="M13" s="137">
        <f>L13/H10</f>
        <v>-8.8875219248802107E-7</v>
      </c>
    </row>
    <row r="14" spans="1:20">
      <c r="A14" s="122" t="s">
        <v>69</v>
      </c>
      <c r="B14" s="11" t="s">
        <v>20</v>
      </c>
      <c r="C14" s="32" t="s">
        <v>24</v>
      </c>
      <c r="D14" s="110">
        <f>(86000-1400)*0.44</f>
        <v>37224</v>
      </c>
      <c r="E14" s="50">
        <f>248*8*(A16/1979)</f>
        <v>306.7731177362304</v>
      </c>
      <c r="F14" s="51">
        <f>E14/A16</f>
        <v>1.0025265285497726</v>
      </c>
      <c r="G14" s="36">
        <f>D14/E14*F14</f>
        <v>121.64705882352942</v>
      </c>
      <c r="H14" s="85">
        <v>7.6466200000000004</v>
      </c>
      <c r="I14" s="115">
        <f>H14*G14</f>
        <v>930.18883294117654</v>
      </c>
    </row>
    <row r="15" spans="1:20">
      <c r="A15" s="123" t="s">
        <v>66</v>
      </c>
      <c r="B15" s="5" t="s">
        <v>21</v>
      </c>
      <c r="C15" s="33" t="s">
        <v>25</v>
      </c>
      <c r="D15" s="111">
        <v>603.89059999999995</v>
      </c>
      <c r="E15" s="7">
        <f>248*8*(A16/1979)</f>
        <v>306.7731177362304</v>
      </c>
      <c r="F15" s="29">
        <f>E15/A16</f>
        <v>1.0025265285497726</v>
      </c>
      <c r="G15" s="36">
        <f>D15/E15*F15</f>
        <v>1.9734986928104574</v>
      </c>
      <c r="H15" s="6">
        <v>1690.46</v>
      </c>
      <c r="I15" s="115">
        <f t="shared" ref="I15:I17" si="2">H15*G15</f>
        <v>3336.1206002483659</v>
      </c>
    </row>
    <row r="16" spans="1:20">
      <c r="A16" s="124">
        <v>306</v>
      </c>
      <c r="B16" s="30" t="s">
        <v>22</v>
      </c>
      <c r="C16" s="34" t="s">
        <v>26</v>
      </c>
      <c r="D16" s="112">
        <f>(1600-150)*0.44</f>
        <v>638</v>
      </c>
      <c r="E16" s="7">
        <f>248*8*(A16/1979)</f>
        <v>306.7731177362304</v>
      </c>
      <c r="F16" s="29">
        <f>E16/A16</f>
        <v>1.0025265285497726</v>
      </c>
      <c r="G16" s="36">
        <f t="shared" ref="G16:G17" si="3">D16/E16*F16</f>
        <v>2.0849673202614381</v>
      </c>
      <c r="H16" s="31">
        <v>40.96</v>
      </c>
      <c r="I16" s="115">
        <f t="shared" si="2"/>
        <v>85.400261437908497</v>
      </c>
    </row>
    <row r="17" spans="1:13">
      <c r="A17" s="125"/>
      <c r="B17" s="30" t="s">
        <v>23</v>
      </c>
      <c r="C17" s="34" t="s">
        <v>26</v>
      </c>
      <c r="D17" s="112">
        <f>(1600-150)*0.44</f>
        <v>638</v>
      </c>
      <c r="E17" s="7">
        <f>248*8*(A16/1979)</f>
        <v>306.7731177362304</v>
      </c>
      <c r="F17" s="29">
        <f>E17/A16</f>
        <v>1.0025265285497726</v>
      </c>
      <c r="G17" s="36">
        <f t="shared" si="3"/>
        <v>2.0849673202614381</v>
      </c>
      <c r="H17" s="31">
        <v>59.65</v>
      </c>
      <c r="I17" s="115">
        <f t="shared" si="2"/>
        <v>124.36830065359477</v>
      </c>
    </row>
    <row r="18" spans="1:13" s="1" customFormat="1" ht="15.75" thickBot="1">
      <c r="A18" s="126"/>
      <c r="B18" s="18"/>
      <c r="C18" s="18"/>
      <c r="D18" s="18"/>
      <c r="E18" s="18"/>
      <c r="F18" s="18"/>
      <c r="G18" s="37"/>
      <c r="H18" s="21"/>
      <c r="I18" s="109">
        <f>SUM(I14:I17)</f>
        <v>4476.0779952810462</v>
      </c>
      <c r="J18" s="121">
        <f>I18*A16</f>
        <v>1369679.8665560002</v>
      </c>
      <c r="K18" s="121">
        <f>(3187862-144128.96)*0.45</f>
        <v>1369679.868</v>
      </c>
      <c r="L18" s="121">
        <f>K18-J18</f>
        <v>1.443999819457531E-3</v>
      </c>
      <c r="M18" s="137">
        <f>L18/H15</f>
        <v>8.5420525741959643E-7</v>
      </c>
    </row>
    <row r="19" spans="1:13">
      <c r="A19" s="122" t="s">
        <v>70</v>
      </c>
      <c r="B19" s="11" t="s">
        <v>20</v>
      </c>
      <c r="C19" s="32" t="s">
        <v>24</v>
      </c>
      <c r="D19" s="110">
        <f>(745000-1400)*0.44-150000</f>
        <v>177184</v>
      </c>
      <c r="E19" s="50">
        <f>248*8*(A21/1979)</f>
        <v>252.63668519454271</v>
      </c>
      <c r="F19" s="51">
        <f>E19/A21</f>
        <v>1.0025265285497726</v>
      </c>
      <c r="G19" s="36">
        <f>D19/E19*F19</f>
        <v>703.11111111111109</v>
      </c>
      <c r="H19" s="85">
        <v>7.6466200000000004</v>
      </c>
      <c r="I19" s="115">
        <f>H19*G19</f>
        <v>5376.4234844444445</v>
      </c>
    </row>
    <row r="20" spans="1:13">
      <c r="A20" s="123" t="s">
        <v>66</v>
      </c>
      <c r="B20" s="5" t="s">
        <v>21</v>
      </c>
      <c r="C20" s="33" t="s">
        <v>25</v>
      </c>
      <c r="D20" s="111">
        <v>478.69558999999998</v>
      </c>
      <c r="E20" s="7">
        <f>248*8*(A21/1979)</f>
        <v>252.63668519454271</v>
      </c>
      <c r="F20" s="29">
        <f>E20/A21</f>
        <v>1.0025265285497726</v>
      </c>
      <c r="G20" s="36">
        <f>D20/E20*F20</f>
        <v>1.8995856746031745</v>
      </c>
      <c r="H20" s="6">
        <v>1690.46</v>
      </c>
      <c r="I20" s="115">
        <f t="shared" ref="I20:I22" si="4">H20*G20</f>
        <v>3211.1735994896826</v>
      </c>
    </row>
    <row r="21" spans="1:13">
      <c r="A21" s="124">
        <v>252</v>
      </c>
      <c r="B21" s="30" t="s">
        <v>22</v>
      </c>
      <c r="C21" s="34" t="s">
        <v>26</v>
      </c>
      <c r="D21" s="112">
        <f>(1650-150)*0.44</f>
        <v>660</v>
      </c>
      <c r="E21" s="7">
        <f>248*8*(A21/1979)</f>
        <v>252.63668519454271</v>
      </c>
      <c r="F21" s="29">
        <f>E21/A21</f>
        <v>1.0025265285497726</v>
      </c>
      <c r="G21" s="36">
        <f t="shared" ref="G21:G22" si="5">D21/E21*F21</f>
        <v>2.6190476190476191</v>
      </c>
      <c r="H21" s="31">
        <v>40.96</v>
      </c>
      <c r="I21" s="115">
        <f t="shared" si="4"/>
        <v>107.27619047619048</v>
      </c>
    </row>
    <row r="22" spans="1:13">
      <c r="A22" s="125"/>
      <c r="B22" s="30" t="s">
        <v>23</v>
      </c>
      <c r="C22" s="34" t="s">
        <v>26</v>
      </c>
      <c r="D22" s="112">
        <f>(1650-150)*0.44</f>
        <v>660</v>
      </c>
      <c r="E22" s="7">
        <f>248*8*(A21/1979)</f>
        <v>252.63668519454271</v>
      </c>
      <c r="F22" s="29">
        <f>E22/A21</f>
        <v>1.0025265285497726</v>
      </c>
      <c r="G22" s="36">
        <f t="shared" si="5"/>
        <v>2.6190476190476191</v>
      </c>
      <c r="H22" s="31">
        <v>59.65</v>
      </c>
      <c r="I22" s="115">
        <f t="shared" si="4"/>
        <v>156.22619047619048</v>
      </c>
    </row>
    <row r="23" spans="1:13" s="1" customFormat="1" ht="15.75" thickBot="1">
      <c r="A23" s="126"/>
      <c r="B23" s="18"/>
      <c r="C23" s="18"/>
      <c r="D23" s="18"/>
      <c r="E23" s="18"/>
      <c r="F23" s="18"/>
      <c r="G23" s="37"/>
      <c r="H23" s="21"/>
      <c r="I23" s="109">
        <f>SUM(I19:I22)</f>
        <v>8851.0994648865089</v>
      </c>
      <c r="J23" s="121">
        <f>I23*A21</f>
        <v>2230477.0651514004</v>
      </c>
      <c r="K23" s="121">
        <f>(13200+5200195-144128.96)*0.44</f>
        <v>2230477.0575999999</v>
      </c>
      <c r="L23" s="121">
        <f>K23-J23</f>
        <v>-7.5514004565775394E-3</v>
      </c>
      <c r="M23" s="137">
        <f>L23/H20</f>
        <v>-4.4670684053911594E-6</v>
      </c>
    </row>
    <row r="24" spans="1:13">
      <c r="A24" s="122" t="s">
        <v>71</v>
      </c>
      <c r="B24" s="11" t="s">
        <v>20</v>
      </c>
      <c r="C24" s="32" t="s">
        <v>24</v>
      </c>
      <c r="D24" s="110">
        <f>(82000-1400)*0.45</f>
        <v>36270</v>
      </c>
      <c r="E24" s="50">
        <f>248*8*(A26/1979)</f>
        <v>408.02829711975744</v>
      </c>
      <c r="F24" s="51">
        <f>E24/A26</f>
        <v>1.0025265285497726</v>
      </c>
      <c r="G24" s="36">
        <f>D24/E24*F24</f>
        <v>89.115479115479118</v>
      </c>
      <c r="H24" s="85">
        <v>7.6466200000000004</v>
      </c>
      <c r="I24" s="115">
        <f>H24*G24</f>
        <v>681.43220491400496</v>
      </c>
    </row>
    <row r="25" spans="1:13">
      <c r="A25" s="123" t="s">
        <v>66</v>
      </c>
      <c r="B25" s="5" t="s">
        <v>21</v>
      </c>
      <c r="C25" s="33" t="s">
        <v>25</v>
      </c>
      <c r="D25" s="111">
        <v>358.81497999999999</v>
      </c>
      <c r="E25" s="7">
        <f>248*8*(A26/1979)</f>
        <v>408.02829711975744</v>
      </c>
      <c r="F25" s="29">
        <f>E25/A26</f>
        <v>1.0025265285497726</v>
      </c>
      <c r="G25" s="36">
        <f>D25/E25*F25</f>
        <v>0.88160928746928746</v>
      </c>
      <c r="H25" s="6">
        <v>1690.46</v>
      </c>
      <c r="I25" s="115">
        <f t="shared" ref="I25:I27" si="6">H25*G25</f>
        <v>1490.3252360953318</v>
      </c>
    </row>
    <row r="26" spans="1:13">
      <c r="A26" s="124">
        <v>407</v>
      </c>
      <c r="B26" s="30" t="s">
        <v>22</v>
      </c>
      <c r="C26" s="34" t="s">
        <v>26</v>
      </c>
      <c r="D26" s="114">
        <f>(1500-150)*0.45</f>
        <v>607.5</v>
      </c>
      <c r="E26" s="7">
        <f>248*8*(A26/1979)</f>
        <v>408.02829711975744</v>
      </c>
      <c r="F26" s="29">
        <f>E26/A26</f>
        <v>1.0025265285497726</v>
      </c>
      <c r="G26" s="36">
        <f t="shared" ref="G26:G27" si="7">D26/E26*F26</f>
        <v>1.4926289926289926</v>
      </c>
      <c r="H26" s="31">
        <v>40.96</v>
      </c>
      <c r="I26" s="115">
        <f t="shared" si="6"/>
        <v>61.138083538083542</v>
      </c>
    </row>
    <row r="27" spans="1:13">
      <c r="A27" s="125"/>
      <c r="B27" s="30" t="s">
        <v>23</v>
      </c>
      <c r="C27" s="34" t="s">
        <v>26</v>
      </c>
      <c r="D27" s="114">
        <f>(1500-150)*0.45</f>
        <v>607.5</v>
      </c>
      <c r="E27" s="7">
        <f>248*8*(A26/1979)</f>
        <v>408.02829711975744</v>
      </c>
      <c r="F27" s="29">
        <f>E27/A26</f>
        <v>1.0025265285497726</v>
      </c>
      <c r="G27" s="36">
        <f t="shared" si="7"/>
        <v>1.4926289926289926</v>
      </c>
      <c r="H27" s="31">
        <v>59.65</v>
      </c>
      <c r="I27" s="115">
        <f t="shared" si="6"/>
        <v>89.035319410319403</v>
      </c>
    </row>
    <row r="28" spans="1:13" s="1" customFormat="1" ht="15.75" thickBot="1">
      <c r="A28" s="126"/>
      <c r="B28" s="18"/>
      <c r="C28" s="18"/>
      <c r="D28" s="18"/>
      <c r="E28" s="18"/>
      <c r="F28" s="18"/>
      <c r="G28" s="37"/>
      <c r="H28" s="21"/>
      <c r="I28" s="109">
        <f>SUM(I24:I27)</f>
        <v>2321.9308439577399</v>
      </c>
      <c r="J28" s="121">
        <f>I28*A26</f>
        <v>945025.85349080013</v>
      </c>
      <c r="K28" s="121">
        <f>(2291915-144128.96)*0.44</f>
        <v>945025.85759999999</v>
      </c>
      <c r="L28" s="121">
        <f>K28-J28</f>
        <v>4.109199857339263E-3</v>
      </c>
      <c r="M28" s="137">
        <f>L28/H25</f>
        <v>2.430817562875941E-6</v>
      </c>
    </row>
    <row r="29" spans="1:13">
      <c r="A29" s="122" t="s">
        <v>72</v>
      </c>
      <c r="B29" s="11" t="s">
        <v>20</v>
      </c>
      <c r="C29" s="32" t="s">
        <v>24</v>
      </c>
      <c r="D29" s="110">
        <f>(165000-1400)*0.42</f>
        <v>68712</v>
      </c>
      <c r="E29" s="50">
        <f>248*8*(A31/1979)</f>
        <v>404.01819100555832</v>
      </c>
      <c r="F29" s="51">
        <f>E29/A31</f>
        <v>1.0025265285497724</v>
      </c>
      <c r="G29" s="36">
        <f>D29/E29*F29</f>
        <v>170.50124069478906</v>
      </c>
      <c r="H29" s="85">
        <v>7.6466200000000004</v>
      </c>
      <c r="I29" s="115">
        <f>H29*G29</f>
        <v>1303.758197121588</v>
      </c>
    </row>
    <row r="30" spans="1:13">
      <c r="A30" s="123" t="s">
        <v>66</v>
      </c>
      <c r="B30" s="5" t="s">
        <v>21</v>
      </c>
      <c r="C30" s="33" t="s">
        <v>25</v>
      </c>
      <c r="D30" s="111">
        <v>248.25389999999999</v>
      </c>
      <c r="E30" s="7">
        <f>248*8*(A31/1979)</f>
        <v>404.01819100555832</v>
      </c>
      <c r="F30" s="29">
        <f>E30/A31</f>
        <v>1.0025265285497724</v>
      </c>
      <c r="G30" s="36">
        <f>D30/E30*F30</f>
        <v>0.61601464019851104</v>
      </c>
      <c r="H30" s="6">
        <v>1690.46</v>
      </c>
      <c r="I30" s="115">
        <f t="shared" ref="I30:I32" si="8">H30*G30</f>
        <v>1041.3481086699751</v>
      </c>
    </row>
    <row r="31" spans="1:13">
      <c r="A31" s="124">
        <v>403</v>
      </c>
      <c r="B31" s="30" t="s">
        <v>22</v>
      </c>
      <c r="C31" s="34" t="s">
        <v>26</v>
      </c>
      <c r="D31" s="114">
        <f>(3000-150)*0.42</f>
        <v>1197</v>
      </c>
      <c r="E31" s="7">
        <f>248*8*(A31/1979)</f>
        <v>404.01819100555832</v>
      </c>
      <c r="F31" s="29">
        <f>E31/A31</f>
        <v>1.0025265285497724</v>
      </c>
      <c r="G31" s="36">
        <f t="shared" ref="G31:G32" si="9">D31/E31*F31</f>
        <v>2.9702233250620345</v>
      </c>
      <c r="H31" s="31">
        <v>40.96</v>
      </c>
      <c r="I31" s="115">
        <f t="shared" si="8"/>
        <v>121.66034739454093</v>
      </c>
    </row>
    <row r="32" spans="1:13">
      <c r="A32" s="125"/>
      <c r="B32" s="30" t="s">
        <v>23</v>
      </c>
      <c r="C32" s="34" t="s">
        <v>26</v>
      </c>
      <c r="D32" s="114">
        <f>(3000-150)*0.42</f>
        <v>1197</v>
      </c>
      <c r="E32" s="7">
        <f>248*8*(A31/1979)</f>
        <v>404.01819100555832</v>
      </c>
      <c r="F32" s="29">
        <f>E32/A31</f>
        <v>1.0025265285497724</v>
      </c>
      <c r="G32" s="36">
        <f t="shared" si="9"/>
        <v>2.9702233250620345</v>
      </c>
      <c r="H32" s="31">
        <v>59.65</v>
      </c>
      <c r="I32" s="115">
        <f t="shared" si="8"/>
        <v>177.17382133995036</v>
      </c>
    </row>
    <row r="33" spans="1:13" s="1" customFormat="1" ht="15.75" thickBot="1">
      <c r="A33" s="126"/>
      <c r="B33" s="18"/>
      <c r="C33" s="18"/>
      <c r="D33" s="18"/>
      <c r="E33" s="18"/>
      <c r="F33" s="18"/>
      <c r="G33" s="37"/>
      <c r="H33" s="21"/>
      <c r="I33" s="109">
        <f>SUM(I29:I32)</f>
        <v>2643.9404745260545</v>
      </c>
      <c r="J33" s="121">
        <f>I33*A31</f>
        <v>1065508.0112339999</v>
      </c>
      <c r="K33" s="121">
        <f>(2742929-144128.96)*0.41</f>
        <v>1065508.0163999998</v>
      </c>
      <c r="L33" s="121">
        <f>K33-J33</f>
        <v>5.1659999880939722E-3</v>
      </c>
      <c r="M33" s="137">
        <f>L33/H30</f>
        <v>3.0559729234018978E-6</v>
      </c>
    </row>
    <row r="34" spans="1:13">
      <c r="A34" s="122" t="s">
        <v>73</v>
      </c>
      <c r="B34" s="11" t="s">
        <v>20</v>
      </c>
      <c r="C34" s="32" t="s">
        <v>24</v>
      </c>
      <c r="D34" s="110">
        <f>(76000-1400)*0.44</f>
        <v>32824</v>
      </c>
      <c r="E34" s="50">
        <f>248*8*(A36/1979)</f>
        <v>267.67458312278927</v>
      </c>
      <c r="F34" s="51">
        <f>E34/A36</f>
        <v>1.0025265285497726</v>
      </c>
      <c r="G34" s="36">
        <f>D34/E34*F34</f>
        <v>122.936329588015</v>
      </c>
      <c r="H34" s="85">
        <v>7.6466200000000004</v>
      </c>
      <c r="I34" s="115">
        <f>H34*G34</f>
        <v>940.04739655430728</v>
      </c>
    </row>
    <row r="35" spans="1:13">
      <c r="A35" s="123" t="s">
        <v>66</v>
      </c>
      <c r="B35" s="5" t="s">
        <v>21</v>
      </c>
      <c r="C35" s="33" t="s">
        <v>25</v>
      </c>
      <c r="D35" s="111">
        <v>190.47404</v>
      </c>
      <c r="E35" s="7">
        <f>248*8*(A36/1979)</f>
        <v>267.67458312278927</v>
      </c>
      <c r="F35" s="29">
        <f>E35/A36</f>
        <v>1.0025265285497726</v>
      </c>
      <c r="G35" s="36">
        <f>D35/E35*F35</f>
        <v>0.7133859176029963</v>
      </c>
      <c r="H35" s="6">
        <v>1690.46</v>
      </c>
      <c r="I35" s="115">
        <f t="shared" ref="I35:I37" si="10">H35*G35</f>
        <v>1205.9503582711611</v>
      </c>
    </row>
    <row r="36" spans="1:13">
      <c r="A36" s="124">
        <v>267</v>
      </c>
      <c r="B36" s="30" t="s">
        <v>22</v>
      </c>
      <c r="C36" s="34" t="s">
        <v>26</v>
      </c>
      <c r="D36" s="112">
        <f>(1600-150)*0.44</f>
        <v>638</v>
      </c>
      <c r="E36" s="7">
        <f>248*8*(A36/1979)</f>
        <v>267.67458312278927</v>
      </c>
      <c r="F36" s="29">
        <f>E36/A36</f>
        <v>1.0025265285497726</v>
      </c>
      <c r="G36" s="36">
        <f t="shared" ref="G36:G37" si="11">D36/E36*F36</f>
        <v>2.3895131086142327</v>
      </c>
      <c r="H36" s="31">
        <v>40.96</v>
      </c>
      <c r="I36" s="115">
        <f t="shared" si="10"/>
        <v>97.874456928838981</v>
      </c>
    </row>
    <row r="37" spans="1:13">
      <c r="A37" s="125"/>
      <c r="B37" s="30" t="s">
        <v>23</v>
      </c>
      <c r="C37" s="34" t="s">
        <v>26</v>
      </c>
      <c r="D37" s="112">
        <f>(1600-150)*0.44</f>
        <v>638</v>
      </c>
      <c r="E37" s="7">
        <f>248*8*(A36/1979)</f>
        <v>267.67458312278927</v>
      </c>
      <c r="F37" s="29">
        <f>E37/A36</f>
        <v>1.0025265285497726</v>
      </c>
      <c r="G37" s="36">
        <f t="shared" si="11"/>
        <v>2.3895131086142327</v>
      </c>
      <c r="H37" s="31">
        <v>59.65</v>
      </c>
      <c r="I37" s="115">
        <f t="shared" si="10"/>
        <v>142.53445692883898</v>
      </c>
    </row>
    <row r="38" spans="1:13" s="1" customFormat="1" ht="15.75" thickBot="1">
      <c r="A38" s="126"/>
      <c r="B38" s="18"/>
      <c r="C38" s="18"/>
      <c r="D38" s="18"/>
      <c r="E38" s="18"/>
      <c r="F38" s="18"/>
      <c r="G38" s="37"/>
      <c r="H38" s="21"/>
      <c r="I38" s="109">
        <f>SUM(I34:I37)</f>
        <v>2386.4066686831466</v>
      </c>
      <c r="J38" s="121">
        <f>I38*A36</f>
        <v>637170.5805384001</v>
      </c>
      <c r="K38" s="121">
        <f>(1625921-144128.96)*0.43</f>
        <v>637170.57720000006</v>
      </c>
      <c r="L38" s="121">
        <f>K38-J38</f>
        <v>-3.3384000416845083E-3</v>
      </c>
      <c r="M38" s="137">
        <f>L38/H35</f>
        <v>-1.9748471077011633E-6</v>
      </c>
    </row>
    <row r="39" spans="1:13">
      <c r="A39" s="122" t="s">
        <v>96</v>
      </c>
      <c r="B39" s="13" t="s">
        <v>20</v>
      </c>
      <c r="C39" s="49" t="s">
        <v>24</v>
      </c>
      <c r="D39" s="110">
        <f>(107000-1400)*0.42</f>
        <v>44352</v>
      </c>
      <c r="E39" s="50">
        <f>248*8*(A41/1979)</f>
        <v>413.04092976250632</v>
      </c>
      <c r="F39" s="51">
        <f>E39/A41</f>
        <v>1.0025265285497726</v>
      </c>
      <c r="G39" s="36">
        <f>D39/E39*F39</f>
        <v>107.65048543689321</v>
      </c>
      <c r="H39" s="85">
        <v>7.6466200000000004</v>
      </c>
      <c r="I39" s="115">
        <f>H39*G39</f>
        <v>823.16235495145634</v>
      </c>
    </row>
    <row r="40" spans="1:13">
      <c r="A40" s="123" t="s">
        <v>66</v>
      </c>
      <c r="B40" s="5" t="s">
        <v>21</v>
      </c>
      <c r="C40" s="33" t="s">
        <v>25</v>
      </c>
      <c r="D40" s="111">
        <v>472.59472</v>
      </c>
      <c r="E40" s="7">
        <f>248*8*(A41/1979)</f>
        <v>413.04092976250632</v>
      </c>
      <c r="F40" s="29">
        <f>E40/A41</f>
        <v>1.0025265285497726</v>
      </c>
      <c r="G40" s="36">
        <f>D40/E40*F40</f>
        <v>1.147074563106796</v>
      </c>
      <c r="H40" s="6">
        <v>1690.46</v>
      </c>
      <c r="I40" s="115">
        <f t="shared" ref="I40:I42" si="12">H40*G40</f>
        <v>1939.0836659495144</v>
      </c>
    </row>
    <row r="41" spans="1:13">
      <c r="A41" s="124">
        <v>412</v>
      </c>
      <c r="B41" s="30" t="s">
        <v>22</v>
      </c>
      <c r="C41" s="34" t="s">
        <v>26</v>
      </c>
      <c r="D41" s="112">
        <f>(1600-150)*0.42</f>
        <v>609</v>
      </c>
      <c r="E41" s="7">
        <f>248*8*(A41/1979)</f>
        <v>413.04092976250632</v>
      </c>
      <c r="F41" s="29">
        <f>E41/A41</f>
        <v>1.0025265285497726</v>
      </c>
      <c r="G41" s="36">
        <f t="shared" ref="G41:G42" si="13">D41/E41*F41</f>
        <v>1.4781553398058251</v>
      </c>
      <c r="H41" s="31">
        <v>40.96</v>
      </c>
      <c r="I41" s="115">
        <f t="shared" si="12"/>
        <v>60.545242718446602</v>
      </c>
    </row>
    <row r="42" spans="1:13">
      <c r="A42" s="125"/>
      <c r="B42" s="30" t="s">
        <v>23</v>
      </c>
      <c r="C42" s="34" t="s">
        <v>26</v>
      </c>
      <c r="D42" s="112">
        <f>(1600-150)*0.42</f>
        <v>609</v>
      </c>
      <c r="E42" s="7">
        <f>248*8*(A41/1979)</f>
        <v>413.04092976250632</v>
      </c>
      <c r="F42" s="29">
        <f>E42/A41</f>
        <v>1.0025265285497726</v>
      </c>
      <c r="G42" s="36">
        <f t="shared" si="13"/>
        <v>1.4781553398058251</v>
      </c>
      <c r="H42" s="31">
        <v>59.65</v>
      </c>
      <c r="I42" s="115">
        <f t="shared" si="12"/>
        <v>88.171966019417468</v>
      </c>
    </row>
    <row r="43" spans="1:13" s="1" customFormat="1" ht="15.75" thickBot="1">
      <c r="A43" s="126"/>
      <c r="B43" s="18"/>
      <c r="C43" s="18"/>
      <c r="D43" s="18"/>
      <c r="E43" s="18"/>
      <c r="F43" s="18"/>
      <c r="G43" s="37"/>
      <c r="H43" s="21"/>
      <c r="I43" s="109">
        <f>SUM(I39:I42)</f>
        <v>2910.9632296388345</v>
      </c>
      <c r="J43" s="121">
        <f>I43*A41</f>
        <v>1199316.8506111999</v>
      </c>
      <c r="K43" s="121">
        <f>(3069292-144128.96)*0.41</f>
        <v>1199316.8463999999</v>
      </c>
      <c r="L43" s="121">
        <f>K43-J43</f>
        <v>-4.2111999355256557E-3</v>
      </c>
      <c r="M43" s="137">
        <f>L43/H40</f>
        <v>-2.4911562151873786E-6</v>
      </c>
    </row>
    <row r="44" spans="1:13" s="1" customFormat="1" ht="15.75" thickBot="1">
      <c r="A44" s="132"/>
      <c r="B44" s="45"/>
      <c r="C44" s="46"/>
      <c r="D44" s="45"/>
      <c r="E44" s="52"/>
      <c r="F44" s="45"/>
      <c r="G44" s="44"/>
      <c r="H44" s="47"/>
      <c r="I44" s="116"/>
    </row>
    <row r="45" spans="1:13">
      <c r="A45" s="122" t="s">
        <v>75</v>
      </c>
      <c r="B45" s="13" t="s">
        <v>20</v>
      </c>
      <c r="C45" s="49" t="s">
        <v>24</v>
      </c>
      <c r="D45" s="110">
        <f>(56000-1400)*0.46</f>
        <v>25116</v>
      </c>
      <c r="E45" s="50">
        <f>248*8*(A47/1979)</f>
        <v>137.34613441131884</v>
      </c>
      <c r="F45" s="51">
        <f>E45/A47</f>
        <v>1.0025265285497726</v>
      </c>
      <c r="G45" s="36">
        <f>D45/E45*F45</f>
        <v>183.32846715328466</v>
      </c>
      <c r="H45" s="85">
        <v>7.6466200000000004</v>
      </c>
      <c r="I45" s="115">
        <f>H45*G45</f>
        <v>1401.8431235036496</v>
      </c>
    </row>
    <row r="46" spans="1:13">
      <c r="A46" s="123" t="s">
        <v>66</v>
      </c>
      <c r="B46" s="5" t="s">
        <v>21</v>
      </c>
      <c r="C46" s="33" t="s">
        <v>25</v>
      </c>
      <c r="D46" s="111">
        <v>293.93074999999999</v>
      </c>
      <c r="E46" s="7">
        <f>248*8*(A47/1979)</f>
        <v>137.34613441131884</v>
      </c>
      <c r="F46" s="29">
        <f>E46/A47</f>
        <v>1.0025265285497726</v>
      </c>
      <c r="G46" s="36">
        <f>D46/E46*F46</f>
        <v>2.1454799270072997</v>
      </c>
      <c r="H46" s="6">
        <v>1690.46</v>
      </c>
      <c r="I46" s="115">
        <f t="shared" ref="I46:I48" si="14">H46*G46</f>
        <v>3626.84799740876</v>
      </c>
    </row>
    <row r="47" spans="1:13">
      <c r="A47" s="124">
        <v>137</v>
      </c>
      <c r="B47" s="30" t="s">
        <v>22</v>
      </c>
      <c r="C47" s="34" t="s">
        <v>26</v>
      </c>
      <c r="D47" s="112">
        <f>(2085-150)*0.46</f>
        <v>890.1</v>
      </c>
      <c r="E47" s="7">
        <f>248*8*(A47/1979)</f>
        <v>137.34613441131884</v>
      </c>
      <c r="F47" s="29">
        <f>E47/A47</f>
        <v>1.0025265285497726</v>
      </c>
      <c r="G47" s="36">
        <f t="shared" ref="G47:G48" si="15">D47/E47*F47</f>
        <v>6.4970802919708035</v>
      </c>
      <c r="H47" s="31">
        <v>40.96</v>
      </c>
      <c r="I47" s="115">
        <f t="shared" si="14"/>
        <v>266.12040875912413</v>
      </c>
    </row>
    <row r="48" spans="1:13">
      <c r="A48" s="125"/>
      <c r="B48" s="30" t="s">
        <v>23</v>
      </c>
      <c r="C48" s="34" t="s">
        <v>26</v>
      </c>
      <c r="D48" s="112">
        <f>(2384-150)*0.46</f>
        <v>1027.6400000000001</v>
      </c>
      <c r="E48" s="7">
        <f>248*8*(A47/1979)</f>
        <v>137.34613441131884</v>
      </c>
      <c r="F48" s="29">
        <f>E48/A47</f>
        <v>1.0025265285497726</v>
      </c>
      <c r="G48" s="36">
        <f t="shared" si="15"/>
        <v>7.5010218978102197</v>
      </c>
      <c r="H48" s="31">
        <v>59.65</v>
      </c>
      <c r="I48" s="115">
        <f t="shared" si="14"/>
        <v>447.43595620437958</v>
      </c>
    </row>
    <row r="49" spans="1:20" s="1" customFormat="1" ht="15.75" thickBot="1">
      <c r="A49" s="126"/>
      <c r="B49" s="18"/>
      <c r="C49" s="18"/>
      <c r="D49" s="18"/>
      <c r="E49" s="18"/>
      <c r="F49" s="18"/>
      <c r="G49" s="37"/>
      <c r="H49" s="21"/>
      <c r="I49" s="109">
        <f>SUM(I45:I48)</f>
        <v>5742.2474858759133</v>
      </c>
      <c r="J49" s="121">
        <f>I49*A47</f>
        <v>786687.90556500014</v>
      </c>
      <c r="K49" s="121">
        <f>(1817933-144128.96)*0.47</f>
        <v>786687.89879999997</v>
      </c>
      <c r="L49" s="121">
        <f>K49-J49</f>
        <v>-6.7650001728907228E-3</v>
      </c>
      <c r="M49" s="137">
        <f>L49/H46</f>
        <v>-4.0018694159522983E-6</v>
      </c>
    </row>
    <row r="50" spans="1:20">
      <c r="A50" s="122" t="s">
        <v>76</v>
      </c>
      <c r="B50" s="13" t="s">
        <v>20</v>
      </c>
      <c r="C50" s="49" t="s">
        <v>24</v>
      </c>
      <c r="D50" s="110">
        <f>(38000-1400)*0.48</f>
        <v>17568</v>
      </c>
      <c r="E50" s="50">
        <f>248*8*(A52/1979)</f>
        <v>112.28297119757453</v>
      </c>
      <c r="F50" s="51">
        <f>E50/A52</f>
        <v>1.0025265285497726</v>
      </c>
      <c r="G50" s="36">
        <f>D50/E50*F50</f>
        <v>156.85714285714289</v>
      </c>
      <c r="H50" s="85">
        <v>7.6466200000000004</v>
      </c>
      <c r="I50" s="115">
        <f>H50*G50</f>
        <v>1199.4269657142861</v>
      </c>
    </row>
    <row r="51" spans="1:20">
      <c r="A51" s="123" t="s">
        <v>66</v>
      </c>
      <c r="B51" s="5" t="s">
        <v>21</v>
      </c>
      <c r="C51" s="33" t="s">
        <v>25</v>
      </c>
      <c r="D51" s="111">
        <v>198.71252999999999</v>
      </c>
      <c r="E51" s="7">
        <f>248*8*(A52/1979)</f>
        <v>112.28297119757453</v>
      </c>
      <c r="F51" s="29">
        <f>E51/A52</f>
        <v>1.0025265285497726</v>
      </c>
      <c r="G51" s="36">
        <f>D51/E51*F51</f>
        <v>1.7742190178571431</v>
      </c>
      <c r="H51" s="6">
        <v>1690.46</v>
      </c>
      <c r="I51" s="115">
        <f t="shared" ref="I51:I53" si="16">H51*G51</f>
        <v>2999.2462809267863</v>
      </c>
    </row>
    <row r="52" spans="1:20">
      <c r="A52" s="124">
        <v>112</v>
      </c>
      <c r="B52" s="30" t="s">
        <v>22</v>
      </c>
      <c r="C52" s="34" t="s">
        <v>26</v>
      </c>
      <c r="D52" s="112">
        <f>(900-150)*0.48</f>
        <v>360</v>
      </c>
      <c r="E52" s="7">
        <f>248*8*(A52/1979)</f>
        <v>112.28297119757453</v>
      </c>
      <c r="F52" s="29">
        <f>E52/A52</f>
        <v>1.0025265285497726</v>
      </c>
      <c r="G52" s="36">
        <f t="shared" ref="G52:G53" si="17">D52/E52*F52</f>
        <v>3.2142857142857144</v>
      </c>
      <c r="H52" s="31">
        <v>40.96</v>
      </c>
      <c r="I52" s="115">
        <f t="shared" si="16"/>
        <v>131.65714285714287</v>
      </c>
    </row>
    <row r="53" spans="1:20">
      <c r="A53" s="125"/>
      <c r="B53" s="30" t="s">
        <v>23</v>
      </c>
      <c r="C53" s="34" t="s">
        <v>26</v>
      </c>
      <c r="D53" s="112">
        <f>(1100-150)*0.48</f>
        <v>456</v>
      </c>
      <c r="E53" s="7">
        <f>248*8*(A52/1979)</f>
        <v>112.28297119757453</v>
      </c>
      <c r="F53" s="29">
        <f>E53/A52</f>
        <v>1.0025265285497726</v>
      </c>
      <c r="G53" s="36">
        <f t="shared" si="17"/>
        <v>4.0714285714285712</v>
      </c>
      <c r="H53" s="31">
        <v>59.65</v>
      </c>
      <c r="I53" s="115">
        <f t="shared" si="16"/>
        <v>242.86071428571427</v>
      </c>
    </row>
    <row r="54" spans="1:20" s="1" customFormat="1" ht="15.75" thickBot="1">
      <c r="A54" s="126"/>
      <c r="B54" s="18"/>
      <c r="C54" s="18"/>
      <c r="D54" s="18"/>
      <c r="E54" s="18"/>
      <c r="F54" s="18"/>
      <c r="G54" s="37"/>
      <c r="H54" s="21"/>
      <c r="I54" s="109">
        <f>SUM(I50:I53)</f>
        <v>4573.19110378393</v>
      </c>
      <c r="J54" s="121">
        <f>I54*A52</f>
        <v>512197.40362380014</v>
      </c>
      <c r="K54" s="121">
        <f>(1236914-123441.4)*0.46</f>
        <v>512197.39600000007</v>
      </c>
      <c r="L54" s="121">
        <f>K54-J54</f>
        <v>-7.6238000765442848E-3</v>
      </c>
      <c r="M54" s="137">
        <f>L54/H51</f>
        <v>-4.5098967597838955E-6</v>
      </c>
    </row>
    <row r="55" spans="1:20" s="1" customFormat="1">
      <c r="A55" s="132"/>
      <c r="B55" s="45"/>
      <c r="C55" s="45"/>
      <c r="D55" s="45"/>
      <c r="E55" s="45"/>
      <c r="F55" s="45"/>
      <c r="G55" s="69"/>
      <c r="H55" s="47"/>
      <c r="I55" s="48"/>
      <c r="J55" s="3"/>
      <c r="K55" s="3"/>
      <c r="L55" s="3"/>
    </row>
    <row r="56" spans="1:20" ht="18.75">
      <c r="A56" s="128" t="s">
        <v>78</v>
      </c>
      <c r="T56" s="1"/>
    </row>
    <row r="57" spans="1:20" ht="15.75" thickBot="1">
      <c r="G57" s="54" t="s">
        <v>57</v>
      </c>
    </row>
    <row r="58" spans="1:20" ht="105">
      <c r="A58" s="130" t="s">
        <v>2</v>
      </c>
      <c r="B58" s="23" t="s">
        <v>19</v>
      </c>
      <c r="C58" s="23" t="s">
        <v>14</v>
      </c>
      <c r="D58" s="23" t="s">
        <v>16</v>
      </c>
      <c r="E58" s="23" t="s">
        <v>27</v>
      </c>
      <c r="F58" s="23" t="s">
        <v>65</v>
      </c>
      <c r="G58" s="23" t="s">
        <v>29</v>
      </c>
      <c r="H58" s="23" t="s">
        <v>30</v>
      </c>
      <c r="I58" s="24" t="s">
        <v>11</v>
      </c>
      <c r="J58" s="2" t="s">
        <v>33</v>
      </c>
      <c r="K58" s="2" t="s">
        <v>34</v>
      </c>
      <c r="L58" s="2"/>
    </row>
    <row r="59" spans="1:20" ht="15.75" thickBot="1">
      <c r="A59" s="131">
        <v>1</v>
      </c>
      <c r="B59" s="25">
        <v>2</v>
      </c>
      <c r="C59" s="25">
        <v>3</v>
      </c>
      <c r="D59" s="25">
        <v>4</v>
      </c>
      <c r="E59" s="25">
        <v>5</v>
      </c>
      <c r="F59" s="25" t="s">
        <v>53</v>
      </c>
      <c r="G59" s="25" t="s">
        <v>31</v>
      </c>
      <c r="H59" s="26">
        <v>8</v>
      </c>
      <c r="I59" s="27" t="s">
        <v>32</v>
      </c>
    </row>
    <row r="60" spans="1:20">
      <c r="A60" s="122" t="s">
        <v>64</v>
      </c>
      <c r="B60" s="11" t="s">
        <v>20</v>
      </c>
      <c r="C60" s="32" t="s">
        <v>24</v>
      </c>
      <c r="D60" s="110">
        <f>(42000-1400)*0.49</f>
        <v>19894</v>
      </c>
      <c r="E60" s="50">
        <f>248*8*(A62/1979)</f>
        <v>221.55836280949973</v>
      </c>
      <c r="F60" s="51">
        <f>E60/A62</f>
        <v>1.0025265285497724</v>
      </c>
      <c r="G60" s="36">
        <f>D60/E60*F60</f>
        <v>90.018099547511298</v>
      </c>
      <c r="H60" s="85">
        <v>7.6466200000000004</v>
      </c>
      <c r="I60" s="115">
        <f>H60*G60</f>
        <v>688.33420036199084</v>
      </c>
    </row>
    <row r="61" spans="1:20">
      <c r="A61" s="123" t="s">
        <v>66</v>
      </c>
      <c r="B61" s="5" t="s">
        <v>21</v>
      </c>
      <c r="C61" s="33" t="s">
        <v>25</v>
      </c>
      <c r="D61" s="111">
        <v>252.49257</v>
      </c>
      <c r="E61" s="7">
        <f>248*8*(A62/1979)</f>
        <v>221.55836280949973</v>
      </c>
      <c r="F61" s="29">
        <f>E61/A62</f>
        <v>1.0025265285497724</v>
      </c>
      <c r="G61" s="36">
        <f>D61/E61*F61</f>
        <v>1.1425003167420813</v>
      </c>
      <c r="H61" s="6">
        <v>1690.46</v>
      </c>
      <c r="I61" s="115">
        <f t="shared" ref="I61:I63" si="18">H61*G61</f>
        <v>1931.3510854398187</v>
      </c>
    </row>
    <row r="62" spans="1:20">
      <c r="A62" s="124">
        <v>221</v>
      </c>
      <c r="B62" s="30" t="s">
        <v>22</v>
      </c>
      <c r="C62" s="34" t="s">
        <v>26</v>
      </c>
      <c r="D62" s="112">
        <f>(850-150)*0.49</f>
        <v>343</v>
      </c>
      <c r="E62" s="7">
        <f>248*8*(A62/1979)</f>
        <v>221.55836280949973</v>
      </c>
      <c r="F62" s="29">
        <f>E62/A62</f>
        <v>1.0025265285497724</v>
      </c>
      <c r="G62" s="36">
        <f t="shared" ref="G62:G63" si="19">D62/E62*F62</f>
        <v>1.5520361990950224</v>
      </c>
      <c r="H62" s="31">
        <v>40.96</v>
      </c>
      <c r="I62" s="115">
        <f t="shared" si="18"/>
        <v>63.57140271493212</v>
      </c>
    </row>
    <row r="63" spans="1:20">
      <c r="A63" s="125"/>
      <c r="B63" s="30" t="s">
        <v>23</v>
      </c>
      <c r="C63" s="34" t="s">
        <v>26</v>
      </c>
      <c r="D63" s="113">
        <f>(1500-150)*0.49</f>
        <v>661.5</v>
      </c>
      <c r="E63" s="7">
        <f>248*8*(A62/1979)</f>
        <v>221.55836280949973</v>
      </c>
      <c r="F63" s="29">
        <f>E63/A62</f>
        <v>1.0025265285497724</v>
      </c>
      <c r="G63" s="36">
        <f t="shared" si="19"/>
        <v>2.9932126696832575</v>
      </c>
      <c r="H63" s="31">
        <v>59.65</v>
      </c>
      <c r="I63" s="115">
        <f t="shared" si="18"/>
        <v>178.54513574660629</v>
      </c>
    </row>
    <row r="64" spans="1:20" s="1" customFormat="1" ht="15.75" thickBot="1">
      <c r="A64" s="126"/>
      <c r="B64" s="18"/>
      <c r="C64" s="18"/>
      <c r="D64" s="18"/>
      <c r="E64" s="18"/>
      <c r="F64" s="18"/>
      <c r="G64" s="37"/>
      <c r="H64" s="21"/>
      <c r="I64" s="109">
        <f>SUM(I60:I63)</f>
        <v>2861.801824263348</v>
      </c>
      <c r="J64" s="121">
        <f>I64*A62</f>
        <v>632458.20316219993</v>
      </c>
      <c r="K64" s="121">
        <f>(1434860-144128.96)*0.49</f>
        <v>632458.20960000006</v>
      </c>
      <c r="L64" s="121">
        <f>K64-J64</f>
        <v>6.4378001261502504E-3</v>
      </c>
      <c r="M64" s="137">
        <f>L64/H61</f>
        <v>3.8083126049419981E-6</v>
      </c>
    </row>
    <row r="65" spans="1:13">
      <c r="A65" s="122" t="s">
        <v>69</v>
      </c>
      <c r="B65" s="11" t="s">
        <v>20</v>
      </c>
      <c r="C65" s="32" t="s">
        <v>24</v>
      </c>
      <c r="D65" s="110">
        <f>(86000-1400)*0.48</f>
        <v>40608</v>
      </c>
      <c r="E65" s="50">
        <f>248*8*(A67/1979)</f>
        <v>328.82870136432547</v>
      </c>
      <c r="F65" s="51">
        <f>E65/A67</f>
        <v>1.0025265285497729</v>
      </c>
      <c r="G65" s="36">
        <f>D65/E65*F65</f>
        <v>123.80487804878049</v>
      </c>
      <c r="H65" s="85">
        <v>7.6466200000000004</v>
      </c>
      <c r="I65" s="115">
        <f>H65*G65</f>
        <v>946.68885658536601</v>
      </c>
    </row>
    <row r="66" spans="1:13">
      <c r="A66" s="123" t="s">
        <v>66</v>
      </c>
      <c r="B66" s="5" t="s">
        <v>21</v>
      </c>
      <c r="C66" s="33" t="s">
        <v>25</v>
      </c>
      <c r="D66" s="111">
        <v>657.15290000000005</v>
      </c>
      <c r="E66" s="7">
        <f>248*8*(A67/1979)</f>
        <v>328.82870136432547</v>
      </c>
      <c r="F66" s="29">
        <f>E66/A67</f>
        <v>1.0025265285497729</v>
      </c>
      <c r="G66" s="36">
        <f>D66/E66*F66</f>
        <v>2.0035149390243907</v>
      </c>
      <c r="H66" s="6">
        <v>1690.46</v>
      </c>
      <c r="I66" s="115">
        <f t="shared" ref="I66:I68" si="20">H66*G66</f>
        <v>3386.8618638231715</v>
      </c>
    </row>
    <row r="67" spans="1:13">
      <c r="A67" s="124">
        <v>328</v>
      </c>
      <c r="B67" s="30" t="s">
        <v>22</v>
      </c>
      <c r="C67" s="34" t="s">
        <v>26</v>
      </c>
      <c r="D67" s="112">
        <f>(1600-150)*0.48</f>
        <v>696</v>
      </c>
      <c r="E67" s="7">
        <f>248*8*(A67/1979)</f>
        <v>328.82870136432547</v>
      </c>
      <c r="F67" s="29">
        <f>E67/A67</f>
        <v>1.0025265285497729</v>
      </c>
      <c r="G67" s="36">
        <f t="shared" ref="G67:G68" si="21">D67/E67*F67</f>
        <v>2.1219512195121952</v>
      </c>
      <c r="H67" s="31">
        <v>40.96</v>
      </c>
      <c r="I67" s="115">
        <f t="shared" si="20"/>
        <v>86.915121951219518</v>
      </c>
    </row>
    <row r="68" spans="1:13">
      <c r="A68" s="125"/>
      <c r="B68" s="30" t="s">
        <v>23</v>
      </c>
      <c r="C68" s="34" t="s">
        <v>26</v>
      </c>
      <c r="D68" s="112">
        <f>(1600-150)*0.48</f>
        <v>696</v>
      </c>
      <c r="E68" s="7">
        <f>248*8*(A67/1979)</f>
        <v>328.82870136432547</v>
      </c>
      <c r="F68" s="29">
        <f>E68/A67</f>
        <v>1.0025265285497729</v>
      </c>
      <c r="G68" s="36">
        <f t="shared" si="21"/>
        <v>2.1219512195121952</v>
      </c>
      <c r="H68" s="31">
        <v>59.65</v>
      </c>
      <c r="I68" s="115">
        <f t="shared" si="20"/>
        <v>126.57439024390244</v>
      </c>
    </row>
    <row r="69" spans="1:13" s="1" customFormat="1" ht="15.75" thickBot="1">
      <c r="A69" s="126"/>
      <c r="B69" s="18"/>
      <c r="C69" s="18"/>
      <c r="D69" s="18"/>
      <c r="E69" s="18"/>
      <c r="F69" s="18"/>
      <c r="G69" s="37"/>
      <c r="H69" s="21"/>
      <c r="I69" s="109">
        <f>SUM(I65:I68)</f>
        <v>4547.0402326036592</v>
      </c>
      <c r="J69" s="121">
        <f>I69*A67</f>
        <v>1491429.1962940001</v>
      </c>
      <c r="K69" s="121">
        <f>(3187862-144128.96)*0.49</f>
        <v>1491429.1895999999</v>
      </c>
      <c r="L69" s="121">
        <f>K69-J69</f>
        <v>-6.6940002143383026E-3</v>
      </c>
      <c r="M69" s="137">
        <f>L69/H66</f>
        <v>-3.9598690382134461E-6</v>
      </c>
    </row>
    <row r="70" spans="1:13">
      <c r="A70" s="122" t="s">
        <v>70</v>
      </c>
      <c r="B70" s="11" t="s">
        <v>20</v>
      </c>
      <c r="C70" s="32" t="s">
        <v>24</v>
      </c>
      <c r="D70" s="110">
        <f>(745000-1400)*0.48-150000</f>
        <v>206928</v>
      </c>
      <c r="E70" s="50">
        <f>248*8*(A72/1979)</f>
        <v>285.72006063668522</v>
      </c>
      <c r="F70" s="51">
        <f>E70/A72</f>
        <v>1.0025265285497726</v>
      </c>
      <c r="G70" s="36">
        <f>D70/E70*F70</f>
        <v>726.06315789473683</v>
      </c>
      <c r="H70" s="85">
        <v>7.6466200000000004</v>
      </c>
      <c r="I70" s="115">
        <f>H70*G70</f>
        <v>5551.9290644210532</v>
      </c>
    </row>
    <row r="71" spans="1:13">
      <c r="A71" s="123" t="s">
        <v>66</v>
      </c>
      <c r="B71" s="5" t="s">
        <v>21</v>
      </c>
      <c r="C71" s="33" t="s">
        <v>25</v>
      </c>
      <c r="D71" s="111">
        <v>490.51819</v>
      </c>
      <c r="E71" s="7">
        <f>248*8*(A72/1979)</f>
        <v>285.72006063668522</v>
      </c>
      <c r="F71" s="29">
        <f>E71/A72</f>
        <v>1.0025265285497726</v>
      </c>
      <c r="G71" s="36">
        <f>D71/E71*F71</f>
        <v>1.7211164561403509</v>
      </c>
      <c r="H71" s="6">
        <v>1690.46</v>
      </c>
      <c r="I71" s="115">
        <f t="shared" ref="I71:I73" si="22">H71*G71</f>
        <v>2909.4785244470177</v>
      </c>
    </row>
    <row r="72" spans="1:13">
      <c r="A72" s="124">
        <v>285</v>
      </c>
      <c r="B72" s="30" t="s">
        <v>22</v>
      </c>
      <c r="C72" s="34" t="s">
        <v>26</v>
      </c>
      <c r="D72" s="112">
        <f>(1650-150)*0.48</f>
        <v>720</v>
      </c>
      <c r="E72" s="7">
        <f>248*8*(A72/1979)</f>
        <v>285.72006063668522</v>
      </c>
      <c r="F72" s="29">
        <f>E72/A72</f>
        <v>1.0025265285497726</v>
      </c>
      <c r="G72" s="36">
        <f t="shared" ref="G72:G73" si="23">D72/E72*F72</f>
        <v>2.5263157894736841</v>
      </c>
      <c r="H72" s="31">
        <v>40.96</v>
      </c>
      <c r="I72" s="115">
        <f t="shared" si="22"/>
        <v>103.4778947368421</v>
      </c>
    </row>
    <row r="73" spans="1:13">
      <c r="A73" s="125"/>
      <c r="B73" s="30" t="s">
        <v>23</v>
      </c>
      <c r="C73" s="34" t="s">
        <v>26</v>
      </c>
      <c r="D73" s="112">
        <f>(1650-150)*0.48</f>
        <v>720</v>
      </c>
      <c r="E73" s="7">
        <f>248*8*(A72/1979)</f>
        <v>285.72006063668522</v>
      </c>
      <c r="F73" s="29">
        <f>E73/A72</f>
        <v>1.0025265285497726</v>
      </c>
      <c r="G73" s="36">
        <f t="shared" si="23"/>
        <v>2.5263157894736841</v>
      </c>
      <c r="H73" s="31">
        <v>59.65</v>
      </c>
      <c r="I73" s="115">
        <f t="shared" si="22"/>
        <v>150.69473684210524</v>
      </c>
    </row>
    <row r="74" spans="1:13" s="1" customFormat="1" ht="15.75" thickBot="1">
      <c r="A74" s="126"/>
      <c r="B74" s="18"/>
      <c r="C74" s="18"/>
      <c r="D74" s="18"/>
      <c r="E74" s="18"/>
      <c r="F74" s="18"/>
      <c r="G74" s="37"/>
      <c r="H74" s="21"/>
      <c r="I74" s="109">
        <f>SUM(I70:I73)</f>
        <v>8715.5802204470183</v>
      </c>
      <c r="J74" s="121">
        <f>I74*A72</f>
        <v>2483940.3628274002</v>
      </c>
      <c r="K74" s="121">
        <f>(13200+5200195-144128.96)*0.49</f>
        <v>2483940.3596000001</v>
      </c>
      <c r="L74" s="121">
        <f>K74-J74</f>
        <v>-3.2274001277983189E-3</v>
      </c>
      <c r="M74" s="137">
        <f>L74/H71</f>
        <v>-1.909184557929983E-6</v>
      </c>
    </row>
    <row r="75" spans="1:13">
      <c r="A75" s="122" t="s">
        <v>71</v>
      </c>
      <c r="B75" s="11" t="s">
        <v>20</v>
      </c>
      <c r="C75" s="32" t="s">
        <v>24</v>
      </c>
      <c r="D75" s="110">
        <f>(82000-1400)*0.44</f>
        <v>35464</v>
      </c>
      <c r="E75" s="50">
        <f>248*8*(A77/1979)</f>
        <v>419.05608893380497</v>
      </c>
      <c r="F75" s="51">
        <f>E75/A77</f>
        <v>1.0025265285497726</v>
      </c>
      <c r="G75" s="36">
        <f>D75/E75*F75</f>
        <v>84.84210526315789</v>
      </c>
      <c r="H75" s="85">
        <v>7.6466200000000004</v>
      </c>
      <c r="I75" s="115">
        <f>H75*G75</f>
        <v>648.75533894736839</v>
      </c>
    </row>
    <row r="76" spans="1:13">
      <c r="A76" s="123" t="s">
        <v>66</v>
      </c>
      <c r="B76" s="5" t="s">
        <v>21</v>
      </c>
      <c r="C76" s="33" t="s">
        <v>25</v>
      </c>
      <c r="D76" s="111">
        <v>375.96965</v>
      </c>
      <c r="E76" s="7">
        <f>248*8*(A77/1979)</f>
        <v>419.05608893380497</v>
      </c>
      <c r="F76" s="29">
        <f>E76/A77</f>
        <v>1.0025265285497726</v>
      </c>
      <c r="G76" s="36">
        <f>D76/E76*F76</f>
        <v>0.89944892344497607</v>
      </c>
      <c r="H76" s="6">
        <v>1690.46</v>
      </c>
      <c r="I76" s="115">
        <f t="shared" ref="I76:I78" si="24">H76*G76</f>
        <v>1520.4824271267942</v>
      </c>
    </row>
    <row r="77" spans="1:13">
      <c r="A77" s="124">
        <v>418</v>
      </c>
      <c r="B77" s="30" t="s">
        <v>22</v>
      </c>
      <c r="C77" s="34" t="s">
        <v>26</v>
      </c>
      <c r="D77" s="114">
        <f>(1500-150)*0.44</f>
        <v>594</v>
      </c>
      <c r="E77" s="7">
        <f>248*8*(A77/1979)</f>
        <v>419.05608893380497</v>
      </c>
      <c r="F77" s="29">
        <f>E77/A77</f>
        <v>1.0025265285497726</v>
      </c>
      <c r="G77" s="36">
        <f t="shared" ref="G77:G78" si="25">D77/E77*F77</f>
        <v>1.4210526315789473</v>
      </c>
      <c r="H77" s="31">
        <v>40.96</v>
      </c>
      <c r="I77" s="115">
        <f t="shared" si="24"/>
        <v>58.206315789473685</v>
      </c>
    </row>
    <row r="78" spans="1:13">
      <c r="A78" s="125"/>
      <c r="B78" s="30" t="s">
        <v>23</v>
      </c>
      <c r="C78" s="34" t="s">
        <v>26</v>
      </c>
      <c r="D78" s="114">
        <f>(1500-150)*0.44</f>
        <v>594</v>
      </c>
      <c r="E78" s="7">
        <f>248*8*(A77/1979)</f>
        <v>419.05608893380497</v>
      </c>
      <c r="F78" s="29">
        <f>E78/A77</f>
        <v>1.0025265285497726</v>
      </c>
      <c r="G78" s="36">
        <f t="shared" si="25"/>
        <v>1.4210526315789473</v>
      </c>
      <c r="H78" s="31">
        <v>59.65</v>
      </c>
      <c r="I78" s="115">
        <f t="shared" si="24"/>
        <v>84.765789473684208</v>
      </c>
    </row>
    <row r="79" spans="1:13" s="1" customFormat="1" ht="15.75" thickBot="1">
      <c r="A79" s="126"/>
      <c r="B79" s="18"/>
      <c r="C79" s="18"/>
      <c r="D79" s="18"/>
      <c r="E79" s="18"/>
      <c r="F79" s="18"/>
      <c r="G79" s="37"/>
      <c r="H79" s="21"/>
      <c r="I79" s="109">
        <f>SUM(I75:I78)</f>
        <v>2312.2098713373207</v>
      </c>
      <c r="J79" s="121">
        <f>I79*A77</f>
        <v>966503.72621900006</v>
      </c>
      <c r="K79" s="121">
        <f>(2291915-144128.96)*0.45</f>
        <v>966503.71799999999</v>
      </c>
      <c r="L79" s="121">
        <f>K79-J79</f>
        <v>-8.2190000684931874E-3</v>
      </c>
      <c r="M79" s="137">
        <f>L79/H76</f>
        <v>-4.8619902680295225E-6</v>
      </c>
    </row>
    <row r="80" spans="1:13">
      <c r="A80" s="122" t="s">
        <v>72</v>
      </c>
      <c r="B80" s="11" t="s">
        <v>20</v>
      </c>
      <c r="C80" s="32" t="s">
        <v>24</v>
      </c>
      <c r="D80" s="110">
        <f>(165000-1400)*0.48</f>
        <v>78528</v>
      </c>
      <c r="E80" s="50">
        <f>248*8*(A82/1979)</f>
        <v>482.21526023244064</v>
      </c>
      <c r="F80" s="51">
        <f>E80/A82</f>
        <v>1.0025265285497726</v>
      </c>
      <c r="G80" s="36">
        <f>D80/E80*F80</f>
        <v>163.25987525987526</v>
      </c>
      <c r="H80" s="85">
        <v>7.6466200000000004</v>
      </c>
      <c r="I80" s="115">
        <f>H80*G80</f>
        <v>1248.3862273596674</v>
      </c>
    </row>
    <row r="81" spans="1:13">
      <c r="A81" s="123" t="s">
        <v>66</v>
      </c>
      <c r="B81" s="5" t="s">
        <v>21</v>
      </c>
      <c r="C81" s="33" t="s">
        <v>25</v>
      </c>
      <c r="D81" s="111">
        <v>316.66160000000002</v>
      </c>
      <c r="E81" s="7">
        <f>248*8*(A82/1979)</f>
        <v>482.21526023244064</v>
      </c>
      <c r="F81" s="29">
        <f>E81/A82</f>
        <v>1.0025265285497726</v>
      </c>
      <c r="G81" s="36">
        <f>D81/E81*F81</f>
        <v>0.65834012474012482</v>
      </c>
      <c r="H81" s="6">
        <v>1690.46</v>
      </c>
      <c r="I81" s="115">
        <f t="shared" ref="I81:I83" si="26">H81*G81</f>
        <v>1112.8976472681913</v>
      </c>
    </row>
    <row r="82" spans="1:13">
      <c r="A82" s="124">
        <v>481</v>
      </c>
      <c r="B82" s="30" t="s">
        <v>22</v>
      </c>
      <c r="C82" s="34" t="s">
        <v>26</v>
      </c>
      <c r="D82" s="114">
        <f>(3000-150)*0.48</f>
        <v>1368</v>
      </c>
      <c r="E82" s="7">
        <f>248*8*(A82/1979)</f>
        <v>482.21526023244064</v>
      </c>
      <c r="F82" s="29">
        <f>E82/A82</f>
        <v>1.0025265285497726</v>
      </c>
      <c r="G82" s="36">
        <f t="shared" ref="G82:G83" si="27">D82/E82*F82</f>
        <v>2.8440748440748442</v>
      </c>
      <c r="H82" s="31">
        <v>40.96</v>
      </c>
      <c r="I82" s="115">
        <f t="shared" si="26"/>
        <v>116.49330561330562</v>
      </c>
    </row>
    <row r="83" spans="1:13">
      <c r="A83" s="125"/>
      <c r="B83" s="30" t="s">
        <v>23</v>
      </c>
      <c r="C83" s="34" t="s">
        <v>26</v>
      </c>
      <c r="D83" s="114">
        <f>(3000-150)*0.48</f>
        <v>1368</v>
      </c>
      <c r="E83" s="7">
        <f>248*8*(A82/1979)</f>
        <v>482.21526023244064</v>
      </c>
      <c r="F83" s="29">
        <f>E83/A82</f>
        <v>1.0025265285497726</v>
      </c>
      <c r="G83" s="36">
        <f t="shared" si="27"/>
        <v>2.8440748440748442</v>
      </c>
      <c r="H83" s="31">
        <v>59.65</v>
      </c>
      <c r="I83" s="115">
        <f t="shared" si="26"/>
        <v>169.64906444906447</v>
      </c>
    </row>
    <row r="84" spans="1:13" s="1" customFormat="1" ht="15.75" thickBot="1">
      <c r="A84" s="126"/>
      <c r="B84" s="18"/>
      <c r="C84" s="18"/>
      <c r="D84" s="18"/>
      <c r="E84" s="18"/>
      <c r="F84" s="18"/>
      <c r="G84" s="37"/>
      <c r="H84" s="21"/>
      <c r="I84" s="109">
        <f>SUM(I80:I83)</f>
        <v>2647.4262446902285</v>
      </c>
      <c r="J84" s="121">
        <f>I84*A82</f>
        <v>1273412.023696</v>
      </c>
      <c r="K84" s="121">
        <f>(2742929-144128.96)*0.49</f>
        <v>1273412.0196</v>
      </c>
      <c r="L84" s="121">
        <f>K84-J84</f>
        <v>-4.0959999896585941E-3</v>
      </c>
      <c r="M84" s="137">
        <f>L84/H81</f>
        <v>-2.4230091156599942E-6</v>
      </c>
    </row>
    <row r="85" spans="1:13">
      <c r="A85" s="122" t="s">
        <v>73</v>
      </c>
      <c r="B85" s="11" t="s">
        <v>20</v>
      </c>
      <c r="C85" s="32" t="s">
        <v>24</v>
      </c>
      <c r="D85" s="110">
        <f>(76000-1400)*0.48</f>
        <v>35808</v>
      </c>
      <c r="E85" s="50">
        <f>248*8*(A87/1979)</f>
        <v>302.76301162203129</v>
      </c>
      <c r="F85" s="51">
        <f>E85/A87</f>
        <v>1.0025265285497724</v>
      </c>
      <c r="G85" s="36">
        <f>D85/E85*F85</f>
        <v>118.56953642384106</v>
      </c>
      <c r="H85" s="85">
        <v>7.6466200000000004</v>
      </c>
      <c r="I85" s="115">
        <f>H85*G85</f>
        <v>906.65618860927157</v>
      </c>
    </row>
    <row r="86" spans="1:13">
      <c r="A86" s="123" t="s">
        <v>66</v>
      </c>
      <c r="B86" s="5" t="s">
        <v>21</v>
      </c>
      <c r="C86" s="33" t="s">
        <v>25</v>
      </c>
      <c r="D86" s="111">
        <v>226.11796000000001</v>
      </c>
      <c r="E86" s="7">
        <f>248*8*(A87/1979)</f>
        <v>302.76301162203129</v>
      </c>
      <c r="F86" s="29">
        <f>E86/A87</f>
        <v>1.0025265285497724</v>
      </c>
      <c r="G86" s="36">
        <f>D86/E86*F86</f>
        <v>0.74873496688741725</v>
      </c>
      <c r="H86" s="6">
        <v>1690.46</v>
      </c>
      <c r="I86" s="115">
        <f t="shared" ref="I86:I88" si="28">H86*G86</f>
        <v>1265.7065121245034</v>
      </c>
    </row>
    <row r="87" spans="1:13">
      <c r="A87" s="124">
        <v>302</v>
      </c>
      <c r="B87" s="30" t="s">
        <v>22</v>
      </c>
      <c r="C87" s="34" t="s">
        <v>26</v>
      </c>
      <c r="D87" s="112">
        <f>(1600-150)*0.48</f>
        <v>696</v>
      </c>
      <c r="E87" s="7">
        <f>248*8*(A87/1979)</f>
        <v>302.76301162203129</v>
      </c>
      <c r="F87" s="29">
        <f>E87/A87</f>
        <v>1.0025265285497724</v>
      </c>
      <c r="G87" s="36">
        <f t="shared" ref="G87:G88" si="29">D87/E87*F87</f>
        <v>2.3046357615894038</v>
      </c>
      <c r="H87" s="31">
        <v>40.96</v>
      </c>
      <c r="I87" s="115">
        <f t="shared" si="28"/>
        <v>94.397880794701976</v>
      </c>
    </row>
    <row r="88" spans="1:13">
      <c r="A88" s="125"/>
      <c r="B88" s="30" t="s">
        <v>23</v>
      </c>
      <c r="C88" s="34" t="s">
        <v>26</v>
      </c>
      <c r="D88" s="112">
        <f>(1600-150)*0.48</f>
        <v>696</v>
      </c>
      <c r="E88" s="7">
        <f>248*8*(A87/1979)</f>
        <v>302.76301162203129</v>
      </c>
      <c r="F88" s="29">
        <f>E88/A87</f>
        <v>1.0025265285497724</v>
      </c>
      <c r="G88" s="36">
        <f t="shared" si="29"/>
        <v>2.3046357615894038</v>
      </c>
      <c r="H88" s="31">
        <v>59.65</v>
      </c>
      <c r="I88" s="115">
        <f t="shared" si="28"/>
        <v>137.47152317880793</v>
      </c>
    </row>
    <row r="89" spans="1:13" s="1" customFormat="1" ht="15.75" thickBot="1">
      <c r="A89" s="126"/>
      <c r="B89" s="18"/>
      <c r="C89" s="18"/>
      <c r="D89" s="18"/>
      <c r="E89" s="18"/>
      <c r="F89" s="18"/>
      <c r="G89" s="37"/>
      <c r="H89" s="21"/>
      <c r="I89" s="109">
        <f>SUM(I85:I88)</f>
        <v>2404.2321047072846</v>
      </c>
      <c r="J89" s="121">
        <f>I89*A87</f>
        <v>726078.09562159993</v>
      </c>
      <c r="K89" s="121">
        <f>(1625921-144128.96)*0.49</f>
        <v>726078.09959999996</v>
      </c>
      <c r="L89" s="121">
        <f>K89-J89</f>
        <v>3.9784000255167484E-3</v>
      </c>
      <c r="M89" s="137">
        <f>L89/H86</f>
        <v>2.3534422734147795E-6</v>
      </c>
    </row>
    <row r="90" spans="1:13">
      <c r="A90" s="122" t="s">
        <v>96</v>
      </c>
      <c r="B90" s="13" t="s">
        <v>20</v>
      </c>
      <c r="C90" s="49" t="s">
        <v>24</v>
      </c>
      <c r="D90" s="110">
        <f>(107000-1400)*0.45</f>
        <v>47520</v>
      </c>
      <c r="E90" s="50">
        <f>248*8*(A92/1979)</f>
        <v>465.17230924709452</v>
      </c>
      <c r="F90" s="51">
        <f>E90/A92</f>
        <v>1.0025265285497726</v>
      </c>
      <c r="G90" s="36">
        <f>D90/E90*F90</f>
        <v>102.41379310344827</v>
      </c>
      <c r="H90" s="85">
        <v>7.6466200000000004</v>
      </c>
      <c r="I90" s="115">
        <f>H90*G90</f>
        <v>783.1193586206897</v>
      </c>
    </row>
    <row r="91" spans="1:13">
      <c r="A91" s="123" t="s">
        <v>66</v>
      </c>
      <c r="B91" s="5" t="s">
        <v>21</v>
      </c>
      <c r="C91" s="33" t="s">
        <v>25</v>
      </c>
      <c r="D91" s="111">
        <v>559.49932000000001</v>
      </c>
      <c r="E91" s="7">
        <f>248*8*(A92/1979)</f>
        <v>465.17230924709452</v>
      </c>
      <c r="F91" s="29">
        <f>E91/A92</f>
        <v>1.0025265285497726</v>
      </c>
      <c r="G91" s="36">
        <f>D91/E91*F91</f>
        <v>1.2058175</v>
      </c>
      <c r="H91" s="6">
        <v>1690.46</v>
      </c>
      <c r="I91" s="115">
        <f t="shared" ref="I91:I93" si="30">H91*G91</f>
        <v>2038.3862510500001</v>
      </c>
    </row>
    <row r="92" spans="1:13">
      <c r="A92" s="124">
        <v>464</v>
      </c>
      <c r="B92" s="30" t="s">
        <v>22</v>
      </c>
      <c r="C92" s="34" t="s">
        <v>26</v>
      </c>
      <c r="D92" s="112">
        <f>(1600-150)*0.45</f>
        <v>652.5</v>
      </c>
      <c r="E92" s="7">
        <f>248*8*(A92/1979)</f>
        <v>465.17230924709452</v>
      </c>
      <c r="F92" s="29">
        <f>E92/A92</f>
        <v>1.0025265285497726</v>
      </c>
      <c r="G92" s="36">
        <f t="shared" ref="G92:G93" si="31">D92/E92*F92</f>
        <v>1.40625</v>
      </c>
      <c r="H92" s="31">
        <v>40.96</v>
      </c>
      <c r="I92" s="115">
        <f t="shared" si="30"/>
        <v>57.6</v>
      </c>
    </row>
    <row r="93" spans="1:13">
      <c r="A93" s="125"/>
      <c r="B93" s="30" t="s">
        <v>23</v>
      </c>
      <c r="C93" s="34" t="s">
        <v>26</v>
      </c>
      <c r="D93" s="112">
        <f>(1600-150)*0.45</f>
        <v>652.5</v>
      </c>
      <c r="E93" s="7">
        <f>248*8*(A92/1979)</f>
        <v>465.17230924709452</v>
      </c>
      <c r="F93" s="29">
        <f>E93/A92</f>
        <v>1.0025265285497726</v>
      </c>
      <c r="G93" s="36">
        <f t="shared" si="31"/>
        <v>1.40625</v>
      </c>
      <c r="H93" s="31">
        <v>59.65</v>
      </c>
      <c r="I93" s="115">
        <f t="shared" si="30"/>
        <v>83.8828125</v>
      </c>
    </row>
    <row r="94" spans="1:13" s="1" customFormat="1" ht="15.75" thickBot="1">
      <c r="A94" s="126"/>
      <c r="B94" s="18"/>
      <c r="C94" s="18"/>
      <c r="D94" s="18"/>
      <c r="E94" s="18"/>
      <c r="F94" s="18"/>
      <c r="G94" s="37"/>
      <c r="H94" s="21"/>
      <c r="I94" s="109">
        <f>SUM(I90:I93)</f>
        <v>2962.9884221706898</v>
      </c>
      <c r="J94" s="121">
        <f>I94*A92</f>
        <v>1374826.6278872001</v>
      </c>
      <c r="K94" s="121">
        <f>(3069292-144128.96)*0.47</f>
        <v>1374826.6287999998</v>
      </c>
      <c r="L94" s="121">
        <f>K94-J94</f>
        <v>9.1279973275959492E-4</v>
      </c>
      <c r="M94" s="137">
        <f>L94/H91</f>
        <v>5.3997121065248206E-7</v>
      </c>
    </row>
    <row r="95" spans="1:13" s="1" customFormat="1" ht="15.75" thickBot="1">
      <c r="A95" s="132"/>
      <c r="B95" s="45"/>
      <c r="C95" s="46"/>
      <c r="D95" s="45"/>
      <c r="E95" s="52"/>
      <c r="F95" s="45"/>
      <c r="G95" s="44"/>
      <c r="H95" s="47"/>
      <c r="I95" s="116"/>
    </row>
    <row r="96" spans="1:13">
      <c r="A96" s="122" t="s">
        <v>75</v>
      </c>
      <c r="B96" s="13" t="s">
        <v>20</v>
      </c>
      <c r="C96" s="49" t="s">
        <v>24</v>
      </c>
      <c r="D96" s="110">
        <f>(56000-1400)*0.41</f>
        <v>22386</v>
      </c>
      <c r="E96" s="50">
        <f>248*8*(A98/1979)</f>
        <v>118.29813036887316</v>
      </c>
      <c r="F96" s="51">
        <f>E96/A98</f>
        <v>1.0025265285497726</v>
      </c>
      <c r="G96" s="36">
        <f>D96/E96*F96</f>
        <v>189.71186440677968</v>
      </c>
      <c r="H96" s="85">
        <v>7.6466200000000004</v>
      </c>
      <c r="I96" s="115">
        <f>H96*G96</f>
        <v>1450.6545366101698</v>
      </c>
    </row>
    <row r="97" spans="1:20">
      <c r="A97" s="123" t="s">
        <v>66</v>
      </c>
      <c r="B97" s="5" t="s">
        <v>21</v>
      </c>
      <c r="C97" s="33" t="s">
        <v>25</v>
      </c>
      <c r="D97" s="111">
        <v>253.15653</v>
      </c>
      <c r="E97" s="7">
        <f>248*8*(A98/1979)</f>
        <v>118.29813036887316</v>
      </c>
      <c r="F97" s="29">
        <f>E97/A98</f>
        <v>1.0025265285497726</v>
      </c>
      <c r="G97" s="36">
        <f>D97/E97*F97</f>
        <v>2.1453943220338982</v>
      </c>
      <c r="H97" s="6">
        <v>1690.46</v>
      </c>
      <c r="I97" s="115">
        <f t="shared" ref="I97:I99" si="32">H97*G97</f>
        <v>3626.7032856254236</v>
      </c>
    </row>
    <row r="98" spans="1:20">
      <c r="A98" s="124">
        <v>118</v>
      </c>
      <c r="B98" s="30" t="s">
        <v>22</v>
      </c>
      <c r="C98" s="34" t="s">
        <v>26</v>
      </c>
      <c r="D98" s="112">
        <f>(2085-150)*0.41</f>
        <v>793.34999999999991</v>
      </c>
      <c r="E98" s="7">
        <f>248*8*(A98/1979)</f>
        <v>118.29813036887316</v>
      </c>
      <c r="F98" s="29">
        <f>E98/A98</f>
        <v>1.0025265285497726</v>
      </c>
      <c r="G98" s="36">
        <f t="shared" ref="G98:G99" si="33">D98/E98*F98</f>
        <v>6.7233050847457632</v>
      </c>
      <c r="H98" s="31">
        <v>40.96</v>
      </c>
      <c r="I98" s="115">
        <f t="shared" si="32"/>
        <v>275.38657627118647</v>
      </c>
    </row>
    <row r="99" spans="1:20">
      <c r="A99" s="125"/>
      <c r="B99" s="30" t="s">
        <v>23</v>
      </c>
      <c r="C99" s="34" t="s">
        <v>26</v>
      </c>
      <c r="D99" s="112">
        <f>(2384-150)*0.41</f>
        <v>915.93999999999994</v>
      </c>
      <c r="E99" s="7">
        <f>248*8*(A98/1979)</f>
        <v>118.29813036887316</v>
      </c>
      <c r="F99" s="29">
        <f>E99/A98</f>
        <v>1.0025265285497726</v>
      </c>
      <c r="G99" s="36">
        <f t="shared" si="33"/>
        <v>7.7622033898305087</v>
      </c>
      <c r="H99" s="31">
        <v>59.65</v>
      </c>
      <c r="I99" s="115">
        <f t="shared" si="32"/>
        <v>463.01543220338982</v>
      </c>
    </row>
    <row r="100" spans="1:20" s="1" customFormat="1" ht="15.75" thickBot="1">
      <c r="A100" s="126"/>
      <c r="B100" s="18"/>
      <c r="C100" s="18"/>
      <c r="D100" s="18"/>
      <c r="E100" s="18"/>
      <c r="F100" s="18"/>
      <c r="G100" s="37"/>
      <c r="H100" s="21"/>
      <c r="I100" s="109">
        <f>SUM(I96:I99)</f>
        <v>5815.7598307101698</v>
      </c>
      <c r="J100" s="121">
        <f>I100*A98</f>
        <v>686259.66002379998</v>
      </c>
      <c r="K100" s="121">
        <f>(1817933-144128.96)*0.41</f>
        <v>686259.65639999998</v>
      </c>
      <c r="L100" s="121">
        <f>K100-J100</f>
        <v>-3.6238000029698014E-3</v>
      </c>
      <c r="M100" s="137">
        <f>L100/H97</f>
        <v>-2.1436768707747011E-6</v>
      </c>
    </row>
    <row r="101" spans="1:20">
      <c r="A101" s="122" t="s">
        <v>76</v>
      </c>
      <c r="B101" s="13" t="s">
        <v>20</v>
      </c>
      <c r="C101" s="49" t="s">
        <v>24</v>
      </c>
      <c r="D101" s="110">
        <f>(38000-1400)*0.52</f>
        <v>19032</v>
      </c>
      <c r="E101" s="50">
        <f>248*8*(A103/1979)</f>
        <v>134.33855482566952</v>
      </c>
      <c r="F101" s="51">
        <f>E101/A103</f>
        <v>1.0025265285497724</v>
      </c>
      <c r="G101" s="36">
        <f>D101/E101*F101</f>
        <v>142.02985074626864</v>
      </c>
      <c r="H101" s="85">
        <v>7.6466200000000004</v>
      </c>
      <c r="I101" s="115">
        <f>H101*G101</f>
        <v>1086.0482973134328</v>
      </c>
    </row>
    <row r="102" spans="1:20">
      <c r="A102" s="123" t="s">
        <v>66</v>
      </c>
      <c r="B102" s="5" t="s">
        <v>21</v>
      </c>
      <c r="C102" s="33" t="s">
        <v>25</v>
      </c>
      <c r="D102" s="111">
        <v>242.71691000000001</v>
      </c>
      <c r="E102" s="7">
        <f>248*8*(A103/1979)</f>
        <v>134.33855482566952</v>
      </c>
      <c r="F102" s="29">
        <f>E102/A103</f>
        <v>1.0025265285497724</v>
      </c>
      <c r="G102" s="36">
        <f>D102/E102*F102</f>
        <v>1.811320223880597</v>
      </c>
      <c r="H102" s="6">
        <v>1690.46</v>
      </c>
      <c r="I102" s="115">
        <f t="shared" ref="I102:I104" si="34">H102*G102</f>
        <v>3061.9643856611942</v>
      </c>
    </row>
    <row r="103" spans="1:20">
      <c r="A103" s="124">
        <v>134</v>
      </c>
      <c r="B103" s="30" t="s">
        <v>22</v>
      </c>
      <c r="C103" s="34" t="s">
        <v>26</v>
      </c>
      <c r="D103" s="112">
        <f>(900-150)*0.52</f>
        <v>390</v>
      </c>
      <c r="E103" s="7">
        <f>248*8*(A103/1979)</f>
        <v>134.33855482566952</v>
      </c>
      <c r="F103" s="29">
        <f>E103/A103</f>
        <v>1.0025265285497724</v>
      </c>
      <c r="G103" s="36">
        <f t="shared" ref="G103:G104" si="35">D103/E103*F103</f>
        <v>2.9104477611940291</v>
      </c>
      <c r="H103" s="31">
        <v>40.96</v>
      </c>
      <c r="I103" s="115">
        <f t="shared" si="34"/>
        <v>119.21194029850744</v>
      </c>
    </row>
    <row r="104" spans="1:20">
      <c r="A104" s="125"/>
      <c r="B104" s="30" t="s">
        <v>23</v>
      </c>
      <c r="C104" s="34" t="s">
        <v>26</v>
      </c>
      <c r="D104" s="112">
        <f>(1100-150)*0.52</f>
        <v>494</v>
      </c>
      <c r="E104" s="7">
        <f>248*8*(A103/1979)</f>
        <v>134.33855482566952</v>
      </c>
      <c r="F104" s="29">
        <f>E104/A103</f>
        <v>1.0025265285497724</v>
      </c>
      <c r="G104" s="36">
        <f t="shared" si="35"/>
        <v>3.6865671641791042</v>
      </c>
      <c r="H104" s="31">
        <v>59.65</v>
      </c>
      <c r="I104" s="115">
        <f t="shared" si="34"/>
        <v>219.90373134328357</v>
      </c>
    </row>
    <row r="105" spans="1:20" s="1" customFormat="1" ht="15.75" thickBot="1">
      <c r="A105" s="126"/>
      <c r="B105" s="18"/>
      <c r="C105" s="18"/>
      <c r="D105" s="18"/>
      <c r="E105" s="18"/>
      <c r="F105" s="18"/>
      <c r="G105" s="37"/>
      <c r="H105" s="21"/>
      <c r="I105" s="109">
        <f>SUM(I101:I104)</f>
        <v>4487.1283546164177</v>
      </c>
      <c r="J105" s="121">
        <f>I105*A103</f>
        <v>601275.19951860001</v>
      </c>
      <c r="K105" s="121">
        <f>(1236914-123441.4)*0.54</f>
        <v>601275.20400000014</v>
      </c>
      <c r="L105" s="121">
        <f>K105-J105</f>
        <v>4.4814001303166151E-3</v>
      </c>
      <c r="M105" s="137">
        <f>L105/H102</f>
        <v>2.6509944809795055E-6</v>
      </c>
    </row>
    <row r="106" spans="1:20" s="1" customFormat="1">
      <c r="A106" s="132"/>
      <c r="B106" s="45"/>
      <c r="C106" s="45"/>
      <c r="D106" s="45"/>
      <c r="E106" s="45"/>
      <c r="F106" s="45"/>
      <c r="G106" s="69"/>
      <c r="H106" s="47"/>
      <c r="I106" s="116"/>
      <c r="J106" s="3"/>
      <c r="K106" s="3"/>
      <c r="L106" s="3"/>
    </row>
    <row r="107" spans="1:20" ht="18.75">
      <c r="A107" s="128" t="s">
        <v>79</v>
      </c>
      <c r="I107" s="117"/>
      <c r="T107" s="1"/>
    </row>
    <row r="108" spans="1:20" ht="15.75" thickBot="1">
      <c r="G108" s="54" t="s">
        <v>57</v>
      </c>
      <c r="I108" s="117"/>
    </row>
    <row r="109" spans="1:20" ht="105">
      <c r="A109" s="130" t="s">
        <v>2</v>
      </c>
      <c r="B109" s="23" t="s">
        <v>19</v>
      </c>
      <c r="C109" s="23" t="s">
        <v>14</v>
      </c>
      <c r="D109" s="23" t="s">
        <v>16</v>
      </c>
      <c r="E109" s="23" t="s">
        <v>27</v>
      </c>
      <c r="F109" s="23" t="s">
        <v>65</v>
      </c>
      <c r="G109" s="23" t="s">
        <v>29</v>
      </c>
      <c r="H109" s="23" t="s">
        <v>30</v>
      </c>
      <c r="I109" s="118" t="s">
        <v>11</v>
      </c>
      <c r="J109" s="2" t="s">
        <v>33</v>
      </c>
      <c r="K109" s="2" t="s">
        <v>34</v>
      </c>
      <c r="L109" s="2"/>
    </row>
    <row r="110" spans="1:20" ht="15.75" thickBot="1">
      <c r="A110" s="131">
        <v>1</v>
      </c>
      <c r="B110" s="25">
        <v>2</v>
      </c>
      <c r="C110" s="25">
        <v>3</v>
      </c>
      <c r="D110" s="25">
        <v>4</v>
      </c>
      <c r="E110" s="25">
        <v>5</v>
      </c>
      <c r="F110" s="25" t="s">
        <v>53</v>
      </c>
      <c r="G110" s="25" t="s">
        <v>31</v>
      </c>
      <c r="H110" s="26">
        <v>8</v>
      </c>
      <c r="I110" s="119" t="s">
        <v>32</v>
      </c>
    </row>
    <row r="111" spans="1:20">
      <c r="A111" s="122" t="s">
        <v>64</v>
      </c>
      <c r="B111" s="11" t="s">
        <v>20</v>
      </c>
      <c r="C111" s="32" t="s">
        <v>24</v>
      </c>
      <c r="D111" s="110">
        <f>(42000-1400)*0.09</f>
        <v>3654</v>
      </c>
      <c r="E111" s="50">
        <f>248*8*(A113/1979)</f>
        <v>50.126326427488628</v>
      </c>
      <c r="F111" s="51">
        <f>E111/A113</f>
        <v>1.0025265285497726</v>
      </c>
      <c r="G111" s="36">
        <f>D111/E111*F111</f>
        <v>73.080000000000013</v>
      </c>
      <c r="H111" s="85">
        <v>7.6466200000000004</v>
      </c>
      <c r="I111" s="115">
        <f>H111*G111</f>
        <v>558.8149896000001</v>
      </c>
    </row>
    <row r="112" spans="1:20">
      <c r="A112" s="123" t="s">
        <v>66</v>
      </c>
      <c r="B112" s="5" t="s">
        <v>21</v>
      </c>
      <c r="C112" s="33" t="s">
        <v>25</v>
      </c>
      <c r="D112" s="111">
        <v>61.646954000000001</v>
      </c>
      <c r="E112" s="7">
        <f>248*8*(A113/1979)</f>
        <v>50.126326427488628</v>
      </c>
      <c r="F112" s="29">
        <f>E112/A113</f>
        <v>1.0025265285497726</v>
      </c>
      <c r="G112" s="36">
        <f>D112/E112*F112</f>
        <v>1.23293908</v>
      </c>
      <c r="H112" s="6">
        <v>1690.46</v>
      </c>
      <c r="I112" s="115">
        <f t="shared" ref="I112:I114" si="36">H112*G112</f>
        <v>2084.2341971768001</v>
      </c>
    </row>
    <row r="113" spans="1:13">
      <c r="A113" s="124">
        <v>50</v>
      </c>
      <c r="B113" s="30" t="s">
        <v>22</v>
      </c>
      <c r="C113" s="34" t="s">
        <v>26</v>
      </c>
      <c r="D113" s="112">
        <f>(850-150)*0.09</f>
        <v>63</v>
      </c>
      <c r="E113" s="7">
        <f>248*8*(A113/1979)</f>
        <v>50.126326427488628</v>
      </c>
      <c r="F113" s="29">
        <f>E113/A113</f>
        <v>1.0025265285497726</v>
      </c>
      <c r="G113" s="36">
        <f t="shared" ref="G113:G114" si="37">D113/E113*F113</f>
        <v>1.26</v>
      </c>
      <c r="H113" s="31">
        <v>40.96</v>
      </c>
      <c r="I113" s="115">
        <f t="shared" si="36"/>
        <v>51.6096</v>
      </c>
    </row>
    <row r="114" spans="1:13">
      <c r="A114" s="125"/>
      <c r="B114" s="30" t="s">
        <v>23</v>
      </c>
      <c r="C114" s="34" t="s">
        <v>26</v>
      </c>
      <c r="D114" s="113">
        <f>(1500-150)*0.09</f>
        <v>121.5</v>
      </c>
      <c r="E114" s="7">
        <f>248*8*(A113/1979)</f>
        <v>50.126326427488628</v>
      </c>
      <c r="F114" s="29">
        <f>E114/A113</f>
        <v>1.0025265285497726</v>
      </c>
      <c r="G114" s="36">
        <f t="shared" si="37"/>
        <v>2.4300000000000002</v>
      </c>
      <c r="H114" s="31">
        <v>59.65</v>
      </c>
      <c r="I114" s="115">
        <f t="shared" si="36"/>
        <v>144.9495</v>
      </c>
    </row>
    <row r="115" spans="1:13" s="1" customFormat="1" ht="15.75" thickBot="1">
      <c r="A115" s="126"/>
      <c r="B115" s="18"/>
      <c r="C115" s="18"/>
      <c r="D115" s="18"/>
      <c r="E115" s="18"/>
      <c r="F115" s="18"/>
      <c r="G115" s="37"/>
      <c r="H115" s="21"/>
      <c r="I115" s="109">
        <f>SUM(I111:I114)</f>
        <v>2839.6082867768005</v>
      </c>
      <c r="J115" s="121">
        <f>I115*A113</f>
        <v>141980.41433884003</v>
      </c>
      <c r="K115" s="121">
        <f>(1434860-144128.96)*0.11</f>
        <v>141980.41440000001</v>
      </c>
      <c r="L115" s="101">
        <f>K115-J115</f>
        <v>6.1159982578828931E-5</v>
      </c>
      <c r="M115" s="100">
        <f>L115/H112</f>
        <v>3.6179491131898379E-8</v>
      </c>
    </row>
    <row r="116" spans="1:13">
      <c r="A116" s="122" t="s">
        <v>69</v>
      </c>
      <c r="B116" s="11" t="s">
        <v>20</v>
      </c>
      <c r="C116" s="32" t="s">
        <v>24</v>
      </c>
      <c r="D116" s="110">
        <f>(86000-1400)*0.08</f>
        <v>6768</v>
      </c>
      <c r="E116" s="50">
        <f>248*8*(A118/1979)</f>
        <v>38.096008084891359</v>
      </c>
      <c r="F116" s="51">
        <f>E116/A118</f>
        <v>1.0025265285497726</v>
      </c>
      <c r="G116" s="36">
        <f>D116/E116*F116</f>
        <v>178.10526315789474</v>
      </c>
      <c r="H116" s="85">
        <v>7.6466200000000004</v>
      </c>
      <c r="I116" s="115">
        <f>H116*G116</f>
        <v>1361.9032673684212</v>
      </c>
    </row>
    <row r="117" spans="1:13">
      <c r="A117" s="123" t="s">
        <v>66</v>
      </c>
      <c r="B117" s="5" t="s">
        <v>21</v>
      </c>
      <c r="C117" s="33" t="s">
        <v>25</v>
      </c>
      <c r="D117" s="111">
        <v>70.513883000000007</v>
      </c>
      <c r="E117" s="7">
        <f>248*8*(A118/1979)</f>
        <v>38.096008084891359</v>
      </c>
      <c r="F117" s="29">
        <f>E117/A118</f>
        <v>1.0025265285497726</v>
      </c>
      <c r="G117" s="36">
        <f>D117/E117*F117</f>
        <v>1.8556285000000001</v>
      </c>
      <c r="H117" s="6">
        <v>1690.46</v>
      </c>
      <c r="I117" s="115">
        <f t="shared" ref="I117:I119" si="38">H117*G117</f>
        <v>3136.8657541100001</v>
      </c>
    </row>
    <row r="118" spans="1:13">
      <c r="A118" s="124">
        <v>38</v>
      </c>
      <c r="B118" s="30" t="s">
        <v>22</v>
      </c>
      <c r="C118" s="34" t="s">
        <v>26</v>
      </c>
      <c r="D118" s="112">
        <f>(1600-150)*0.08</f>
        <v>116</v>
      </c>
      <c r="E118" s="7">
        <f>248*8*(A118/1979)</f>
        <v>38.096008084891359</v>
      </c>
      <c r="F118" s="29">
        <f>E118/A118</f>
        <v>1.0025265285497726</v>
      </c>
      <c r="G118" s="36">
        <f t="shared" ref="G118:G119" si="39">D118/E118*F118</f>
        <v>3.0526315789473681</v>
      </c>
      <c r="H118" s="31">
        <v>40.96</v>
      </c>
      <c r="I118" s="115">
        <f t="shared" si="38"/>
        <v>125.0357894736842</v>
      </c>
    </row>
    <row r="119" spans="1:13">
      <c r="A119" s="125"/>
      <c r="B119" s="30" t="s">
        <v>23</v>
      </c>
      <c r="C119" s="34" t="s">
        <v>26</v>
      </c>
      <c r="D119" s="112">
        <f>(1600-150)*0.08</f>
        <v>116</v>
      </c>
      <c r="E119" s="7">
        <f>248*8*(A118/1979)</f>
        <v>38.096008084891359</v>
      </c>
      <c r="F119" s="29">
        <f>E119/A118</f>
        <v>1.0025265285497726</v>
      </c>
      <c r="G119" s="36">
        <f t="shared" si="39"/>
        <v>3.0526315789473681</v>
      </c>
      <c r="H119" s="31">
        <v>59.65</v>
      </c>
      <c r="I119" s="115">
        <f t="shared" si="38"/>
        <v>182.0894736842105</v>
      </c>
    </row>
    <row r="120" spans="1:13" s="1" customFormat="1" ht="15.75" thickBot="1">
      <c r="A120" s="126"/>
      <c r="B120" s="18"/>
      <c r="C120" s="18"/>
      <c r="D120" s="18"/>
      <c r="E120" s="18"/>
      <c r="F120" s="18"/>
      <c r="G120" s="37"/>
      <c r="H120" s="21"/>
      <c r="I120" s="109">
        <f>SUM(I116:I119)</f>
        <v>4805.8942846363161</v>
      </c>
      <c r="J120" s="121">
        <f>I120*A118</f>
        <v>182623.98281618001</v>
      </c>
      <c r="K120" s="121">
        <f>(3187862-144128.96)*0.06</f>
        <v>182623.98240000001</v>
      </c>
      <c r="L120" s="101">
        <f>K120-J120</f>
        <v>-4.1618000250309706E-4</v>
      </c>
      <c r="M120" s="100">
        <f>L120/H117</f>
        <v>-2.4619334530429412E-7</v>
      </c>
    </row>
    <row r="121" spans="1:13">
      <c r="A121" s="122" t="s">
        <v>70</v>
      </c>
      <c r="B121" s="11" t="s">
        <v>20</v>
      </c>
      <c r="C121" s="32" t="s">
        <v>24</v>
      </c>
      <c r="D121" s="110">
        <f>(745000-1400)*0.08-20000</f>
        <v>39488</v>
      </c>
      <c r="E121" s="50">
        <f>248*8*(A123/1979)</f>
        <v>40.101061141990904</v>
      </c>
      <c r="F121" s="51">
        <f>E121/A123</f>
        <v>1.0025265285497726</v>
      </c>
      <c r="G121" s="36">
        <f>D121/E121*F121</f>
        <v>987.2</v>
      </c>
      <c r="H121" s="85">
        <v>7.6466200000000004</v>
      </c>
      <c r="I121" s="115">
        <f>H121*G121</f>
        <v>7548.7432640000006</v>
      </c>
    </row>
    <row r="122" spans="1:13">
      <c r="A122" s="123" t="s">
        <v>66</v>
      </c>
      <c r="B122" s="5" t="s">
        <v>21</v>
      </c>
      <c r="C122" s="33" t="s">
        <v>25</v>
      </c>
      <c r="D122" s="111">
        <v>24.150641</v>
      </c>
      <c r="E122" s="7">
        <f>248*8*(A123/1979)</f>
        <v>40.101061141990904</v>
      </c>
      <c r="F122" s="29">
        <f>E122/A123</f>
        <v>1.0025265285497726</v>
      </c>
      <c r="G122" s="36">
        <f>D122/E122*F122</f>
        <v>0.60376602500000009</v>
      </c>
      <c r="H122" s="6">
        <v>1690.46</v>
      </c>
      <c r="I122" s="115">
        <f t="shared" ref="I122:I124" si="40">H122*G122</f>
        <v>1020.6423146215002</v>
      </c>
    </row>
    <row r="123" spans="1:13">
      <c r="A123" s="124">
        <v>40</v>
      </c>
      <c r="B123" s="30" t="s">
        <v>22</v>
      </c>
      <c r="C123" s="34" t="s">
        <v>26</v>
      </c>
      <c r="D123" s="112">
        <f>(1650-150)*0.08</f>
        <v>120</v>
      </c>
      <c r="E123" s="7">
        <f>248*8*(A123/1979)</f>
        <v>40.101061141990904</v>
      </c>
      <c r="F123" s="29">
        <f>E123/A123</f>
        <v>1.0025265285497726</v>
      </c>
      <c r="G123" s="36">
        <f t="shared" ref="G123:G124" si="41">D123/E123*F123</f>
        <v>3.0000000000000004</v>
      </c>
      <c r="H123" s="31">
        <v>40.96</v>
      </c>
      <c r="I123" s="115">
        <f t="shared" si="40"/>
        <v>122.88000000000002</v>
      </c>
    </row>
    <row r="124" spans="1:13">
      <c r="A124" s="125"/>
      <c r="B124" s="30" t="s">
        <v>23</v>
      </c>
      <c r="C124" s="34" t="s">
        <v>26</v>
      </c>
      <c r="D124" s="112">
        <f>(1650-150)*0.08</f>
        <v>120</v>
      </c>
      <c r="E124" s="7">
        <f>248*8*(A123/1979)</f>
        <v>40.101061141990904</v>
      </c>
      <c r="F124" s="29">
        <f>E124/A123</f>
        <v>1.0025265285497726</v>
      </c>
      <c r="G124" s="36">
        <f t="shared" si="41"/>
        <v>3.0000000000000004</v>
      </c>
      <c r="H124" s="31">
        <v>59.65</v>
      </c>
      <c r="I124" s="115">
        <f t="shared" si="40"/>
        <v>178.95000000000002</v>
      </c>
    </row>
    <row r="125" spans="1:13" s="1" customFormat="1" ht="15.75" thickBot="1">
      <c r="A125" s="126"/>
      <c r="B125" s="18"/>
      <c r="C125" s="18"/>
      <c r="D125" s="18"/>
      <c r="E125" s="18"/>
      <c r="F125" s="18"/>
      <c r="G125" s="37"/>
      <c r="H125" s="21"/>
      <c r="I125" s="109">
        <f>SUM(I121:I124)</f>
        <v>8871.2155786215008</v>
      </c>
      <c r="J125" s="121">
        <f>I125*A123</f>
        <v>354848.62314486003</v>
      </c>
      <c r="K125" s="121">
        <f>(13200+5200195-144128.96)*0.07</f>
        <v>354848.62280000001</v>
      </c>
      <c r="L125" s="101">
        <f>K125-J125</f>
        <v>-3.4486001823097467E-4</v>
      </c>
      <c r="M125" s="100">
        <f>L125/H122</f>
        <v>-2.0400365476318557E-7</v>
      </c>
    </row>
    <row r="126" spans="1:13">
      <c r="A126" s="122" t="s">
        <v>71</v>
      </c>
      <c r="B126" s="11" t="s">
        <v>20</v>
      </c>
      <c r="C126" s="32" t="s">
        <v>24</v>
      </c>
      <c r="D126" s="110">
        <f>(82000-1400)*0.11</f>
        <v>8866</v>
      </c>
      <c r="E126" s="50">
        <f>248*8*(A128/1979)</f>
        <v>94.237493683678622</v>
      </c>
      <c r="F126" s="51">
        <f>E126/A128</f>
        <v>1.0025265285497726</v>
      </c>
      <c r="G126" s="36">
        <f>D126/E126*F126</f>
        <v>94.319148936170222</v>
      </c>
      <c r="H126" s="85">
        <v>7.6466200000000004</v>
      </c>
      <c r="I126" s="115">
        <f>H126*G126</f>
        <v>721.22269063829799</v>
      </c>
    </row>
    <row r="127" spans="1:13">
      <c r="A127" s="123" t="s">
        <v>66</v>
      </c>
      <c r="B127" s="5" t="s">
        <v>21</v>
      </c>
      <c r="C127" s="33" t="s">
        <v>25</v>
      </c>
      <c r="D127" s="111">
        <v>90.816078000000005</v>
      </c>
      <c r="E127" s="7">
        <f>248*8*(A128/1979)</f>
        <v>94.237493683678622</v>
      </c>
      <c r="F127" s="29">
        <f>E127/A128</f>
        <v>1.0025265285497726</v>
      </c>
      <c r="G127" s="36">
        <f>D127/E127*F127</f>
        <v>0.96612848936170226</v>
      </c>
      <c r="H127" s="6">
        <v>1690.46</v>
      </c>
      <c r="I127" s="115">
        <f t="shared" ref="I127:I129" si="42">H127*G127</f>
        <v>1633.2015661263833</v>
      </c>
    </row>
    <row r="128" spans="1:13">
      <c r="A128" s="124">
        <v>94</v>
      </c>
      <c r="B128" s="30" t="s">
        <v>22</v>
      </c>
      <c r="C128" s="34" t="s">
        <v>26</v>
      </c>
      <c r="D128" s="114">
        <f>(1500-150)*0.11</f>
        <v>148.5</v>
      </c>
      <c r="E128" s="7">
        <f>248*8*(A128/1979)</f>
        <v>94.237493683678622</v>
      </c>
      <c r="F128" s="29">
        <f>E128/A128</f>
        <v>1.0025265285497726</v>
      </c>
      <c r="G128" s="36">
        <f t="shared" ref="G128:G129" si="43">D128/E128*F128</f>
        <v>1.5797872340425534</v>
      </c>
      <c r="H128" s="31">
        <v>40.96</v>
      </c>
      <c r="I128" s="115">
        <f t="shared" si="42"/>
        <v>64.708085106382981</v>
      </c>
    </row>
    <row r="129" spans="1:13">
      <c r="A129" s="125"/>
      <c r="B129" s="30" t="s">
        <v>23</v>
      </c>
      <c r="C129" s="34" t="s">
        <v>26</v>
      </c>
      <c r="D129" s="114">
        <f>(1500-150)*0.11</f>
        <v>148.5</v>
      </c>
      <c r="E129" s="7">
        <f>248*8*(A128/1979)</f>
        <v>94.237493683678622</v>
      </c>
      <c r="F129" s="29">
        <f>E129/A128</f>
        <v>1.0025265285497726</v>
      </c>
      <c r="G129" s="36">
        <f t="shared" si="43"/>
        <v>1.5797872340425534</v>
      </c>
      <c r="H129" s="31">
        <v>59.65</v>
      </c>
      <c r="I129" s="115">
        <f t="shared" si="42"/>
        <v>94.234308510638314</v>
      </c>
    </row>
    <row r="130" spans="1:13" s="1" customFormat="1" ht="15.75" thickBot="1">
      <c r="A130" s="126"/>
      <c r="B130" s="18"/>
      <c r="C130" s="18"/>
      <c r="D130" s="18"/>
      <c r="E130" s="18"/>
      <c r="F130" s="18"/>
      <c r="G130" s="37"/>
      <c r="H130" s="21"/>
      <c r="I130" s="109">
        <f>SUM(I126:I129)</f>
        <v>2513.3666503817026</v>
      </c>
      <c r="J130" s="121">
        <f>I130*A128</f>
        <v>236256.46513588005</v>
      </c>
      <c r="K130" s="121">
        <f>(2291915-144128.96)*0.11</f>
        <v>236256.4644</v>
      </c>
      <c r="L130" s="121">
        <f>K130-J130</f>
        <v>-7.3588005034253001E-4</v>
      </c>
      <c r="M130" s="137">
        <f>L130/H127</f>
        <v>-4.3531349475440414E-7</v>
      </c>
    </row>
    <row r="131" spans="1:13">
      <c r="A131" s="122" t="s">
        <v>72</v>
      </c>
      <c r="B131" s="11" t="s">
        <v>20</v>
      </c>
      <c r="C131" s="32" t="s">
        <v>24</v>
      </c>
      <c r="D131" s="110">
        <f>(165000-1400)*0.1</f>
        <v>16360</v>
      </c>
      <c r="E131" s="50">
        <f>248*8*(A133/1979)</f>
        <v>96.242546740778167</v>
      </c>
      <c r="F131" s="51">
        <f>E131/A133</f>
        <v>1.0025265285497726</v>
      </c>
      <c r="G131" s="36">
        <f>D131/E131*F131</f>
        <v>170.41666666666666</v>
      </c>
      <c r="H131" s="85">
        <v>7.6466200000000004</v>
      </c>
      <c r="I131" s="115">
        <f>H131*G131</f>
        <v>1303.1114916666666</v>
      </c>
    </row>
    <row r="132" spans="1:13">
      <c r="A132" s="123" t="s">
        <v>66</v>
      </c>
      <c r="B132" s="5" t="s">
        <v>21</v>
      </c>
      <c r="C132" s="33" t="s">
        <v>25</v>
      </c>
      <c r="D132" s="111">
        <v>62.768388999999999</v>
      </c>
      <c r="E132" s="7">
        <f>248*8*(A133/1979)</f>
        <v>96.242546740778167</v>
      </c>
      <c r="F132" s="29">
        <f>E132/A133</f>
        <v>1.0025265285497726</v>
      </c>
      <c r="G132" s="36">
        <f>D132/E132*F132</f>
        <v>0.65383738541666669</v>
      </c>
      <c r="H132" s="6">
        <v>1690.46</v>
      </c>
      <c r="I132" s="115">
        <f t="shared" ref="I132:I134" si="44">H132*G132</f>
        <v>1105.2859465514584</v>
      </c>
    </row>
    <row r="133" spans="1:13">
      <c r="A133" s="124">
        <v>96</v>
      </c>
      <c r="B133" s="30" t="s">
        <v>22</v>
      </c>
      <c r="C133" s="34" t="s">
        <v>26</v>
      </c>
      <c r="D133" s="114">
        <f>(3000-150)*0.1</f>
        <v>285</v>
      </c>
      <c r="E133" s="7">
        <f>248*8*(A133/1979)</f>
        <v>96.242546740778167</v>
      </c>
      <c r="F133" s="29">
        <f>E133/A133</f>
        <v>1.0025265285497726</v>
      </c>
      <c r="G133" s="36">
        <f t="shared" ref="G133:G134" si="45">D133/E133*F133</f>
        <v>2.9687500000000004</v>
      </c>
      <c r="H133" s="31">
        <v>40.96</v>
      </c>
      <c r="I133" s="115">
        <f t="shared" si="44"/>
        <v>121.60000000000002</v>
      </c>
    </row>
    <row r="134" spans="1:13">
      <c r="A134" s="125"/>
      <c r="B134" s="30" t="s">
        <v>23</v>
      </c>
      <c r="C134" s="34" t="s">
        <v>26</v>
      </c>
      <c r="D134" s="114">
        <f>(3000-150)*0.1</f>
        <v>285</v>
      </c>
      <c r="E134" s="7">
        <f>248*8*(A133/1979)</f>
        <v>96.242546740778167</v>
      </c>
      <c r="F134" s="29">
        <f>E134/A133</f>
        <v>1.0025265285497726</v>
      </c>
      <c r="G134" s="36">
        <f t="shared" si="45"/>
        <v>2.9687500000000004</v>
      </c>
      <c r="H134" s="31">
        <v>59.65</v>
      </c>
      <c r="I134" s="115">
        <f t="shared" si="44"/>
        <v>177.08593750000003</v>
      </c>
    </row>
    <row r="135" spans="1:13" s="1" customFormat="1" ht="15.75" thickBot="1">
      <c r="A135" s="126"/>
      <c r="B135" s="18"/>
      <c r="C135" s="18"/>
      <c r="D135" s="18"/>
      <c r="E135" s="18"/>
      <c r="F135" s="18"/>
      <c r="G135" s="37"/>
      <c r="H135" s="21"/>
      <c r="I135" s="109">
        <f>SUM(I131:I134)</f>
        <v>2707.0833757181249</v>
      </c>
      <c r="J135" s="121">
        <f>I135*A133</f>
        <v>259880.00406894</v>
      </c>
      <c r="K135" s="121">
        <f>(2742929-144128.96)*0.1</f>
        <v>259880.00400000002</v>
      </c>
      <c r="L135" s="121">
        <f>K135-J135</f>
        <v>-6.8939989432692528E-5</v>
      </c>
      <c r="M135" s="137">
        <f>L135/H132</f>
        <v>-4.0781792785805357E-8</v>
      </c>
    </row>
    <row r="136" spans="1:13">
      <c r="A136" s="122" t="s">
        <v>73</v>
      </c>
      <c r="B136" s="11" t="s">
        <v>20</v>
      </c>
      <c r="C136" s="32" t="s">
        <v>24</v>
      </c>
      <c r="D136" s="110">
        <f>(76000-1400)*0.08</f>
        <v>5968</v>
      </c>
      <c r="E136" s="50">
        <f>248*8*(A138/1979)</f>
        <v>44.111167256189994</v>
      </c>
      <c r="F136" s="51">
        <f>E136/A138</f>
        <v>1.0025265285497726</v>
      </c>
      <c r="G136" s="36">
        <f>D136/E136*F136</f>
        <v>135.63636363636365</v>
      </c>
      <c r="H136" s="85">
        <v>7.6466200000000004</v>
      </c>
      <c r="I136" s="115">
        <f>H136*G136</f>
        <v>1037.1597309090912</v>
      </c>
    </row>
    <row r="137" spans="1:13">
      <c r="A137" s="123" t="s">
        <v>66</v>
      </c>
      <c r="B137" s="5" t="s">
        <v>21</v>
      </c>
      <c r="C137" s="33" t="s">
        <v>25</v>
      </c>
      <c r="D137" s="111">
        <v>36.225391000000002</v>
      </c>
      <c r="E137" s="7">
        <f>248*8*(A138/1979)</f>
        <v>44.111167256189994</v>
      </c>
      <c r="F137" s="29">
        <f>E137/A138</f>
        <v>1.0025265285497726</v>
      </c>
      <c r="G137" s="36">
        <f>D137/E137*F137</f>
        <v>0.82330434090909099</v>
      </c>
      <c r="H137" s="6">
        <v>1690.46</v>
      </c>
      <c r="I137" s="115">
        <f t="shared" ref="I137:I139" si="46">H137*G137</f>
        <v>1391.7630561331821</v>
      </c>
    </row>
    <row r="138" spans="1:13">
      <c r="A138" s="124">
        <v>44</v>
      </c>
      <c r="B138" s="30" t="s">
        <v>22</v>
      </c>
      <c r="C138" s="34" t="s">
        <v>26</v>
      </c>
      <c r="D138" s="112">
        <f>(1600-150)*0.08</f>
        <v>116</v>
      </c>
      <c r="E138" s="7">
        <f>248*8*(A138/1979)</f>
        <v>44.111167256189994</v>
      </c>
      <c r="F138" s="29">
        <f>E138/A138</f>
        <v>1.0025265285497726</v>
      </c>
      <c r="G138" s="36">
        <f t="shared" ref="G138:G139" si="47">D138/E138*F138</f>
        <v>2.6363636363636367</v>
      </c>
      <c r="H138" s="31">
        <v>40.96</v>
      </c>
      <c r="I138" s="115">
        <f t="shared" si="46"/>
        <v>107.98545454545456</v>
      </c>
    </row>
    <row r="139" spans="1:13">
      <c r="A139" s="125"/>
      <c r="B139" s="30" t="s">
        <v>23</v>
      </c>
      <c r="C139" s="34" t="s">
        <v>26</v>
      </c>
      <c r="D139" s="112">
        <f>(1600-150)*0.08</f>
        <v>116</v>
      </c>
      <c r="E139" s="7">
        <f>248*8*(A138/1979)</f>
        <v>44.111167256189994</v>
      </c>
      <c r="F139" s="29">
        <f>E139/A138</f>
        <v>1.0025265285497726</v>
      </c>
      <c r="G139" s="36">
        <f t="shared" si="47"/>
        <v>2.6363636363636367</v>
      </c>
      <c r="H139" s="31">
        <v>59.65</v>
      </c>
      <c r="I139" s="115">
        <f t="shared" si="46"/>
        <v>157.25909090909093</v>
      </c>
    </row>
    <row r="140" spans="1:13" s="1" customFormat="1" ht="15.75" thickBot="1">
      <c r="A140" s="126"/>
      <c r="B140" s="18"/>
      <c r="C140" s="18"/>
      <c r="D140" s="18"/>
      <c r="E140" s="18"/>
      <c r="F140" s="18"/>
      <c r="G140" s="37"/>
      <c r="H140" s="21"/>
      <c r="I140" s="109">
        <f>SUM(I136:I139)</f>
        <v>2694.1673324968187</v>
      </c>
      <c r="J140" s="121">
        <f>I140*A138</f>
        <v>118543.36262986003</v>
      </c>
      <c r="K140" s="121">
        <f>(1625921-144128.96)*0.08</f>
        <v>118543.36320000001</v>
      </c>
      <c r="L140" s="121">
        <f>K140-J140</f>
        <v>5.7013997866306454E-4</v>
      </c>
      <c r="M140" s="137">
        <f>L140/H137</f>
        <v>3.3726913305435477E-7</v>
      </c>
    </row>
    <row r="141" spans="1:13">
      <c r="A141" s="122" t="s">
        <v>96</v>
      </c>
      <c r="B141" s="13" t="s">
        <v>20</v>
      </c>
      <c r="C141" s="49" t="s">
        <v>24</v>
      </c>
      <c r="D141" s="110">
        <f>(107000-1400)*0.13</f>
        <v>13728</v>
      </c>
      <c r="E141" s="50">
        <f>248*8*(A143/1979)</f>
        <v>116.29307731177363</v>
      </c>
      <c r="F141" s="51">
        <f>E141/A143</f>
        <v>1.0025265285497726</v>
      </c>
      <c r="G141" s="36">
        <f>D141/E141*F141</f>
        <v>118.3448275862069</v>
      </c>
      <c r="H141" s="85">
        <v>7.6466200000000004</v>
      </c>
      <c r="I141" s="115">
        <f>H141*G141</f>
        <v>904.93792551724152</v>
      </c>
    </row>
    <row r="142" spans="1:13">
      <c r="A142" s="123" t="s">
        <v>66</v>
      </c>
      <c r="B142" s="5" t="s">
        <v>21</v>
      </c>
      <c r="C142" s="33" t="s">
        <v>25</v>
      </c>
      <c r="D142" s="111">
        <v>134.33134999999999</v>
      </c>
      <c r="E142" s="7">
        <f>248*8*(A143/1979)</f>
        <v>116.29307731177363</v>
      </c>
      <c r="F142" s="29">
        <f>E142/A143</f>
        <v>1.0025265285497726</v>
      </c>
      <c r="G142" s="36">
        <f>D142/E142*F142</f>
        <v>1.1580288793103446</v>
      </c>
      <c r="H142" s="6">
        <v>1690.46</v>
      </c>
      <c r="I142" s="115">
        <f t="shared" ref="I142:I144" si="48">H142*G142</f>
        <v>1957.6014993189651</v>
      </c>
    </row>
    <row r="143" spans="1:13">
      <c r="A143" s="124">
        <v>116</v>
      </c>
      <c r="B143" s="30" t="s">
        <v>22</v>
      </c>
      <c r="C143" s="34" t="s">
        <v>26</v>
      </c>
      <c r="D143" s="112">
        <f>(1600-150)*0.13</f>
        <v>188.5</v>
      </c>
      <c r="E143" s="7">
        <f>248*8*(A143/1979)</f>
        <v>116.29307731177363</v>
      </c>
      <c r="F143" s="29">
        <f>E143/A143</f>
        <v>1.0025265285497726</v>
      </c>
      <c r="G143" s="36">
        <f t="shared" ref="G143:G144" si="49">D143/E143*F143</f>
        <v>1.625</v>
      </c>
      <c r="H143" s="31">
        <v>40.96</v>
      </c>
      <c r="I143" s="115">
        <f t="shared" si="48"/>
        <v>66.56</v>
      </c>
    </row>
    <row r="144" spans="1:13">
      <c r="A144" s="125"/>
      <c r="B144" s="30" t="s">
        <v>23</v>
      </c>
      <c r="C144" s="34" t="s">
        <v>26</v>
      </c>
      <c r="D144" s="112">
        <f>(1600-150)*0.13</f>
        <v>188.5</v>
      </c>
      <c r="E144" s="7">
        <f>248*8*(A143/1979)</f>
        <v>116.29307731177363</v>
      </c>
      <c r="F144" s="29">
        <f>E144/A143</f>
        <v>1.0025265285497726</v>
      </c>
      <c r="G144" s="36">
        <f t="shared" si="49"/>
        <v>1.625</v>
      </c>
      <c r="H144" s="31">
        <v>59.65</v>
      </c>
      <c r="I144" s="115">
        <f t="shared" si="48"/>
        <v>96.931249999999991</v>
      </c>
    </row>
    <row r="145" spans="1:20" s="1" customFormat="1" ht="15.75" thickBot="1">
      <c r="A145" s="126"/>
      <c r="B145" s="18"/>
      <c r="C145" s="18"/>
      <c r="D145" s="18"/>
      <c r="E145" s="18"/>
      <c r="F145" s="18"/>
      <c r="G145" s="37"/>
      <c r="H145" s="21"/>
      <c r="I145" s="109">
        <f>SUM(I141:I144)</f>
        <v>3026.0306748362068</v>
      </c>
      <c r="J145" s="121">
        <f>I145*A143</f>
        <v>351019.55828100001</v>
      </c>
      <c r="K145" s="121">
        <f>(3069292-144128.96)*0.12</f>
        <v>351019.56479999999</v>
      </c>
      <c r="L145" s="121">
        <f>K145-J145</f>
        <v>6.5189999877475202E-3</v>
      </c>
      <c r="M145" s="137">
        <f>L145/H142</f>
        <v>3.8563467859325388E-6</v>
      </c>
    </row>
    <row r="146" spans="1:20" s="1" customFormat="1" ht="15.75" thickBot="1">
      <c r="A146" s="132"/>
      <c r="B146" s="45"/>
      <c r="C146" s="46"/>
      <c r="D146" s="45"/>
      <c r="E146" s="52"/>
      <c r="F146" s="45"/>
      <c r="G146" s="44"/>
      <c r="H146" s="47"/>
      <c r="I146" s="116"/>
    </row>
    <row r="147" spans="1:20">
      <c r="A147" s="122" t="s">
        <v>75</v>
      </c>
      <c r="B147" s="13" t="s">
        <v>20</v>
      </c>
      <c r="C147" s="49" t="s">
        <v>24</v>
      </c>
      <c r="D147" s="110">
        <f>(56000-1400)*0.13</f>
        <v>7098</v>
      </c>
      <c r="E147" s="50">
        <f>248*8*(A149/1979)</f>
        <v>34.085901970692269</v>
      </c>
      <c r="F147" s="51">
        <f>E147/A149</f>
        <v>1.0025265285497726</v>
      </c>
      <c r="G147" s="36">
        <f>D147/E147*F147</f>
        <v>208.76470588235296</v>
      </c>
      <c r="H147" s="85">
        <v>7.6466200000000004</v>
      </c>
      <c r="I147" s="115">
        <f>H147*G147</f>
        <v>1596.3443752941178</v>
      </c>
    </row>
    <row r="148" spans="1:20">
      <c r="A148" s="123" t="s">
        <v>66</v>
      </c>
      <c r="B148" s="5" t="s">
        <v>21</v>
      </c>
      <c r="C148" s="33" t="s">
        <v>25</v>
      </c>
      <c r="D148" s="111">
        <v>70.367671999999999</v>
      </c>
      <c r="E148" s="7">
        <f>248*8*(A149/1979)</f>
        <v>34.085901970692269</v>
      </c>
      <c r="F148" s="29">
        <f>E148/A149</f>
        <v>1.0025265285497726</v>
      </c>
      <c r="G148" s="36">
        <f>D148/E148*F148</f>
        <v>2.0696374117647061</v>
      </c>
      <c r="H148" s="6">
        <v>1690.46</v>
      </c>
      <c r="I148" s="115">
        <f t="shared" ref="I148:I150" si="50">H148*G148</f>
        <v>3498.6392590917649</v>
      </c>
    </row>
    <row r="149" spans="1:20">
      <c r="A149" s="124">
        <v>34</v>
      </c>
      <c r="B149" s="30" t="s">
        <v>22</v>
      </c>
      <c r="C149" s="34" t="s">
        <v>26</v>
      </c>
      <c r="D149" s="112">
        <f>(2085-150)*0.13</f>
        <v>251.55</v>
      </c>
      <c r="E149" s="7">
        <f>248*8*(A149/1979)</f>
        <v>34.085901970692269</v>
      </c>
      <c r="F149" s="29">
        <f>E149/A149</f>
        <v>1.0025265285497726</v>
      </c>
      <c r="G149" s="36">
        <f t="shared" ref="G149:G150" si="51">D149/E149*F149</f>
        <v>7.3985294117647058</v>
      </c>
      <c r="H149" s="31">
        <v>40.96</v>
      </c>
      <c r="I149" s="115">
        <f t="shared" si="50"/>
        <v>303.04376470588238</v>
      </c>
    </row>
    <row r="150" spans="1:20">
      <c r="A150" s="125"/>
      <c r="B150" s="30" t="s">
        <v>23</v>
      </c>
      <c r="C150" s="34" t="s">
        <v>26</v>
      </c>
      <c r="D150" s="112">
        <f>(2384-150)*0.13</f>
        <v>290.42</v>
      </c>
      <c r="E150" s="7">
        <f>248*8*(A149/1979)</f>
        <v>34.085901970692269</v>
      </c>
      <c r="F150" s="29">
        <f>E150/A149</f>
        <v>1.0025265285497726</v>
      </c>
      <c r="G150" s="36">
        <f t="shared" si="51"/>
        <v>8.541764705882354</v>
      </c>
      <c r="H150" s="31">
        <v>59.65</v>
      </c>
      <c r="I150" s="115">
        <f t="shared" si="50"/>
        <v>509.51626470588241</v>
      </c>
    </row>
    <row r="151" spans="1:20" s="1" customFormat="1" ht="15.75" thickBot="1">
      <c r="A151" s="126"/>
      <c r="B151" s="18"/>
      <c r="C151" s="18"/>
      <c r="D151" s="18"/>
      <c r="E151" s="18"/>
      <c r="F151" s="18"/>
      <c r="G151" s="37"/>
      <c r="H151" s="21"/>
      <c r="I151" s="109">
        <f>SUM(I147:I150)</f>
        <v>5907.5436637976472</v>
      </c>
      <c r="J151" s="121">
        <f>I151*A149</f>
        <v>200856.48456912002</v>
      </c>
      <c r="K151" s="121">
        <f>(1817933-144128.96)*0.12</f>
        <v>200856.48480000001</v>
      </c>
      <c r="L151" s="121">
        <f>K151-J151</f>
        <v>2.3087998852133751E-4</v>
      </c>
      <c r="M151" s="137">
        <f>L151/H148</f>
        <v>1.3657820269118316E-7</v>
      </c>
    </row>
    <row r="152" spans="1:20">
      <c r="A152" s="122" t="s">
        <v>76</v>
      </c>
      <c r="B152" s="13" t="s">
        <v>20</v>
      </c>
      <c r="C152" s="49" t="s">
        <v>24</v>
      </c>
      <c r="D152" s="68"/>
      <c r="E152" s="50">
        <f>248*8*(A154/1979)</f>
        <v>0</v>
      </c>
      <c r="F152" s="51" t="e">
        <f>E152/A154</f>
        <v>#DIV/0!</v>
      </c>
      <c r="G152" s="36" t="e">
        <f>D152/E152*F152</f>
        <v>#DIV/0!</v>
      </c>
      <c r="H152" s="85">
        <v>7.6466200000000004</v>
      </c>
      <c r="I152" s="115" t="e">
        <f>H152*G152</f>
        <v>#DIV/0!</v>
      </c>
    </row>
    <row r="153" spans="1:20">
      <c r="A153" s="123" t="s">
        <v>66</v>
      </c>
      <c r="B153" s="5" t="s">
        <v>21</v>
      </c>
      <c r="C153" s="33" t="s">
        <v>25</v>
      </c>
      <c r="D153" s="8"/>
      <c r="E153" s="7">
        <f>248*8*(A154/1979)</f>
        <v>0</v>
      </c>
      <c r="F153" s="29" t="e">
        <f>E153/A154</f>
        <v>#DIV/0!</v>
      </c>
      <c r="G153" s="36" t="e">
        <f>D153/E153*F153</f>
        <v>#DIV/0!</v>
      </c>
      <c r="H153" s="6">
        <v>1690.46</v>
      </c>
      <c r="I153" s="115" t="e">
        <f t="shared" ref="I153:I155" si="52">H153*G153</f>
        <v>#DIV/0!</v>
      </c>
    </row>
    <row r="154" spans="1:20">
      <c r="A154" s="124"/>
      <c r="B154" s="30" t="s">
        <v>22</v>
      </c>
      <c r="C154" s="34" t="s">
        <v>26</v>
      </c>
      <c r="D154" s="30"/>
      <c r="E154" s="7">
        <f>248*8*(A154/1979)</f>
        <v>0</v>
      </c>
      <c r="F154" s="29" t="e">
        <f>E154/A154</f>
        <v>#DIV/0!</v>
      </c>
      <c r="G154" s="36" t="e">
        <f t="shared" ref="G154:G155" si="53">D154/E154*F154</f>
        <v>#DIV/0!</v>
      </c>
      <c r="H154" s="31">
        <v>40.96</v>
      </c>
      <c r="I154" s="115" t="e">
        <f t="shared" si="52"/>
        <v>#DIV/0!</v>
      </c>
    </row>
    <row r="155" spans="1:20">
      <c r="A155" s="125"/>
      <c r="B155" s="30" t="s">
        <v>23</v>
      </c>
      <c r="C155" s="34" t="s">
        <v>26</v>
      </c>
      <c r="D155" s="30"/>
      <c r="E155" s="7">
        <f>248*8*(A154/1979)</f>
        <v>0</v>
      </c>
      <c r="F155" s="29" t="e">
        <f>E155/A154</f>
        <v>#DIV/0!</v>
      </c>
      <c r="G155" s="36" t="e">
        <f t="shared" si="53"/>
        <v>#DIV/0!</v>
      </c>
      <c r="H155" s="31">
        <v>59.65</v>
      </c>
      <c r="I155" s="115" t="e">
        <f t="shared" si="52"/>
        <v>#DIV/0!</v>
      </c>
    </row>
    <row r="156" spans="1:20" s="1" customFormat="1" ht="15.75" thickBot="1">
      <c r="A156" s="126"/>
      <c r="B156" s="18"/>
      <c r="C156" s="18"/>
      <c r="D156" s="18"/>
      <c r="E156" s="18"/>
      <c r="F156" s="18"/>
      <c r="G156" s="37"/>
      <c r="H156" s="21"/>
      <c r="I156" s="109" t="e">
        <f>SUM(I152:I155)</f>
        <v>#DIV/0!</v>
      </c>
      <c r="J156" s="3">
        <v>0</v>
      </c>
      <c r="K156" s="3">
        <v>0</v>
      </c>
      <c r="L156" s="3">
        <f>K156-J156</f>
        <v>0</v>
      </c>
    </row>
    <row r="157" spans="1:20" s="1" customFormat="1">
      <c r="A157" s="132"/>
      <c r="B157" s="45"/>
      <c r="C157" s="45"/>
      <c r="D157" s="45"/>
      <c r="E157" s="45"/>
      <c r="F157" s="45"/>
      <c r="G157" s="69"/>
      <c r="H157" s="47"/>
      <c r="I157" s="48"/>
      <c r="J157" s="3"/>
      <c r="K157" s="3"/>
      <c r="L157" s="3"/>
    </row>
    <row r="158" spans="1:20" ht="19.5" thickBot="1">
      <c r="A158" s="128" t="s">
        <v>80</v>
      </c>
      <c r="T158" s="1"/>
    </row>
    <row r="159" spans="1:20" ht="105">
      <c r="A159" s="130" t="s">
        <v>2</v>
      </c>
      <c r="B159" s="23" t="s">
        <v>19</v>
      </c>
      <c r="C159" s="23" t="s">
        <v>14</v>
      </c>
      <c r="D159" s="23" t="s">
        <v>16</v>
      </c>
      <c r="E159" s="23" t="s">
        <v>27</v>
      </c>
      <c r="F159" s="23" t="s">
        <v>65</v>
      </c>
      <c r="G159" s="23" t="s">
        <v>29</v>
      </c>
      <c r="H159" s="23" t="s">
        <v>30</v>
      </c>
      <c r="I159" s="24" t="s">
        <v>11</v>
      </c>
      <c r="J159" s="2" t="s">
        <v>33</v>
      </c>
      <c r="K159" s="2" t="s">
        <v>34</v>
      </c>
      <c r="L159" s="2"/>
    </row>
    <row r="160" spans="1:20" ht="15.75" thickBot="1">
      <c r="A160" s="131">
        <v>1</v>
      </c>
      <c r="B160" s="25">
        <v>2</v>
      </c>
      <c r="C160" s="25">
        <v>3</v>
      </c>
      <c r="D160" s="25">
        <v>4</v>
      </c>
      <c r="E160" s="25">
        <v>5</v>
      </c>
      <c r="F160" s="25" t="s">
        <v>53</v>
      </c>
      <c r="G160" s="25" t="s">
        <v>31</v>
      </c>
      <c r="H160" s="26">
        <v>8</v>
      </c>
      <c r="I160" s="27" t="s">
        <v>32</v>
      </c>
    </row>
    <row r="161" spans="1:12">
      <c r="A161" s="122" t="s">
        <v>64</v>
      </c>
      <c r="B161" s="11" t="s">
        <v>20</v>
      </c>
      <c r="C161" s="32" t="s">
        <v>24</v>
      </c>
      <c r="D161" s="68">
        <v>1000</v>
      </c>
      <c r="E161" s="50">
        <f>248*8*(A163/1979)</f>
        <v>53449.701869631128</v>
      </c>
      <c r="F161" s="51">
        <f>E161/A163</f>
        <v>1.0025265285497726</v>
      </c>
      <c r="G161" s="36">
        <f>D161/E161*F161</f>
        <v>1.8756447528838038E-2</v>
      </c>
      <c r="H161" s="85">
        <v>7.6466200000000004</v>
      </c>
      <c r="I161" s="115">
        <f>H161*G161</f>
        <v>0.14342342680296352</v>
      </c>
      <c r="J161" s="137"/>
      <c r="K161" s="137"/>
      <c r="L161" s="137"/>
    </row>
    <row r="162" spans="1:12">
      <c r="A162" s="123" t="s">
        <v>97</v>
      </c>
      <c r="B162" s="5" t="s">
        <v>21</v>
      </c>
      <c r="C162" s="33" t="s">
        <v>25</v>
      </c>
      <c r="D162" s="8">
        <v>30</v>
      </c>
      <c r="E162" s="7">
        <f>248*8*(A163/1979)</f>
        <v>53449.701869631128</v>
      </c>
      <c r="F162" s="29">
        <f>E162/A163</f>
        <v>1.0025265285497726</v>
      </c>
      <c r="G162" s="36">
        <f>D162/E162*F162</f>
        <v>5.6269342586514118E-4</v>
      </c>
      <c r="H162" s="6">
        <v>1690.46</v>
      </c>
      <c r="I162" s="115">
        <f t="shared" ref="I162:I164" si="54">H162*G162</f>
        <v>0.95121072868798662</v>
      </c>
      <c r="J162" s="137"/>
      <c r="K162" s="137"/>
      <c r="L162" s="137"/>
    </row>
    <row r="163" spans="1:12">
      <c r="A163" s="124">
        <v>53315</v>
      </c>
      <c r="B163" s="30" t="s">
        <v>22</v>
      </c>
      <c r="C163" s="34" t="s">
        <v>26</v>
      </c>
      <c r="D163" s="30">
        <v>30</v>
      </c>
      <c r="E163" s="7">
        <f>248*8*(A163/1979)</f>
        <v>53449.701869631128</v>
      </c>
      <c r="F163" s="29">
        <f>E163/A163</f>
        <v>1.0025265285497726</v>
      </c>
      <c r="G163" s="36">
        <f t="shared" ref="G163:G164" si="55">D163/E163*F163</f>
        <v>5.6269342586514118E-4</v>
      </c>
      <c r="H163" s="31">
        <v>40.96</v>
      </c>
      <c r="I163" s="115">
        <f t="shared" si="54"/>
        <v>2.3047922723436184E-2</v>
      </c>
      <c r="J163" s="137"/>
      <c r="K163" s="137"/>
      <c r="L163" s="137"/>
    </row>
    <row r="164" spans="1:12">
      <c r="A164" s="125"/>
      <c r="B164" s="30" t="s">
        <v>23</v>
      </c>
      <c r="C164" s="34" t="s">
        <v>26</v>
      </c>
      <c r="D164" s="30">
        <v>30</v>
      </c>
      <c r="E164" s="7">
        <f>248*8*(A163/1979)</f>
        <v>53449.701869631128</v>
      </c>
      <c r="F164" s="29">
        <f>E164/A163</f>
        <v>1.0025265285497726</v>
      </c>
      <c r="G164" s="36">
        <f t="shared" si="55"/>
        <v>5.6269342586514118E-4</v>
      </c>
      <c r="H164" s="31">
        <v>59.65</v>
      </c>
      <c r="I164" s="115">
        <f t="shared" si="54"/>
        <v>3.356466285285567E-2</v>
      </c>
      <c r="J164" s="137"/>
      <c r="K164" s="137"/>
      <c r="L164" s="137"/>
    </row>
    <row r="165" spans="1:12" s="1" customFormat="1" ht="15.75" thickBot="1">
      <c r="A165" s="126"/>
      <c r="B165" s="18"/>
      <c r="C165" s="18"/>
      <c r="D165" s="18"/>
      <c r="E165" s="18"/>
      <c r="F165" s="18"/>
      <c r="G165" s="37"/>
      <c r="H165" s="21"/>
      <c r="I165" s="109">
        <f>SUM(I161:I164)</f>
        <v>1.151246741067242</v>
      </c>
      <c r="J165" s="121">
        <f>I165*A163</f>
        <v>61378.720000000008</v>
      </c>
      <c r="K165" s="121">
        <v>61378.720000000001</v>
      </c>
      <c r="L165" s="121">
        <f>K165-J165</f>
        <v>0</v>
      </c>
    </row>
    <row r="166" spans="1:12">
      <c r="A166" s="122" t="s">
        <v>69</v>
      </c>
      <c r="B166" s="11" t="s">
        <v>20</v>
      </c>
      <c r="C166" s="32" t="s">
        <v>24</v>
      </c>
      <c r="D166" s="68">
        <v>1000</v>
      </c>
      <c r="E166" s="50">
        <f>248*8*(A168/1979)</f>
        <v>58838.281960586159</v>
      </c>
      <c r="F166" s="51">
        <f>E166/A168</f>
        <v>1.0025265285497726</v>
      </c>
      <c r="G166" s="36">
        <f>D166/E166*F166</f>
        <v>1.7038677798602828E-2</v>
      </c>
      <c r="H166" s="85">
        <v>7.6466200000000004</v>
      </c>
      <c r="I166" s="115">
        <f>H166*G166</f>
        <v>0.13028829442835235</v>
      </c>
      <c r="J166" s="137"/>
      <c r="K166" s="137"/>
      <c r="L166" s="137"/>
    </row>
    <row r="167" spans="1:12">
      <c r="A167" s="123" t="s">
        <v>97</v>
      </c>
      <c r="B167" s="5" t="s">
        <v>21</v>
      </c>
      <c r="C167" s="33" t="s">
        <v>25</v>
      </c>
      <c r="D167" s="8">
        <v>30</v>
      </c>
      <c r="E167" s="7">
        <f>248*8*(A168/1979)</f>
        <v>58838.281960586159</v>
      </c>
      <c r="F167" s="29">
        <f>E167/A168</f>
        <v>1.0025265285497726</v>
      </c>
      <c r="G167" s="36">
        <f>D167/E167*F167</f>
        <v>5.1116033395808491E-4</v>
      </c>
      <c r="H167" s="6">
        <v>1690.46</v>
      </c>
      <c r="I167" s="115">
        <f t="shared" ref="I167:I169" si="56">H167*G167</f>
        <v>0.86409609814278421</v>
      </c>
      <c r="J167" s="137"/>
      <c r="K167" s="137"/>
      <c r="L167" s="137"/>
    </row>
    <row r="168" spans="1:12">
      <c r="A168" s="124">
        <v>58690</v>
      </c>
      <c r="B168" s="30" t="s">
        <v>22</v>
      </c>
      <c r="C168" s="34" t="s">
        <v>26</v>
      </c>
      <c r="D168" s="30">
        <v>30</v>
      </c>
      <c r="E168" s="7">
        <f>248*8*(A168/1979)</f>
        <v>58838.281960586159</v>
      </c>
      <c r="F168" s="29">
        <f>E168/A168</f>
        <v>1.0025265285497726</v>
      </c>
      <c r="G168" s="36">
        <f t="shared" ref="G168:G169" si="57">D168/E168*F168</f>
        <v>5.1116033395808491E-4</v>
      </c>
      <c r="H168" s="31">
        <v>40.96</v>
      </c>
      <c r="I168" s="115">
        <f t="shared" si="56"/>
        <v>2.0937127278923159E-2</v>
      </c>
      <c r="J168" s="137"/>
      <c r="K168" s="137"/>
      <c r="L168" s="137"/>
    </row>
    <row r="169" spans="1:12">
      <c r="A169" s="125"/>
      <c r="B169" s="30" t="s">
        <v>23</v>
      </c>
      <c r="C169" s="34" t="s">
        <v>26</v>
      </c>
      <c r="D169" s="30">
        <v>30</v>
      </c>
      <c r="E169" s="7">
        <f>248*8*(A168/1979)</f>
        <v>58838.281960586159</v>
      </c>
      <c r="F169" s="29">
        <f>E169/A168</f>
        <v>1.0025265285497726</v>
      </c>
      <c r="G169" s="36">
        <f t="shared" si="57"/>
        <v>5.1116033395808491E-4</v>
      </c>
      <c r="H169" s="31">
        <v>59.65</v>
      </c>
      <c r="I169" s="115">
        <f t="shared" si="56"/>
        <v>3.0490713920599762E-2</v>
      </c>
      <c r="J169" s="137"/>
      <c r="K169" s="137"/>
      <c r="L169" s="137"/>
    </row>
    <row r="170" spans="1:12" s="1" customFormat="1" ht="15.75" thickBot="1">
      <c r="A170" s="126"/>
      <c r="B170" s="18"/>
      <c r="C170" s="18"/>
      <c r="D170" s="18"/>
      <c r="E170" s="18"/>
      <c r="F170" s="18"/>
      <c r="G170" s="37"/>
      <c r="H170" s="21"/>
      <c r="I170" s="109">
        <f>SUM(I166:I169)</f>
        <v>1.0458122337706592</v>
      </c>
      <c r="J170" s="121">
        <f>I170*A168</f>
        <v>61378.719999999994</v>
      </c>
      <c r="K170" s="121">
        <v>61378.720000000001</v>
      </c>
      <c r="L170" s="121">
        <f>K170-J170</f>
        <v>0</v>
      </c>
    </row>
    <row r="171" spans="1:12">
      <c r="A171" s="122" t="s">
        <v>70</v>
      </c>
      <c r="B171" s="11" t="s">
        <v>20</v>
      </c>
      <c r="C171" s="32" t="s">
        <v>24</v>
      </c>
      <c r="D171" s="68">
        <v>1000</v>
      </c>
      <c r="E171" s="50">
        <f>248*8*(A173/1979)</f>
        <v>65137.15613946438</v>
      </c>
      <c r="F171" s="51">
        <f>E171/A173</f>
        <v>1.0025265285497726</v>
      </c>
      <c r="G171" s="36">
        <f>D171/E171*F171</f>
        <v>1.5391008572791775E-2</v>
      </c>
      <c r="H171" s="85">
        <v>7.6466200000000004</v>
      </c>
      <c r="I171" s="115">
        <f>H171*G171</f>
        <v>0.11768919397288105</v>
      </c>
      <c r="J171" s="137"/>
      <c r="K171" s="121"/>
      <c r="L171" s="137"/>
    </row>
    <row r="172" spans="1:12">
      <c r="A172" s="123" t="s">
        <v>97</v>
      </c>
      <c r="B172" s="5" t="s">
        <v>21</v>
      </c>
      <c r="C172" s="33" t="s">
        <v>25</v>
      </c>
      <c r="D172" s="8">
        <v>30</v>
      </c>
      <c r="E172" s="7">
        <f>248*8*(A173/1979)</f>
        <v>65137.15613946438</v>
      </c>
      <c r="F172" s="29">
        <f>E172/A173</f>
        <v>1.0025265285497726</v>
      </c>
      <c r="G172" s="36">
        <f>D172/E172*F172</f>
        <v>4.6173025718375323E-4</v>
      </c>
      <c r="H172" s="6">
        <v>1690.46</v>
      </c>
      <c r="I172" s="115">
        <f t="shared" ref="I172:I174" si="58">H172*G172</f>
        <v>0.78053653055884753</v>
      </c>
      <c r="J172" s="137"/>
      <c r="K172" s="121"/>
      <c r="L172" s="137"/>
    </row>
    <row r="173" spans="1:12">
      <c r="A173" s="124">
        <v>64973</v>
      </c>
      <c r="B173" s="30" t="s">
        <v>22</v>
      </c>
      <c r="C173" s="34" t="s">
        <v>26</v>
      </c>
      <c r="D173" s="30">
        <v>30</v>
      </c>
      <c r="E173" s="7">
        <f>248*8*(A173/1979)</f>
        <v>65137.15613946438</v>
      </c>
      <c r="F173" s="29">
        <f>E173/A173</f>
        <v>1.0025265285497726</v>
      </c>
      <c r="G173" s="36">
        <f t="shared" ref="G173:G174" si="59">D173/E173*F173</f>
        <v>4.6173025718375323E-4</v>
      </c>
      <c r="H173" s="31">
        <v>40.96</v>
      </c>
      <c r="I173" s="115">
        <f t="shared" si="58"/>
        <v>1.8912471334246533E-2</v>
      </c>
      <c r="J173" s="137"/>
      <c r="K173" s="121"/>
      <c r="L173" s="137"/>
    </row>
    <row r="174" spans="1:12">
      <c r="A174" s="125"/>
      <c r="B174" s="30" t="s">
        <v>23</v>
      </c>
      <c r="C174" s="34" t="s">
        <v>26</v>
      </c>
      <c r="D174" s="30">
        <v>30</v>
      </c>
      <c r="E174" s="7">
        <f>248*8*(A173/1979)</f>
        <v>65137.15613946438</v>
      </c>
      <c r="F174" s="29">
        <f>E174/A173</f>
        <v>1.0025265285497726</v>
      </c>
      <c r="G174" s="36">
        <f t="shared" si="59"/>
        <v>4.6173025718375323E-4</v>
      </c>
      <c r="H174" s="31">
        <v>59.65</v>
      </c>
      <c r="I174" s="115">
        <f t="shared" si="58"/>
        <v>2.7542209841010881E-2</v>
      </c>
      <c r="J174" s="137"/>
      <c r="K174" s="121"/>
      <c r="L174" s="137"/>
    </row>
    <row r="175" spans="1:12" s="1" customFormat="1" ht="15.75" thickBot="1">
      <c r="A175" s="126"/>
      <c r="B175" s="18"/>
      <c r="C175" s="18"/>
      <c r="D175" s="18"/>
      <c r="E175" s="18"/>
      <c r="F175" s="18"/>
      <c r="G175" s="37"/>
      <c r="H175" s="21"/>
      <c r="I175" s="109">
        <f>SUM(I171:I174)</f>
        <v>0.94468040570698597</v>
      </c>
      <c r="J175" s="121">
        <f>I175*A173</f>
        <v>61378.720000000001</v>
      </c>
      <c r="K175" s="121">
        <v>61378.720000000001</v>
      </c>
      <c r="L175" s="121">
        <f>K175-J175</f>
        <v>0</v>
      </c>
    </row>
    <row r="176" spans="1:12">
      <c r="A176" s="122" t="s">
        <v>71</v>
      </c>
      <c r="B176" s="11" t="s">
        <v>20</v>
      </c>
      <c r="C176" s="32" t="s">
        <v>24</v>
      </c>
      <c r="D176" s="68">
        <v>1000</v>
      </c>
      <c r="E176" s="50">
        <f>248*8*(A178/1979)</f>
        <v>63481.9848408287</v>
      </c>
      <c r="F176" s="51">
        <f>E176/A178</f>
        <v>1.0025265285497726</v>
      </c>
      <c r="G176" s="36">
        <f>D176/E176*F176</f>
        <v>1.5792299674678628E-2</v>
      </c>
      <c r="H176" s="85">
        <v>7.6466200000000004</v>
      </c>
      <c r="I176" s="115">
        <f>H176*G176</f>
        <v>0.1207577145383911</v>
      </c>
      <c r="J176" s="137"/>
      <c r="K176" s="121"/>
      <c r="L176" s="137"/>
    </row>
    <row r="177" spans="1:12">
      <c r="A177" s="123" t="s">
        <v>97</v>
      </c>
      <c r="B177" s="5" t="s">
        <v>21</v>
      </c>
      <c r="C177" s="33" t="s">
        <v>25</v>
      </c>
      <c r="D177" s="8">
        <v>30</v>
      </c>
      <c r="E177" s="7">
        <f>248*8*(A178/1979)</f>
        <v>63481.9848408287</v>
      </c>
      <c r="F177" s="29">
        <f>E177/A178</f>
        <v>1.0025265285497726</v>
      </c>
      <c r="G177" s="36">
        <f>D177/E177*F177</f>
        <v>4.737689902403588E-4</v>
      </c>
      <c r="H177" s="6">
        <v>1690.46</v>
      </c>
      <c r="I177" s="115">
        <f t="shared" ref="I177:I179" si="60">H177*G177</f>
        <v>0.80088752724171697</v>
      </c>
      <c r="J177" s="137"/>
      <c r="K177" s="121"/>
      <c r="L177" s="137"/>
    </row>
    <row r="178" spans="1:12">
      <c r="A178" s="124">
        <v>63322</v>
      </c>
      <c r="B178" s="30" t="s">
        <v>22</v>
      </c>
      <c r="C178" s="34" t="s">
        <v>26</v>
      </c>
      <c r="D178" s="30">
        <v>30</v>
      </c>
      <c r="E178" s="7">
        <f>248*8*(A178/1979)</f>
        <v>63481.9848408287</v>
      </c>
      <c r="F178" s="29">
        <f>E178/A178</f>
        <v>1.0025265285497726</v>
      </c>
      <c r="G178" s="36">
        <f t="shared" ref="G178:G179" si="61">D178/E178*F178</f>
        <v>4.737689902403588E-4</v>
      </c>
      <c r="H178" s="31">
        <v>40.96</v>
      </c>
      <c r="I178" s="115">
        <f t="shared" si="60"/>
        <v>1.9405577840245096E-2</v>
      </c>
      <c r="J178" s="137"/>
      <c r="K178" s="121"/>
      <c r="L178" s="137"/>
    </row>
    <row r="179" spans="1:12">
      <c r="A179" s="125"/>
      <c r="B179" s="30" t="s">
        <v>23</v>
      </c>
      <c r="C179" s="34" t="s">
        <v>26</v>
      </c>
      <c r="D179" s="30">
        <v>30</v>
      </c>
      <c r="E179" s="7">
        <f>248*8*(A178/1979)</f>
        <v>63481.9848408287</v>
      </c>
      <c r="F179" s="29">
        <f>E179/A178</f>
        <v>1.0025265285497726</v>
      </c>
      <c r="G179" s="36">
        <f t="shared" si="61"/>
        <v>4.737689902403588E-4</v>
      </c>
      <c r="H179" s="31">
        <v>59.65</v>
      </c>
      <c r="I179" s="115">
        <f t="shared" si="60"/>
        <v>2.82603202678374E-2</v>
      </c>
      <c r="J179" s="137"/>
      <c r="K179" s="121"/>
      <c r="L179" s="137"/>
    </row>
    <row r="180" spans="1:12" s="1" customFormat="1" ht="15.75" thickBot="1">
      <c r="A180" s="126"/>
      <c r="B180" s="18"/>
      <c r="C180" s="18"/>
      <c r="D180" s="18"/>
      <c r="E180" s="18"/>
      <c r="F180" s="18"/>
      <c r="G180" s="37"/>
      <c r="H180" s="21"/>
      <c r="I180" s="109">
        <f>SUM(I176:I179)</f>
        <v>0.96931113988819062</v>
      </c>
      <c r="J180" s="121">
        <f>I180*A178</f>
        <v>61378.720000000008</v>
      </c>
      <c r="K180" s="121">
        <v>61378.720000000001</v>
      </c>
      <c r="L180" s="121">
        <f>K180-J180</f>
        <v>0</v>
      </c>
    </row>
    <row r="181" spans="1:12">
      <c r="A181" s="122" t="s">
        <v>72</v>
      </c>
      <c r="B181" s="11" t="s">
        <v>20</v>
      </c>
      <c r="C181" s="32" t="s">
        <v>24</v>
      </c>
      <c r="D181" s="68">
        <v>1000</v>
      </c>
      <c r="E181" s="50">
        <f>248*8*(A183/1979)</f>
        <v>52594.546740778169</v>
      </c>
      <c r="F181" s="51">
        <f>E181/A183</f>
        <v>1.0025265285497726</v>
      </c>
      <c r="G181" s="36">
        <f>D181/E181*F181</f>
        <v>1.9061415881971716E-2</v>
      </c>
      <c r="H181" s="85">
        <v>7.6466200000000004</v>
      </c>
      <c r="I181" s="115">
        <f>H181*G181</f>
        <v>0.14575540391140257</v>
      </c>
      <c r="J181" s="137"/>
      <c r="K181" s="121"/>
      <c r="L181" s="137"/>
    </row>
    <row r="182" spans="1:12">
      <c r="A182" s="123" t="s">
        <v>97</v>
      </c>
      <c r="B182" s="5" t="s">
        <v>21</v>
      </c>
      <c r="C182" s="33" t="s">
        <v>25</v>
      </c>
      <c r="D182" s="8">
        <v>30</v>
      </c>
      <c r="E182" s="7">
        <f>248*8*(A183/1979)</f>
        <v>52594.546740778169</v>
      </c>
      <c r="F182" s="29">
        <f>E182/A183</f>
        <v>1.0025265285497726</v>
      </c>
      <c r="G182" s="36">
        <f>D182/E182*F182</f>
        <v>5.7184247645915135E-4</v>
      </c>
      <c r="H182" s="6">
        <v>1690.46</v>
      </c>
      <c r="I182" s="115">
        <f t="shared" ref="I182:I184" si="62">H182*G182</f>
        <v>0.96667683275513705</v>
      </c>
      <c r="J182" s="137"/>
      <c r="K182" s="121"/>
      <c r="L182" s="137"/>
    </row>
    <row r="183" spans="1:12">
      <c r="A183" s="124">
        <v>52462</v>
      </c>
      <c r="B183" s="30" t="s">
        <v>22</v>
      </c>
      <c r="C183" s="34" t="s">
        <v>26</v>
      </c>
      <c r="D183" s="30">
        <v>30</v>
      </c>
      <c r="E183" s="7">
        <f>248*8*(A183/1979)</f>
        <v>52594.546740778169</v>
      </c>
      <c r="F183" s="29">
        <f>E183/A183</f>
        <v>1.0025265285497726</v>
      </c>
      <c r="G183" s="36">
        <f t="shared" ref="G183:G184" si="63">D183/E183*F183</f>
        <v>5.7184247645915135E-4</v>
      </c>
      <c r="H183" s="31">
        <v>40.96</v>
      </c>
      <c r="I183" s="115">
        <f t="shared" si="62"/>
        <v>2.3422667835766839E-2</v>
      </c>
      <c r="J183" s="137"/>
      <c r="K183" s="121"/>
      <c r="L183" s="137"/>
    </row>
    <row r="184" spans="1:12">
      <c r="A184" s="125"/>
      <c r="B184" s="30" t="s">
        <v>23</v>
      </c>
      <c r="C184" s="34" t="s">
        <v>26</v>
      </c>
      <c r="D184" s="30">
        <v>30</v>
      </c>
      <c r="E184" s="7">
        <f>248*8*(A183/1979)</f>
        <v>52594.546740778169</v>
      </c>
      <c r="F184" s="29">
        <f>E184/A183</f>
        <v>1.0025265285497726</v>
      </c>
      <c r="G184" s="36">
        <f t="shared" si="63"/>
        <v>5.7184247645915135E-4</v>
      </c>
      <c r="H184" s="31">
        <v>59.65</v>
      </c>
      <c r="I184" s="115">
        <f t="shared" si="62"/>
        <v>3.4110403720788378E-2</v>
      </c>
      <c r="J184" s="137"/>
      <c r="K184" s="121"/>
      <c r="L184" s="137"/>
    </row>
    <row r="185" spans="1:12" s="1" customFormat="1" ht="15.75" thickBot="1">
      <c r="A185" s="126"/>
      <c r="B185" s="18"/>
      <c r="C185" s="18"/>
      <c r="D185" s="18"/>
      <c r="E185" s="18"/>
      <c r="F185" s="18"/>
      <c r="G185" s="37"/>
      <c r="H185" s="21"/>
      <c r="I185" s="109">
        <f>SUM(I181:I184)</f>
        <v>1.1699653082230947</v>
      </c>
      <c r="J185" s="121">
        <f>I185*A183</f>
        <v>61378.719999999994</v>
      </c>
      <c r="K185" s="121">
        <v>61378.720000000001</v>
      </c>
      <c r="L185" s="121">
        <f>K185-J185</f>
        <v>0</v>
      </c>
    </row>
    <row r="186" spans="1:12">
      <c r="A186" s="122" t="s">
        <v>73</v>
      </c>
      <c r="B186" s="11" t="s">
        <v>20</v>
      </c>
      <c r="C186" s="32" t="s">
        <v>24</v>
      </c>
      <c r="D186" s="68">
        <v>1000</v>
      </c>
      <c r="E186" s="50">
        <f>248*8*(A188/1979)</f>
        <v>58866.35270338555</v>
      </c>
      <c r="F186" s="51">
        <f>E186/A188</f>
        <v>1.0025265285497726</v>
      </c>
      <c r="G186" s="36">
        <f>D186/E186*F186</f>
        <v>1.703055281174427E-2</v>
      </c>
      <c r="H186" s="85">
        <v>7.6466200000000004</v>
      </c>
      <c r="I186" s="115">
        <f>H186*G186</f>
        <v>0.13022616574133997</v>
      </c>
      <c r="J186" s="137"/>
      <c r="K186" s="121"/>
      <c r="L186" s="137"/>
    </row>
    <row r="187" spans="1:12">
      <c r="A187" s="123" t="s">
        <v>97</v>
      </c>
      <c r="B187" s="5" t="s">
        <v>21</v>
      </c>
      <c r="C187" s="33" t="s">
        <v>25</v>
      </c>
      <c r="D187" s="8">
        <v>30</v>
      </c>
      <c r="E187" s="7">
        <f>248*8*(A188/1979)</f>
        <v>58866.35270338555</v>
      </c>
      <c r="F187" s="29">
        <f>E187/A188</f>
        <v>1.0025265285497726</v>
      </c>
      <c r="G187" s="36">
        <f>D187/E187*F187</f>
        <v>5.1091658435232818E-4</v>
      </c>
      <c r="H187" s="6">
        <v>1690.46</v>
      </c>
      <c r="I187" s="115">
        <f t="shared" ref="I187:I189" si="64">H187*G187</f>
        <v>0.86368404918423669</v>
      </c>
      <c r="J187" s="137"/>
      <c r="K187" s="121"/>
      <c r="L187" s="137"/>
    </row>
    <row r="188" spans="1:12">
      <c r="A188" s="124">
        <v>58718</v>
      </c>
      <c r="B188" s="30" t="s">
        <v>22</v>
      </c>
      <c r="C188" s="34" t="s">
        <v>26</v>
      </c>
      <c r="D188" s="30">
        <v>30</v>
      </c>
      <c r="E188" s="7">
        <f>248*8*(A188/1979)</f>
        <v>58866.35270338555</v>
      </c>
      <c r="F188" s="29">
        <f>E188/A188</f>
        <v>1.0025265285497726</v>
      </c>
      <c r="G188" s="36">
        <f t="shared" ref="G188:G189" si="65">D188/E188*F188</f>
        <v>5.1091658435232818E-4</v>
      </c>
      <c r="H188" s="31">
        <v>40.96</v>
      </c>
      <c r="I188" s="115">
        <f t="shared" si="64"/>
        <v>2.0927143295071362E-2</v>
      </c>
      <c r="J188" s="137"/>
      <c r="K188" s="121"/>
      <c r="L188" s="137"/>
    </row>
    <row r="189" spans="1:12">
      <c r="A189" s="125"/>
      <c r="B189" s="30" t="s">
        <v>23</v>
      </c>
      <c r="C189" s="34" t="s">
        <v>26</v>
      </c>
      <c r="D189" s="30">
        <v>30</v>
      </c>
      <c r="E189" s="7">
        <f>248*8*(A188/1979)</f>
        <v>58866.35270338555</v>
      </c>
      <c r="F189" s="29">
        <f>E189/A188</f>
        <v>1.0025265285497726</v>
      </c>
      <c r="G189" s="36">
        <f t="shared" si="65"/>
        <v>5.1091658435232818E-4</v>
      </c>
      <c r="H189" s="31">
        <v>59.65</v>
      </c>
      <c r="I189" s="115">
        <f t="shared" si="64"/>
        <v>3.0476174256616376E-2</v>
      </c>
      <c r="J189" s="137"/>
      <c r="K189" s="121"/>
      <c r="L189" s="137"/>
    </row>
    <row r="190" spans="1:12" s="1" customFormat="1" ht="15.75" thickBot="1">
      <c r="A190" s="126"/>
      <c r="B190" s="18"/>
      <c r="C190" s="18"/>
      <c r="D190" s="18"/>
      <c r="E190" s="18"/>
      <c r="F190" s="18"/>
      <c r="G190" s="37"/>
      <c r="H190" s="21"/>
      <c r="I190" s="109">
        <f>SUM(I186:I189)</f>
        <v>1.0453135324772644</v>
      </c>
      <c r="J190" s="121">
        <f>I190*A188</f>
        <v>61378.720000000016</v>
      </c>
      <c r="K190" s="121">
        <v>61378.720000000001</v>
      </c>
      <c r="L190" s="121">
        <f>K190-J190</f>
        <v>0</v>
      </c>
    </row>
    <row r="191" spans="1:12">
      <c r="A191" s="122" t="s">
        <v>96</v>
      </c>
      <c r="B191" s="13" t="s">
        <v>20</v>
      </c>
      <c r="C191" s="49" t="s">
        <v>24</v>
      </c>
      <c r="D191" s="68">
        <v>1000</v>
      </c>
      <c r="E191" s="50">
        <f>248*8*(A193/1979)</f>
        <v>49697.245073269325</v>
      </c>
      <c r="F191" s="51">
        <f>E191/A193</f>
        <v>1.0025265285497726</v>
      </c>
      <c r="G191" s="36">
        <f>D191/E191*F191</f>
        <v>2.0172678124747843E-2</v>
      </c>
      <c r="H191" s="85">
        <v>7.6466200000000004</v>
      </c>
      <c r="I191" s="115">
        <f>H191*G191</f>
        <v>0.15425280400225935</v>
      </c>
      <c r="J191" s="137"/>
      <c r="K191" s="121"/>
      <c r="L191" s="137"/>
    </row>
    <row r="192" spans="1:12">
      <c r="A192" s="123" t="s">
        <v>97</v>
      </c>
      <c r="B192" s="5" t="s">
        <v>21</v>
      </c>
      <c r="C192" s="33" t="s">
        <v>25</v>
      </c>
      <c r="D192" s="8">
        <v>30</v>
      </c>
      <c r="E192" s="7">
        <f>248*8*(A193/1979)</f>
        <v>49697.245073269325</v>
      </c>
      <c r="F192" s="29">
        <f>E192/A193</f>
        <v>1.0025265285497726</v>
      </c>
      <c r="G192" s="36">
        <f>D192/E192*F192</f>
        <v>6.0518034374243532E-4</v>
      </c>
      <c r="H192" s="6">
        <v>1690.46</v>
      </c>
      <c r="I192" s="115">
        <f t="shared" ref="I192:I194" si="66">H192*G192</f>
        <v>1.0230331638828372</v>
      </c>
      <c r="J192" s="137"/>
      <c r="K192" s="121"/>
      <c r="L192" s="137"/>
    </row>
    <row r="193" spans="1:12">
      <c r="A193" s="124">
        <v>49572</v>
      </c>
      <c r="B193" s="30" t="s">
        <v>22</v>
      </c>
      <c r="C193" s="34" t="s">
        <v>26</v>
      </c>
      <c r="D193" s="30">
        <v>30</v>
      </c>
      <c r="E193" s="7">
        <f>248*8*(A193/1979)</f>
        <v>49697.245073269325</v>
      </c>
      <c r="F193" s="29">
        <f>E193/A193</f>
        <v>1.0025265285497726</v>
      </c>
      <c r="G193" s="36">
        <f t="shared" ref="G193:G194" si="67">D193/E193*F193</f>
        <v>6.0518034374243532E-4</v>
      </c>
      <c r="H193" s="31">
        <v>40.96</v>
      </c>
      <c r="I193" s="115">
        <f t="shared" si="66"/>
        <v>2.4788186879690151E-2</v>
      </c>
      <c r="J193" s="137"/>
      <c r="K193" s="121"/>
      <c r="L193" s="137"/>
    </row>
    <row r="194" spans="1:12">
      <c r="A194" s="125"/>
      <c r="B194" s="30" t="s">
        <v>23</v>
      </c>
      <c r="C194" s="34" t="s">
        <v>26</v>
      </c>
      <c r="D194" s="30">
        <v>30</v>
      </c>
      <c r="E194" s="7">
        <f>248*8*(A193/1979)</f>
        <v>49697.245073269325</v>
      </c>
      <c r="F194" s="29">
        <f>E194/A193</f>
        <v>1.0025265285497726</v>
      </c>
      <c r="G194" s="36">
        <f t="shared" si="67"/>
        <v>6.0518034374243532E-4</v>
      </c>
      <c r="H194" s="31">
        <v>59.65</v>
      </c>
      <c r="I194" s="115">
        <f t="shared" si="66"/>
        <v>3.6099007504236266E-2</v>
      </c>
      <c r="J194" s="137"/>
      <c r="K194" s="121"/>
      <c r="L194" s="137"/>
    </row>
    <row r="195" spans="1:12" s="1" customFormat="1" ht="15.75" thickBot="1">
      <c r="A195" s="126"/>
      <c r="B195" s="18"/>
      <c r="C195" s="18"/>
      <c r="D195" s="18"/>
      <c r="E195" s="18"/>
      <c r="F195" s="18"/>
      <c r="G195" s="37"/>
      <c r="H195" s="21"/>
      <c r="I195" s="109">
        <f>SUM(I191:I194)</f>
        <v>1.2381731622690229</v>
      </c>
      <c r="J195" s="121">
        <f>I195*A193</f>
        <v>61378.720000000001</v>
      </c>
      <c r="K195" s="121">
        <v>61378.720000000001</v>
      </c>
      <c r="L195" s="121">
        <f>K195-J195</f>
        <v>0</v>
      </c>
    </row>
    <row r="196" spans="1:12" s="1" customFormat="1" ht="15.75" thickBot="1">
      <c r="A196" s="132"/>
      <c r="B196" s="45"/>
      <c r="C196" s="45"/>
      <c r="D196" s="45"/>
      <c r="E196" s="45"/>
      <c r="F196" s="45"/>
      <c r="G196" s="69"/>
      <c r="H196" s="47"/>
      <c r="I196" s="116"/>
      <c r="J196" s="121"/>
      <c r="K196" s="121"/>
      <c r="L196" s="121"/>
    </row>
    <row r="197" spans="1:12">
      <c r="A197" s="122" t="s">
        <v>75</v>
      </c>
      <c r="B197" s="13" t="s">
        <v>20</v>
      </c>
      <c r="C197" s="49" t="s">
        <v>24</v>
      </c>
      <c r="D197" s="68">
        <v>1000</v>
      </c>
      <c r="E197" s="50">
        <f>248*8*(A199/1979)</f>
        <v>24763.407781707934</v>
      </c>
      <c r="F197" s="51">
        <f>E197/A199</f>
        <v>1.0025265285497726</v>
      </c>
      <c r="G197" s="36">
        <f>D197/E197*F197</f>
        <v>4.0484190923444394E-2</v>
      </c>
      <c r="H197" s="85">
        <v>7.6466200000000004</v>
      </c>
      <c r="I197" s="115">
        <f>H197*G197</f>
        <v>0.30956722399902836</v>
      </c>
      <c r="J197" s="137"/>
      <c r="K197" s="121"/>
      <c r="L197" s="137"/>
    </row>
    <row r="198" spans="1:12">
      <c r="A198" s="123" t="s">
        <v>97</v>
      </c>
      <c r="B198" s="5" t="s">
        <v>21</v>
      </c>
      <c r="C198" s="33" t="s">
        <v>25</v>
      </c>
      <c r="D198" s="8">
        <v>30</v>
      </c>
      <c r="E198" s="7">
        <f>248*8*(A199/1979)</f>
        <v>24763.407781707934</v>
      </c>
      <c r="F198" s="29">
        <f>E198/A199</f>
        <v>1.0025265285497726</v>
      </c>
      <c r="G198" s="36">
        <f>D198/E198*F198</f>
        <v>1.2145257277033318E-3</v>
      </c>
      <c r="H198" s="6">
        <v>1690.46</v>
      </c>
      <c r="I198" s="115">
        <f t="shared" ref="I198:I200" si="68">H198*G198</f>
        <v>2.0531071616533745</v>
      </c>
      <c r="J198" s="137"/>
      <c r="K198" s="121"/>
      <c r="L198" s="137"/>
    </row>
    <row r="199" spans="1:12">
      <c r="A199" s="124">
        <v>24701</v>
      </c>
      <c r="B199" s="30" t="s">
        <v>22</v>
      </c>
      <c r="C199" s="34" t="s">
        <v>26</v>
      </c>
      <c r="D199" s="30">
        <v>30</v>
      </c>
      <c r="E199" s="7">
        <f>248*8*(A199/1979)</f>
        <v>24763.407781707934</v>
      </c>
      <c r="F199" s="29">
        <f>E199/A199</f>
        <v>1.0025265285497726</v>
      </c>
      <c r="G199" s="36">
        <f t="shared" ref="G199:G200" si="69">D199/E199*F199</f>
        <v>1.2145257277033318E-3</v>
      </c>
      <c r="H199" s="31">
        <v>40.96</v>
      </c>
      <c r="I199" s="115">
        <f t="shared" si="68"/>
        <v>4.9746973806728469E-2</v>
      </c>
      <c r="J199" s="137"/>
      <c r="K199" s="121"/>
      <c r="L199" s="137"/>
    </row>
    <row r="200" spans="1:12">
      <c r="A200" s="125"/>
      <c r="B200" s="30" t="s">
        <v>23</v>
      </c>
      <c r="C200" s="34" t="s">
        <v>26</v>
      </c>
      <c r="D200" s="30">
        <v>30</v>
      </c>
      <c r="E200" s="7">
        <f>248*8*(A199/1979)</f>
        <v>24763.407781707934</v>
      </c>
      <c r="F200" s="29">
        <f>E200/A199</f>
        <v>1.0025265285497726</v>
      </c>
      <c r="G200" s="36">
        <f t="shared" si="69"/>
        <v>1.2145257277033318E-3</v>
      </c>
      <c r="H200" s="31">
        <v>59.65</v>
      </c>
      <c r="I200" s="115">
        <f t="shared" si="68"/>
        <v>7.2446459657503737E-2</v>
      </c>
      <c r="J200" s="137"/>
      <c r="K200" s="121"/>
      <c r="L200" s="137"/>
    </row>
    <row r="201" spans="1:12" s="1" customFormat="1" ht="15.75" thickBot="1">
      <c r="A201" s="126"/>
      <c r="B201" s="18"/>
      <c r="C201" s="18"/>
      <c r="D201" s="18"/>
      <c r="E201" s="18"/>
      <c r="F201" s="18"/>
      <c r="G201" s="37"/>
      <c r="H201" s="21"/>
      <c r="I201" s="109">
        <f>SUM(I197:I200)</f>
        <v>2.4848678191166349</v>
      </c>
      <c r="J201" s="121">
        <f>I201*A199</f>
        <v>61378.720000000001</v>
      </c>
      <c r="K201" s="121">
        <v>61378.720000000001</v>
      </c>
      <c r="L201" s="121">
        <f>K201-J201</f>
        <v>0</v>
      </c>
    </row>
    <row r="202" spans="1:12">
      <c r="A202" s="122" t="s">
        <v>76</v>
      </c>
      <c r="B202" s="11" t="s">
        <v>20</v>
      </c>
      <c r="C202" s="32" t="s">
        <v>24</v>
      </c>
      <c r="D202" s="68">
        <v>1000</v>
      </c>
      <c r="E202" s="50">
        <f>248*8*(A204/1979)</f>
        <v>14316.078827690753</v>
      </c>
      <c r="F202" s="51">
        <f>E202/A204</f>
        <v>1.0025265285497726</v>
      </c>
      <c r="G202" s="36">
        <f>D202/E202*F202</f>
        <v>7.0028011204481794E-2</v>
      </c>
      <c r="H202" s="85">
        <v>7.6466200000000004</v>
      </c>
      <c r="I202" s="115">
        <f>H202*G202</f>
        <v>0.53547759103641457</v>
      </c>
      <c r="J202" s="137"/>
      <c r="K202" s="121"/>
      <c r="L202" s="137"/>
    </row>
    <row r="203" spans="1:12">
      <c r="A203" s="123" t="s">
        <v>97</v>
      </c>
      <c r="B203" s="5" t="s">
        <v>21</v>
      </c>
      <c r="C203" s="33" t="s">
        <v>25</v>
      </c>
      <c r="D203" s="8">
        <v>30</v>
      </c>
      <c r="E203" s="7">
        <f>248*8*(A204/1979)</f>
        <v>14316.078827690753</v>
      </c>
      <c r="F203" s="29">
        <f>E203/A204</f>
        <v>1.0025265285497726</v>
      </c>
      <c r="G203" s="36">
        <f>D203/E203*F203</f>
        <v>2.1008403361344537E-3</v>
      </c>
      <c r="H203" s="6">
        <v>1690.46</v>
      </c>
      <c r="I203" s="115">
        <f t="shared" ref="I203:I205" si="70">H203*G203</f>
        <v>3.5513865546218488</v>
      </c>
      <c r="J203" s="137"/>
      <c r="K203" s="121"/>
      <c r="L203" s="137"/>
    </row>
    <row r="204" spans="1:12">
      <c r="A204" s="124">
        <v>14280</v>
      </c>
      <c r="B204" s="30" t="s">
        <v>22</v>
      </c>
      <c r="C204" s="34" t="s">
        <v>26</v>
      </c>
      <c r="D204" s="30">
        <v>30</v>
      </c>
      <c r="E204" s="7">
        <f>248*8*(A204/1979)</f>
        <v>14316.078827690753</v>
      </c>
      <c r="F204" s="29">
        <f>E204/A204</f>
        <v>1.0025265285497726</v>
      </c>
      <c r="G204" s="36">
        <f t="shared" ref="G204:G205" si="71">D204/E204*F204</f>
        <v>2.1008403361344537E-3</v>
      </c>
      <c r="H204" s="31">
        <v>40.96</v>
      </c>
      <c r="I204" s="115">
        <f t="shared" si="70"/>
        <v>8.6050420168067229E-2</v>
      </c>
      <c r="J204" s="137"/>
      <c r="K204" s="121"/>
      <c r="L204" s="137"/>
    </row>
    <row r="205" spans="1:12">
      <c r="A205" s="125"/>
      <c r="B205" s="30" t="s">
        <v>23</v>
      </c>
      <c r="C205" s="34" t="s">
        <v>26</v>
      </c>
      <c r="D205" s="30">
        <v>30</v>
      </c>
      <c r="E205" s="7">
        <f>248*8*(A204/1979)</f>
        <v>14316.078827690753</v>
      </c>
      <c r="F205" s="29">
        <f>E205/A204</f>
        <v>1.0025265285497726</v>
      </c>
      <c r="G205" s="36">
        <f t="shared" si="71"/>
        <v>2.1008403361344537E-3</v>
      </c>
      <c r="H205" s="31">
        <v>59.65</v>
      </c>
      <c r="I205" s="115">
        <f t="shared" si="70"/>
        <v>0.12531512605042017</v>
      </c>
      <c r="J205" s="137"/>
      <c r="K205" s="121"/>
      <c r="L205" s="137"/>
    </row>
    <row r="206" spans="1:12" s="1" customFormat="1" ht="15.75" thickBot="1">
      <c r="A206" s="126"/>
      <c r="B206" s="18"/>
      <c r="C206" s="18"/>
      <c r="D206" s="18"/>
      <c r="E206" s="18"/>
      <c r="F206" s="18"/>
      <c r="G206" s="37"/>
      <c r="H206" s="21"/>
      <c r="I206" s="109">
        <f>SUM(I202:I205)</f>
        <v>4.2982296918767515</v>
      </c>
      <c r="J206" s="121">
        <f>I206*A204</f>
        <v>61378.720000000008</v>
      </c>
      <c r="K206" s="121">
        <v>61378.720000000001</v>
      </c>
      <c r="L206" s="121">
        <f>K206-J206</f>
        <v>0</v>
      </c>
    </row>
    <row r="207" spans="1:12" s="1" customFormat="1">
      <c r="A207" s="132"/>
      <c r="B207" s="45"/>
      <c r="C207" s="45"/>
      <c r="D207" s="45"/>
      <c r="E207" s="45"/>
      <c r="F207" s="45"/>
      <c r="G207" s="69"/>
      <c r="H207" s="47"/>
      <c r="I207" s="86"/>
      <c r="J207" s="121"/>
      <c r="K207" s="121"/>
      <c r="L207" s="121"/>
    </row>
    <row r="208" spans="1:12" s="1" customFormat="1">
      <c r="A208" s="132"/>
      <c r="B208" s="45"/>
      <c r="C208" s="45"/>
      <c r="D208" s="45"/>
      <c r="E208" s="45"/>
      <c r="F208" s="45"/>
      <c r="G208" s="69"/>
      <c r="H208" s="47"/>
      <c r="I208" s="86"/>
      <c r="J208" s="121"/>
      <c r="K208" s="121"/>
      <c r="L208" s="121"/>
    </row>
    <row r="209" spans="1:20" s="1" customFormat="1">
      <c r="A209" s="132"/>
      <c r="B209" s="45"/>
      <c r="C209" s="45"/>
      <c r="D209" s="45"/>
      <c r="E209" s="45"/>
      <c r="F209" s="45"/>
      <c r="G209" s="69"/>
      <c r="H209" s="47"/>
      <c r="I209" s="86"/>
      <c r="J209" s="121"/>
      <c r="K209" s="121"/>
      <c r="L209" s="121"/>
    </row>
    <row r="210" spans="1:20" s="1" customFormat="1">
      <c r="A210" s="132"/>
      <c r="B210" s="45"/>
      <c r="C210" s="45"/>
      <c r="D210" s="45"/>
      <c r="E210" s="45"/>
      <c r="F210" s="45"/>
      <c r="G210" s="69"/>
      <c r="H210" s="47"/>
      <c r="I210" s="86"/>
      <c r="J210" s="121"/>
      <c r="K210" s="121"/>
      <c r="L210" s="121"/>
    </row>
    <row r="211" spans="1:20" s="1" customFormat="1">
      <c r="A211" s="132"/>
      <c r="B211" s="45"/>
      <c r="C211" s="45"/>
      <c r="D211" s="45"/>
      <c r="E211" s="45"/>
      <c r="F211" s="45"/>
      <c r="G211" s="69"/>
      <c r="H211" s="47"/>
      <c r="I211" s="86"/>
      <c r="J211" s="121"/>
      <c r="K211" s="121"/>
      <c r="L211" s="121"/>
    </row>
    <row r="212" spans="1:20" s="1" customFormat="1">
      <c r="A212" s="132"/>
      <c r="B212" s="45"/>
      <c r="C212" s="45"/>
      <c r="D212" s="45"/>
      <c r="E212" s="45"/>
      <c r="F212" s="45"/>
      <c r="G212" s="69"/>
      <c r="H212" s="47"/>
      <c r="I212" s="86"/>
      <c r="J212" s="121"/>
      <c r="K212" s="121"/>
      <c r="L212" s="121"/>
    </row>
    <row r="213" spans="1:20" s="1" customFormat="1">
      <c r="A213" s="132"/>
      <c r="B213" s="45"/>
      <c r="C213" s="45"/>
      <c r="D213" s="45"/>
      <c r="E213" s="45"/>
      <c r="F213" s="45"/>
      <c r="G213" s="69"/>
      <c r="H213" s="47"/>
      <c r="I213" s="86"/>
      <c r="J213" s="121"/>
      <c r="K213" s="121"/>
      <c r="L213" s="121"/>
    </row>
    <row r="214" spans="1:20" s="1" customFormat="1">
      <c r="A214" s="132"/>
      <c r="B214" s="45"/>
      <c r="C214" s="45"/>
      <c r="D214" s="45"/>
      <c r="E214" s="45"/>
      <c r="F214" s="45"/>
      <c r="G214" s="69"/>
      <c r="H214" s="47"/>
      <c r="I214" s="86"/>
      <c r="J214" s="121"/>
      <c r="K214" s="121"/>
      <c r="L214" s="121"/>
    </row>
    <row r="215" spans="1:20" s="1" customFormat="1">
      <c r="A215" s="132"/>
      <c r="B215" s="45"/>
      <c r="C215" s="46"/>
      <c r="D215" s="45"/>
      <c r="E215" s="45"/>
      <c r="F215" s="45"/>
      <c r="G215" s="44"/>
      <c r="H215" s="47"/>
      <c r="I215" s="86"/>
      <c r="J215" s="137"/>
      <c r="K215" s="137"/>
      <c r="L215" s="137"/>
    </row>
    <row r="216" spans="1:20" ht="19.5" thickBot="1">
      <c r="A216" s="128" t="s">
        <v>82</v>
      </c>
      <c r="I216" s="81"/>
      <c r="J216" s="137"/>
      <c r="K216" s="137"/>
      <c r="L216" s="137"/>
      <c r="T216" s="1"/>
    </row>
    <row r="217" spans="1:20" ht="105">
      <c r="A217" s="130" t="s">
        <v>2</v>
      </c>
      <c r="B217" s="23" t="s">
        <v>19</v>
      </c>
      <c r="C217" s="23" t="s">
        <v>14</v>
      </c>
      <c r="D217" s="23" t="s">
        <v>16</v>
      </c>
      <c r="E217" s="23" t="s">
        <v>27</v>
      </c>
      <c r="F217" s="23" t="s">
        <v>65</v>
      </c>
      <c r="G217" s="23" t="s">
        <v>29</v>
      </c>
      <c r="H217" s="23" t="s">
        <v>30</v>
      </c>
      <c r="I217" s="88" t="s">
        <v>11</v>
      </c>
      <c r="J217" s="147" t="s">
        <v>33</v>
      </c>
      <c r="K217" s="147" t="s">
        <v>34</v>
      </c>
      <c r="L217" s="147"/>
    </row>
    <row r="218" spans="1:20" ht="15.75" thickBot="1">
      <c r="A218" s="131">
        <v>1</v>
      </c>
      <c r="B218" s="25">
        <v>2</v>
      </c>
      <c r="C218" s="25">
        <v>3</v>
      </c>
      <c r="D218" s="25">
        <v>4</v>
      </c>
      <c r="E218" s="25">
        <v>5</v>
      </c>
      <c r="F218" s="25" t="s">
        <v>53</v>
      </c>
      <c r="G218" s="25" t="s">
        <v>31</v>
      </c>
      <c r="H218" s="26">
        <v>8</v>
      </c>
      <c r="I218" s="89" t="s">
        <v>32</v>
      </c>
      <c r="J218" s="137"/>
      <c r="K218" s="137"/>
      <c r="L218" s="137"/>
    </row>
    <row r="219" spans="1:20">
      <c r="A219" s="122" t="s">
        <v>64</v>
      </c>
      <c r="B219" s="11" t="s">
        <v>20</v>
      </c>
      <c r="C219" s="32" t="s">
        <v>24</v>
      </c>
      <c r="D219" s="53">
        <v>100</v>
      </c>
      <c r="E219" s="50">
        <f>248*8*(A221/1979)</f>
        <v>24.060636685194542</v>
      </c>
      <c r="F219" s="51">
        <f>E219/A221</f>
        <v>1.0025265285497726</v>
      </c>
      <c r="G219" s="36">
        <f>D219/E219*F219</f>
        <v>4.166666666666667</v>
      </c>
      <c r="H219" s="85">
        <v>7.6466200000000004</v>
      </c>
      <c r="I219" s="115">
        <f>H219*G219</f>
        <v>31.860916666666672</v>
      </c>
      <c r="J219" s="137"/>
      <c r="K219" s="137"/>
      <c r="L219" s="137"/>
    </row>
    <row r="220" spans="1:20">
      <c r="A220" s="123" t="s">
        <v>66</v>
      </c>
      <c r="B220" s="5" t="s">
        <v>21</v>
      </c>
      <c r="C220" s="33" t="s">
        <v>25</v>
      </c>
      <c r="D220" s="8">
        <v>10</v>
      </c>
      <c r="E220" s="7">
        <f>248*8*(A221/1979)</f>
        <v>24.060636685194542</v>
      </c>
      <c r="F220" s="29">
        <f>E220/A221</f>
        <v>1.0025265285497726</v>
      </c>
      <c r="G220" s="36">
        <f>D220/E220*F220</f>
        <v>0.41666666666666669</v>
      </c>
      <c r="H220" s="6">
        <v>1690.46</v>
      </c>
      <c r="I220" s="115">
        <f t="shared" ref="I220:I221" si="72">H220*G220</f>
        <v>704.35833333333335</v>
      </c>
      <c r="J220" s="137"/>
      <c r="K220" s="137"/>
      <c r="L220" s="137"/>
    </row>
    <row r="221" spans="1:20">
      <c r="A221" s="124">
        <v>24</v>
      </c>
      <c r="B221" s="30" t="s">
        <v>22</v>
      </c>
      <c r="C221" s="34" t="s">
        <v>26</v>
      </c>
      <c r="D221" s="30">
        <v>30</v>
      </c>
      <c r="E221" s="7">
        <f>248*8*(A221/1979)</f>
        <v>24.060636685194542</v>
      </c>
      <c r="F221" s="29">
        <f>E221/A221</f>
        <v>1.0025265285497726</v>
      </c>
      <c r="G221" s="36">
        <f t="shared" ref="G221:G222" si="73">D221/E221*F221</f>
        <v>1.25</v>
      </c>
      <c r="H221" s="31">
        <v>40.96</v>
      </c>
      <c r="I221" s="115">
        <f t="shared" si="72"/>
        <v>51.2</v>
      </c>
      <c r="J221" s="137"/>
      <c r="K221" s="137"/>
      <c r="L221" s="137"/>
    </row>
    <row r="222" spans="1:20">
      <c r="A222" s="125" t="s">
        <v>110</v>
      </c>
      <c r="B222" s="30" t="s">
        <v>23</v>
      </c>
      <c r="C222" s="34" t="s">
        <v>26</v>
      </c>
      <c r="D222" s="30">
        <v>30</v>
      </c>
      <c r="E222" s="7">
        <f>248*8*(A221/1979)</f>
        <v>24.060636685194542</v>
      </c>
      <c r="F222" s="29">
        <f>E222/A221</f>
        <v>1.0025265285497726</v>
      </c>
      <c r="G222" s="36">
        <f t="shared" si="73"/>
        <v>1.25</v>
      </c>
      <c r="H222" s="31">
        <v>59.65</v>
      </c>
      <c r="I222" s="115">
        <f>H222*G222</f>
        <v>74.5625</v>
      </c>
      <c r="J222" s="137"/>
      <c r="K222" s="137"/>
      <c r="L222" s="137"/>
    </row>
    <row r="223" spans="1:20" s="1" customFormat="1" ht="15.75" thickBot="1">
      <c r="A223" s="126"/>
      <c r="B223" s="18"/>
      <c r="C223" s="18"/>
      <c r="D223" s="18"/>
      <c r="E223" s="18"/>
      <c r="F223" s="18"/>
      <c r="G223" s="37"/>
      <c r="H223" s="21"/>
      <c r="I223" s="109">
        <f>SUM(I219:I222)</f>
        <v>861.98175000000003</v>
      </c>
      <c r="J223" s="121">
        <f>I223*A221</f>
        <v>20687.562000000002</v>
      </c>
      <c r="K223" s="121">
        <v>20687.560000000001</v>
      </c>
      <c r="L223" s="121">
        <f>K223-J223</f>
        <v>-2.0000000004074536E-3</v>
      </c>
    </row>
    <row r="224" spans="1:20">
      <c r="A224" s="122" t="s">
        <v>64</v>
      </c>
      <c r="B224" s="11" t="s">
        <v>20</v>
      </c>
      <c r="C224" s="32" t="s">
        <v>24</v>
      </c>
      <c r="D224" s="53">
        <v>100</v>
      </c>
      <c r="E224" s="50">
        <f>248*8*(A226/1979)</f>
        <v>58.146538655886815</v>
      </c>
      <c r="F224" s="51">
        <f>E224/A226</f>
        <v>1.0025265285497726</v>
      </c>
      <c r="G224" s="36">
        <f>D224/E224*F224</f>
        <v>1.7241379310344827</v>
      </c>
      <c r="H224" s="85">
        <v>7.6466200000000004</v>
      </c>
      <c r="I224" s="115">
        <f>H224*G224</f>
        <v>13.183827586206897</v>
      </c>
      <c r="J224" s="137"/>
      <c r="K224" s="137"/>
      <c r="L224" s="137"/>
    </row>
    <row r="225" spans="1:12">
      <c r="A225" s="123" t="s">
        <v>66</v>
      </c>
      <c r="B225" s="5" t="s">
        <v>21</v>
      </c>
      <c r="C225" s="33" t="s">
        <v>25</v>
      </c>
      <c r="D225" s="8">
        <v>10</v>
      </c>
      <c r="E225" s="7">
        <f>248*8*(A226/1979)</f>
        <v>58.146538655886815</v>
      </c>
      <c r="F225" s="29">
        <f>E225/A226</f>
        <v>1.0025265285497726</v>
      </c>
      <c r="G225" s="36">
        <f>D225/E225*F225</f>
        <v>0.17241379310344829</v>
      </c>
      <c r="H225" s="6">
        <v>1690.46</v>
      </c>
      <c r="I225" s="115">
        <f t="shared" ref="I225:I226" si="74">H225*G225</f>
        <v>291.45862068965522</v>
      </c>
      <c r="J225" s="137"/>
      <c r="K225" s="137"/>
      <c r="L225" s="137"/>
    </row>
    <row r="226" spans="1:12">
      <c r="A226" s="124">
        <v>58</v>
      </c>
      <c r="B226" s="30" t="s">
        <v>22</v>
      </c>
      <c r="C226" s="34" t="s">
        <v>26</v>
      </c>
      <c r="D226" s="30">
        <v>30</v>
      </c>
      <c r="E226" s="7">
        <f>248*8*(A226/1979)</f>
        <v>58.146538655886815</v>
      </c>
      <c r="F226" s="29">
        <f>E226/A226</f>
        <v>1.0025265285497726</v>
      </c>
      <c r="G226" s="36">
        <f t="shared" ref="G226:G227" si="75">D226/E226*F226</f>
        <v>0.51724137931034486</v>
      </c>
      <c r="H226" s="31">
        <v>40.96</v>
      </c>
      <c r="I226" s="115">
        <f t="shared" si="74"/>
        <v>21.186206896551727</v>
      </c>
      <c r="J226" s="137"/>
      <c r="K226" s="137"/>
      <c r="L226" s="137"/>
    </row>
    <row r="227" spans="1:12">
      <c r="A227" s="125" t="s">
        <v>111</v>
      </c>
      <c r="B227" s="30" t="s">
        <v>23</v>
      </c>
      <c r="C227" s="34" t="s">
        <v>26</v>
      </c>
      <c r="D227" s="30">
        <v>30</v>
      </c>
      <c r="E227" s="7">
        <f>248*8*(A226/1979)</f>
        <v>58.146538655886815</v>
      </c>
      <c r="F227" s="29">
        <f>E227/A226</f>
        <v>1.0025265285497726</v>
      </c>
      <c r="G227" s="36">
        <f t="shared" si="75"/>
        <v>0.51724137931034486</v>
      </c>
      <c r="H227" s="31">
        <v>59.65</v>
      </c>
      <c r="I227" s="115">
        <f>H227*G227</f>
        <v>30.853448275862071</v>
      </c>
      <c r="J227" s="137"/>
      <c r="K227" s="137"/>
      <c r="L227" s="137"/>
    </row>
    <row r="228" spans="1:12" s="1" customFormat="1" ht="15.75" thickBot="1">
      <c r="A228" s="126"/>
      <c r="B228" s="18"/>
      <c r="C228" s="18"/>
      <c r="D228" s="18"/>
      <c r="E228" s="18"/>
      <c r="F228" s="18"/>
      <c r="G228" s="37"/>
      <c r="H228" s="21"/>
      <c r="I228" s="109">
        <f>SUM(I224:I227)</f>
        <v>356.68210344827594</v>
      </c>
      <c r="J228" s="121">
        <f>I228*A226</f>
        <v>20687.562000000005</v>
      </c>
      <c r="K228" s="121">
        <v>20687.560000000001</v>
      </c>
      <c r="L228" s="121">
        <f>K228-J228</f>
        <v>-2.0000000040454324E-3</v>
      </c>
    </row>
    <row r="229" spans="1:12">
      <c r="A229" s="122" t="s">
        <v>64</v>
      </c>
      <c r="B229" s="11" t="s">
        <v>20</v>
      </c>
      <c r="C229" s="32" t="s">
        <v>24</v>
      </c>
      <c r="D229" s="53">
        <v>100</v>
      </c>
      <c r="E229" s="50">
        <f>248*8*(A231/1979)</f>
        <v>5.012632642748863</v>
      </c>
      <c r="F229" s="51">
        <f>E229/A231</f>
        <v>1.0025265285497726</v>
      </c>
      <c r="G229" s="36">
        <f>D229/E229*F229</f>
        <v>20</v>
      </c>
      <c r="H229" s="85">
        <v>7.6466200000000004</v>
      </c>
      <c r="I229" s="115">
        <f>H229*G229</f>
        <v>152.9324</v>
      </c>
      <c r="J229" s="137"/>
      <c r="K229" s="137"/>
      <c r="L229" s="137"/>
    </row>
    <row r="230" spans="1:12">
      <c r="A230" s="123" t="s">
        <v>66</v>
      </c>
      <c r="B230" s="5" t="s">
        <v>21</v>
      </c>
      <c r="C230" s="33" t="s">
        <v>25</v>
      </c>
      <c r="D230" s="8">
        <v>10</v>
      </c>
      <c r="E230" s="7">
        <f>248*8*(A231/1979)</f>
        <v>5.012632642748863</v>
      </c>
      <c r="F230" s="29">
        <f>E230/A231</f>
        <v>1.0025265285497726</v>
      </c>
      <c r="G230" s="36">
        <f>D230/E230*F230</f>
        <v>2</v>
      </c>
      <c r="H230" s="6">
        <v>1690.46</v>
      </c>
      <c r="I230" s="115">
        <f t="shared" ref="I230:I231" si="76">H230*G230</f>
        <v>3380.92</v>
      </c>
      <c r="J230" s="137"/>
      <c r="K230" s="137"/>
      <c r="L230" s="137"/>
    </row>
    <row r="231" spans="1:12">
      <c r="A231" s="124">
        <v>5</v>
      </c>
      <c r="B231" s="30" t="s">
        <v>22</v>
      </c>
      <c r="C231" s="34" t="s">
        <v>26</v>
      </c>
      <c r="D231" s="30">
        <v>30</v>
      </c>
      <c r="E231" s="7">
        <f>248*8*(A231/1979)</f>
        <v>5.012632642748863</v>
      </c>
      <c r="F231" s="29">
        <f>E231/A231</f>
        <v>1.0025265285497726</v>
      </c>
      <c r="G231" s="36">
        <f t="shared" ref="G231:G232" si="77">D231/E231*F231</f>
        <v>6.0000000000000009</v>
      </c>
      <c r="H231" s="31">
        <v>40.96</v>
      </c>
      <c r="I231" s="115">
        <f t="shared" si="76"/>
        <v>245.76000000000005</v>
      </c>
      <c r="J231" s="137"/>
      <c r="K231" s="137"/>
      <c r="L231" s="137"/>
    </row>
    <row r="232" spans="1:12">
      <c r="A232" s="125" t="s">
        <v>112</v>
      </c>
      <c r="B232" s="30" t="s">
        <v>23</v>
      </c>
      <c r="C232" s="34" t="s">
        <v>26</v>
      </c>
      <c r="D232" s="30">
        <v>30</v>
      </c>
      <c r="E232" s="7">
        <f>248*8*(A231/1979)</f>
        <v>5.012632642748863</v>
      </c>
      <c r="F232" s="29">
        <f>E232/A231</f>
        <v>1.0025265285497726</v>
      </c>
      <c r="G232" s="36">
        <f t="shared" si="77"/>
        <v>6.0000000000000009</v>
      </c>
      <c r="H232" s="31">
        <v>59.65</v>
      </c>
      <c r="I232" s="115">
        <f>H232*G232</f>
        <v>357.90000000000003</v>
      </c>
      <c r="J232" s="137"/>
      <c r="K232" s="137"/>
      <c r="L232" s="137"/>
    </row>
    <row r="233" spans="1:12" s="1" customFormat="1" ht="15.75" thickBot="1">
      <c r="A233" s="126"/>
      <c r="B233" s="18"/>
      <c r="C233" s="18"/>
      <c r="D233" s="18"/>
      <c r="E233" s="18"/>
      <c r="F233" s="18"/>
      <c r="G233" s="37"/>
      <c r="H233" s="21"/>
      <c r="I233" s="109">
        <f>SUM(I229:I232)</f>
        <v>4137.5124000000005</v>
      </c>
      <c r="J233" s="121">
        <f>I233*A231</f>
        <v>20687.562000000002</v>
      </c>
      <c r="K233" s="121">
        <v>20687.560000000001</v>
      </c>
      <c r="L233" s="121">
        <f>K233-J233</f>
        <v>-2.0000000004074536E-3</v>
      </c>
    </row>
    <row r="234" spans="1:12">
      <c r="A234" s="122" t="s">
        <v>69</v>
      </c>
      <c r="B234" s="11" t="s">
        <v>20</v>
      </c>
      <c r="C234" s="32" t="s">
        <v>24</v>
      </c>
      <c r="D234" s="53">
        <v>100</v>
      </c>
      <c r="E234" s="50">
        <f>248*8*(A236/1979)</f>
        <v>17.042950985346135</v>
      </c>
      <c r="F234" s="51">
        <f>E234/A236</f>
        <v>1.0025265285497726</v>
      </c>
      <c r="G234" s="36">
        <f>D234/E234*F234</f>
        <v>5.8823529411764701</v>
      </c>
      <c r="H234" s="85">
        <v>7.6466200000000004</v>
      </c>
      <c r="I234" s="115">
        <f>H234*G234</f>
        <v>44.980117647058819</v>
      </c>
      <c r="J234" s="137"/>
      <c r="K234" s="137"/>
      <c r="L234" s="137"/>
    </row>
    <row r="235" spans="1:12">
      <c r="A235" s="123" t="s">
        <v>66</v>
      </c>
      <c r="B235" s="5" t="s">
        <v>21</v>
      </c>
      <c r="C235" s="33" t="s">
        <v>25</v>
      </c>
      <c r="D235" s="8">
        <v>10</v>
      </c>
      <c r="E235" s="7">
        <f>248*8*(A236/1979)</f>
        <v>17.042950985346135</v>
      </c>
      <c r="F235" s="29">
        <f>E235/A236</f>
        <v>1.0025265285497726</v>
      </c>
      <c r="G235" s="36">
        <f>D235/E235*F235</f>
        <v>0.58823529411764708</v>
      </c>
      <c r="H235" s="6">
        <v>1690.46</v>
      </c>
      <c r="I235" s="115">
        <f t="shared" ref="I235:I237" si="78">H235*G235</f>
        <v>994.38823529411775</v>
      </c>
      <c r="J235" s="137"/>
      <c r="K235" s="137"/>
      <c r="L235" s="137"/>
    </row>
    <row r="236" spans="1:12">
      <c r="A236" s="124">
        <v>17</v>
      </c>
      <c r="B236" s="30" t="s">
        <v>22</v>
      </c>
      <c r="C236" s="34" t="s">
        <v>26</v>
      </c>
      <c r="D236" s="30">
        <v>30</v>
      </c>
      <c r="E236" s="7">
        <f>248*8*(A236/1979)</f>
        <v>17.042950985346135</v>
      </c>
      <c r="F236" s="29">
        <f>E236/A236</f>
        <v>1.0025265285497726</v>
      </c>
      <c r="G236" s="36">
        <f t="shared" ref="G236:G237" si="79">D236/E236*F236</f>
        <v>1.7647058823529411</v>
      </c>
      <c r="H236" s="31">
        <v>40.96</v>
      </c>
      <c r="I236" s="115">
        <f t="shared" si="78"/>
        <v>72.28235294117647</v>
      </c>
      <c r="J236" s="137"/>
      <c r="K236" s="137"/>
      <c r="L236" s="137"/>
    </row>
    <row r="237" spans="1:12">
      <c r="A237" s="125" t="s">
        <v>110</v>
      </c>
      <c r="B237" s="30" t="s">
        <v>23</v>
      </c>
      <c r="C237" s="34" t="s">
        <v>26</v>
      </c>
      <c r="D237" s="30">
        <v>30</v>
      </c>
      <c r="E237" s="7">
        <f>248*8*(A236/1979)</f>
        <v>17.042950985346135</v>
      </c>
      <c r="F237" s="29">
        <f>E237/A236</f>
        <v>1.0025265285497726</v>
      </c>
      <c r="G237" s="36">
        <f t="shared" si="79"/>
        <v>1.7647058823529411</v>
      </c>
      <c r="H237" s="31">
        <v>59.65</v>
      </c>
      <c r="I237" s="115">
        <f t="shared" si="78"/>
        <v>105.26470588235294</v>
      </c>
      <c r="J237" s="137"/>
      <c r="K237" s="137"/>
      <c r="L237" s="137"/>
    </row>
    <row r="238" spans="1:12" s="1" customFormat="1" ht="15.75" thickBot="1">
      <c r="A238" s="126"/>
      <c r="B238" s="18"/>
      <c r="C238" s="18"/>
      <c r="D238" s="18"/>
      <c r="E238" s="18"/>
      <c r="F238" s="18"/>
      <c r="G238" s="37"/>
      <c r="H238" s="21"/>
      <c r="I238" s="109">
        <f>SUM(I234:I237)</f>
        <v>1216.9154117647058</v>
      </c>
      <c r="J238" s="121">
        <f>I238*A236</f>
        <v>20687.561999999998</v>
      </c>
      <c r="K238" s="121">
        <v>20687.560000000001</v>
      </c>
      <c r="L238" s="121">
        <f>K238-J238</f>
        <v>-1.9999999967694748E-3</v>
      </c>
    </row>
    <row r="239" spans="1:12">
      <c r="A239" s="122" t="s">
        <v>69</v>
      </c>
      <c r="B239" s="11" t="s">
        <v>20</v>
      </c>
      <c r="C239" s="32" t="s">
        <v>24</v>
      </c>
      <c r="D239" s="53">
        <v>100</v>
      </c>
      <c r="E239" s="50">
        <f>248*8*(A241/1979)</f>
        <v>85.214754926730663</v>
      </c>
      <c r="F239" s="51">
        <f>E239/A241</f>
        <v>1.0025265285497724</v>
      </c>
      <c r="G239" s="36">
        <f>D239/E239*F239</f>
        <v>1.1764705882352939</v>
      </c>
      <c r="H239" s="85">
        <v>7.6466200000000004</v>
      </c>
      <c r="I239" s="115">
        <f>H239*G239</f>
        <v>8.9960235294117634</v>
      </c>
      <c r="J239" s="137"/>
      <c r="K239" s="121"/>
      <c r="L239" s="137"/>
    </row>
    <row r="240" spans="1:12">
      <c r="A240" s="123" t="s">
        <v>66</v>
      </c>
      <c r="B240" s="5" t="s">
        <v>21</v>
      </c>
      <c r="C240" s="33" t="s">
        <v>25</v>
      </c>
      <c r="D240" s="8">
        <v>10</v>
      </c>
      <c r="E240" s="7">
        <f>248*8*(A241/1979)</f>
        <v>85.214754926730663</v>
      </c>
      <c r="F240" s="29">
        <f>E240/A241</f>
        <v>1.0025265285497724</v>
      </c>
      <c r="G240" s="36">
        <f>D240/E240*F240</f>
        <v>0.11764705882352941</v>
      </c>
      <c r="H240" s="6">
        <v>1690.46</v>
      </c>
      <c r="I240" s="115">
        <f t="shared" ref="I240:I242" si="80">H240*G240</f>
        <v>198.87764705882353</v>
      </c>
      <c r="J240" s="137"/>
      <c r="K240" s="121"/>
      <c r="L240" s="137"/>
    </row>
    <row r="241" spans="1:12">
      <c r="A241" s="124">
        <v>85</v>
      </c>
      <c r="B241" s="30" t="s">
        <v>22</v>
      </c>
      <c r="C241" s="34" t="s">
        <v>26</v>
      </c>
      <c r="D241" s="30">
        <v>30</v>
      </c>
      <c r="E241" s="7">
        <f>248*8*(A241/1979)</f>
        <v>85.214754926730663</v>
      </c>
      <c r="F241" s="29">
        <f>E241/A241</f>
        <v>1.0025265285497724</v>
      </c>
      <c r="G241" s="36">
        <f t="shared" ref="G241:G242" si="81">D241/E241*F241</f>
        <v>0.3529411764705882</v>
      </c>
      <c r="H241" s="31">
        <v>40.96</v>
      </c>
      <c r="I241" s="115">
        <f t="shared" si="80"/>
        <v>14.456470588235293</v>
      </c>
      <c r="J241" s="137"/>
      <c r="K241" s="121"/>
      <c r="L241" s="137"/>
    </row>
    <row r="242" spans="1:12">
      <c r="A242" s="125" t="s">
        <v>111</v>
      </c>
      <c r="B242" s="30" t="s">
        <v>23</v>
      </c>
      <c r="C242" s="34" t="s">
        <v>26</v>
      </c>
      <c r="D242" s="30">
        <v>30</v>
      </c>
      <c r="E242" s="7">
        <f>248*8*(A241/1979)</f>
        <v>85.214754926730663</v>
      </c>
      <c r="F242" s="29">
        <f>E242/A241</f>
        <v>1.0025265285497724</v>
      </c>
      <c r="G242" s="36">
        <f t="shared" si="81"/>
        <v>0.3529411764705882</v>
      </c>
      <c r="H242" s="31">
        <v>59.65</v>
      </c>
      <c r="I242" s="115">
        <f t="shared" si="80"/>
        <v>21.052941176470586</v>
      </c>
      <c r="J242" s="137"/>
      <c r="K242" s="121"/>
      <c r="L242" s="137"/>
    </row>
    <row r="243" spans="1:12" s="1" customFormat="1" ht="15.75" thickBot="1">
      <c r="A243" s="126"/>
      <c r="B243" s="18"/>
      <c r="C243" s="18"/>
      <c r="D243" s="18"/>
      <c r="E243" s="18"/>
      <c r="F243" s="18"/>
      <c r="G243" s="37"/>
      <c r="H243" s="21"/>
      <c r="I243" s="109">
        <f>SUM(I239:I242)</f>
        <v>243.38308235294119</v>
      </c>
      <c r="J243" s="121">
        <f>I243*A241</f>
        <v>20687.562000000002</v>
      </c>
      <c r="K243" s="121">
        <v>20687.560000000001</v>
      </c>
      <c r="L243" s="121">
        <f>K243-J243</f>
        <v>-2.0000000004074536E-3</v>
      </c>
    </row>
    <row r="244" spans="1:12">
      <c r="A244" s="122" t="s">
        <v>69</v>
      </c>
      <c r="B244" s="11" t="s">
        <v>20</v>
      </c>
      <c r="C244" s="32" t="s">
        <v>24</v>
      </c>
      <c r="D244" s="53">
        <v>100</v>
      </c>
      <c r="E244" s="50">
        <f>248*8*(A246/1979)</f>
        <v>10.025265285497726</v>
      </c>
      <c r="F244" s="51">
        <f>E244/A246</f>
        <v>1.0025265285497726</v>
      </c>
      <c r="G244" s="36">
        <f>D244/E244*F244</f>
        <v>10</v>
      </c>
      <c r="H244" s="85">
        <v>7.6466200000000004</v>
      </c>
      <c r="I244" s="115">
        <f>H244*G244</f>
        <v>76.466200000000001</v>
      </c>
      <c r="J244" s="137"/>
      <c r="K244" s="121"/>
      <c r="L244" s="137"/>
    </row>
    <row r="245" spans="1:12">
      <c r="A245" s="123" t="s">
        <v>66</v>
      </c>
      <c r="B245" s="5" t="s">
        <v>21</v>
      </c>
      <c r="C245" s="33" t="s">
        <v>25</v>
      </c>
      <c r="D245" s="8">
        <v>10</v>
      </c>
      <c r="E245" s="7">
        <f>248*8*(A246/1979)</f>
        <v>10.025265285497726</v>
      </c>
      <c r="F245" s="29">
        <f>E245/A246</f>
        <v>1.0025265285497726</v>
      </c>
      <c r="G245" s="36">
        <f>D245/E245*F245</f>
        <v>1</v>
      </c>
      <c r="H245" s="6">
        <v>1690.46</v>
      </c>
      <c r="I245" s="115">
        <f t="shared" ref="I245:I247" si="82">H245*G245</f>
        <v>1690.46</v>
      </c>
      <c r="J245" s="137"/>
      <c r="K245" s="121"/>
      <c r="L245" s="137"/>
    </row>
    <row r="246" spans="1:12">
      <c r="A246" s="124">
        <v>10</v>
      </c>
      <c r="B246" s="30" t="s">
        <v>22</v>
      </c>
      <c r="C246" s="34" t="s">
        <v>26</v>
      </c>
      <c r="D246" s="30">
        <v>30</v>
      </c>
      <c r="E246" s="7">
        <f>248*8*(A246/1979)</f>
        <v>10.025265285497726</v>
      </c>
      <c r="F246" s="29">
        <f>E246/A246</f>
        <v>1.0025265285497726</v>
      </c>
      <c r="G246" s="36">
        <f t="shared" ref="G246:G247" si="83">D246/E246*F246</f>
        <v>3.0000000000000004</v>
      </c>
      <c r="H246" s="31">
        <v>40.96</v>
      </c>
      <c r="I246" s="115">
        <f t="shared" si="82"/>
        <v>122.88000000000002</v>
      </c>
      <c r="J246" s="137"/>
      <c r="K246" s="121"/>
      <c r="L246" s="137"/>
    </row>
    <row r="247" spans="1:12">
      <c r="A247" s="125" t="s">
        <v>112</v>
      </c>
      <c r="B247" s="30" t="s">
        <v>23</v>
      </c>
      <c r="C247" s="34" t="s">
        <v>26</v>
      </c>
      <c r="D247" s="30">
        <v>30</v>
      </c>
      <c r="E247" s="7">
        <f>248*8*(A246/1979)</f>
        <v>10.025265285497726</v>
      </c>
      <c r="F247" s="29">
        <f>E247/A246</f>
        <v>1.0025265285497726</v>
      </c>
      <c r="G247" s="36">
        <f t="shared" si="83"/>
        <v>3.0000000000000004</v>
      </c>
      <c r="H247" s="31">
        <v>59.65</v>
      </c>
      <c r="I247" s="115">
        <f t="shared" si="82"/>
        <v>178.95000000000002</v>
      </c>
      <c r="J247" s="137"/>
      <c r="K247" s="121"/>
      <c r="L247" s="137"/>
    </row>
    <row r="248" spans="1:12" s="1" customFormat="1" ht="15.75" thickBot="1">
      <c r="A248" s="126"/>
      <c r="B248" s="18"/>
      <c r="C248" s="18"/>
      <c r="D248" s="18"/>
      <c r="E248" s="18"/>
      <c r="F248" s="18"/>
      <c r="G248" s="37"/>
      <c r="H248" s="21"/>
      <c r="I248" s="109">
        <f>SUM(I244:I247)</f>
        <v>2068.7562000000003</v>
      </c>
      <c r="J248" s="121">
        <f>I248*A246</f>
        <v>20687.562000000002</v>
      </c>
      <c r="K248" s="121">
        <v>20687.560000000001</v>
      </c>
      <c r="L248" s="121">
        <f>K248-J248</f>
        <v>-2.0000000004074536E-3</v>
      </c>
    </row>
    <row r="249" spans="1:12">
      <c r="A249" s="122" t="s">
        <v>70</v>
      </c>
      <c r="B249" s="11" t="s">
        <v>20</v>
      </c>
      <c r="C249" s="32" t="s">
        <v>24</v>
      </c>
      <c r="D249" s="53">
        <v>100</v>
      </c>
      <c r="E249" s="50">
        <f>248*8*(A251/1979)</f>
        <v>29.073269327943407</v>
      </c>
      <c r="F249" s="51">
        <f>E249/A251</f>
        <v>1.0025265285497726</v>
      </c>
      <c r="G249" s="36">
        <f>D249/E249*F249</f>
        <v>3.4482758620689653</v>
      </c>
      <c r="H249" s="85">
        <v>7.6466200000000004</v>
      </c>
      <c r="I249" s="115">
        <f>H249*G249</f>
        <v>26.367655172413794</v>
      </c>
      <c r="J249" s="137"/>
      <c r="K249" s="121"/>
      <c r="L249" s="137"/>
    </row>
    <row r="250" spans="1:12">
      <c r="A250" s="123" t="s">
        <v>66</v>
      </c>
      <c r="B250" s="5" t="s">
        <v>21</v>
      </c>
      <c r="C250" s="33" t="s">
        <v>25</v>
      </c>
      <c r="D250" s="8">
        <v>10</v>
      </c>
      <c r="E250" s="7">
        <f>248*8*(A251/1979)</f>
        <v>29.073269327943407</v>
      </c>
      <c r="F250" s="29">
        <f>E250/A251</f>
        <v>1.0025265285497726</v>
      </c>
      <c r="G250" s="36">
        <f>D250/E250*F250</f>
        <v>0.34482758620689657</v>
      </c>
      <c r="H250" s="6">
        <v>1690.46</v>
      </c>
      <c r="I250" s="115">
        <f t="shared" ref="I250:I252" si="84">H250*G250</f>
        <v>582.91724137931044</v>
      </c>
      <c r="J250" s="137"/>
      <c r="K250" s="121"/>
      <c r="L250" s="137"/>
    </row>
    <row r="251" spans="1:12">
      <c r="A251" s="124">
        <v>29</v>
      </c>
      <c r="B251" s="30" t="s">
        <v>22</v>
      </c>
      <c r="C251" s="34" t="s">
        <v>26</v>
      </c>
      <c r="D251" s="30">
        <v>30</v>
      </c>
      <c r="E251" s="7">
        <f>248*8*(A251/1979)</f>
        <v>29.073269327943407</v>
      </c>
      <c r="F251" s="29">
        <f>E251/A251</f>
        <v>1.0025265285497726</v>
      </c>
      <c r="G251" s="36">
        <f t="shared" ref="G251:G252" si="85">D251/E251*F251</f>
        <v>1.0344827586206897</v>
      </c>
      <c r="H251" s="31">
        <v>40.96</v>
      </c>
      <c r="I251" s="115">
        <f t="shared" si="84"/>
        <v>42.372413793103455</v>
      </c>
      <c r="J251" s="137"/>
      <c r="K251" s="121"/>
      <c r="L251" s="137"/>
    </row>
    <row r="252" spans="1:12">
      <c r="A252" s="125" t="s">
        <v>110</v>
      </c>
      <c r="B252" s="30" t="s">
        <v>23</v>
      </c>
      <c r="C252" s="34" t="s">
        <v>26</v>
      </c>
      <c r="D252" s="30">
        <v>30</v>
      </c>
      <c r="E252" s="7">
        <f>248*8*(A251/1979)</f>
        <v>29.073269327943407</v>
      </c>
      <c r="F252" s="29">
        <f>E252/A251</f>
        <v>1.0025265285497726</v>
      </c>
      <c r="G252" s="36">
        <f t="shared" si="85"/>
        <v>1.0344827586206897</v>
      </c>
      <c r="H252" s="31">
        <v>59.65</v>
      </c>
      <c r="I252" s="115">
        <f t="shared" si="84"/>
        <v>61.706896551724142</v>
      </c>
      <c r="J252" s="137"/>
      <c r="K252" s="121"/>
      <c r="L252" s="137"/>
    </row>
    <row r="253" spans="1:12" s="1" customFormat="1" ht="15.75" thickBot="1">
      <c r="A253" s="126"/>
      <c r="B253" s="18"/>
      <c r="C253" s="18"/>
      <c r="D253" s="18"/>
      <c r="E253" s="18"/>
      <c r="F253" s="18"/>
      <c r="G253" s="37"/>
      <c r="H253" s="21"/>
      <c r="I253" s="109">
        <f>SUM(I249:I252)</f>
        <v>713.36420689655188</v>
      </c>
      <c r="J253" s="121">
        <f>I253*A251</f>
        <v>20687.562000000005</v>
      </c>
      <c r="K253" s="121">
        <v>20687.560000000001</v>
      </c>
      <c r="L253" s="121">
        <f>K253-J253</f>
        <v>-2.0000000040454324E-3</v>
      </c>
    </row>
    <row r="254" spans="1:12">
      <c r="A254" s="122" t="s">
        <v>70</v>
      </c>
      <c r="B254" s="11" t="s">
        <v>20</v>
      </c>
      <c r="C254" s="32" t="s">
        <v>24</v>
      </c>
      <c r="D254" s="53">
        <v>100</v>
      </c>
      <c r="E254" s="50">
        <f>248*8*(A256/1979)</f>
        <v>121.30570995452248</v>
      </c>
      <c r="F254" s="51">
        <f>E254/A256</f>
        <v>1.0025265285497726</v>
      </c>
      <c r="G254" s="36">
        <f>D254/E254*F254</f>
        <v>0.82644628099173556</v>
      </c>
      <c r="H254" s="85">
        <v>7.6466200000000004</v>
      </c>
      <c r="I254" s="115">
        <f>H254*G254</f>
        <v>6.3195206611570249</v>
      </c>
      <c r="J254" s="137"/>
      <c r="K254" s="121"/>
      <c r="L254" s="137"/>
    </row>
    <row r="255" spans="1:12">
      <c r="A255" s="123" t="s">
        <v>66</v>
      </c>
      <c r="B255" s="5" t="s">
        <v>21</v>
      </c>
      <c r="C255" s="33" t="s">
        <v>25</v>
      </c>
      <c r="D255" s="8">
        <v>10</v>
      </c>
      <c r="E255" s="7">
        <f>248*8*(A256/1979)</f>
        <v>121.30570995452248</v>
      </c>
      <c r="F255" s="29">
        <f>E255/A256</f>
        <v>1.0025265285497726</v>
      </c>
      <c r="G255" s="36">
        <f>D255/E255*F255</f>
        <v>8.2644628099173556E-2</v>
      </c>
      <c r="H255" s="6">
        <v>1690.46</v>
      </c>
      <c r="I255" s="115">
        <f t="shared" ref="I255:I257" si="86">H255*G255</f>
        <v>139.70743801652893</v>
      </c>
      <c r="J255" s="137"/>
      <c r="K255" s="121"/>
      <c r="L255" s="137"/>
    </row>
    <row r="256" spans="1:12">
      <c r="A256" s="124">
        <v>121</v>
      </c>
      <c r="B256" s="30" t="s">
        <v>22</v>
      </c>
      <c r="C256" s="34" t="s">
        <v>26</v>
      </c>
      <c r="D256" s="30">
        <v>30</v>
      </c>
      <c r="E256" s="7">
        <f>248*8*(A256/1979)</f>
        <v>121.30570995452248</v>
      </c>
      <c r="F256" s="29">
        <f>E256/A256</f>
        <v>1.0025265285497726</v>
      </c>
      <c r="G256" s="36">
        <f t="shared" ref="G256:G257" si="87">D256/E256*F256</f>
        <v>0.2479338842975207</v>
      </c>
      <c r="H256" s="31">
        <v>40.96</v>
      </c>
      <c r="I256" s="115">
        <f t="shared" si="86"/>
        <v>10.155371900826449</v>
      </c>
      <c r="J256" s="137"/>
      <c r="K256" s="121"/>
      <c r="L256" s="137"/>
    </row>
    <row r="257" spans="1:12">
      <c r="A257" s="125" t="s">
        <v>111</v>
      </c>
      <c r="B257" s="30" t="s">
        <v>23</v>
      </c>
      <c r="C257" s="34" t="s">
        <v>26</v>
      </c>
      <c r="D257" s="30">
        <v>30</v>
      </c>
      <c r="E257" s="7">
        <f>248*8*(A256/1979)</f>
        <v>121.30570995452248</v>
      </c>
      <c r="F257" s="29">
        <f>E257/A256</f>
        <v>1.0025265285497726</v>
      </c>
      <c r="G257" s="36">
        <f t="shared" si="87"/>
        <v>0.2479338842975207</v>
      </c>
      <c r="H257" s="31">
        <v>59.65</v>
      </c>
      <c r="I257" s="115">
        <f t="shared" si="86"/>
        <v>14.789256198347109</v>
      </c>
      <c r="J257" s="137"/>
      <c r="K257" s="121"/>
      <c r="L257" s="137"/>
    </row>
    <row r="258" spans="1:12" s="1" customFormat="1" ht="15.75" thickBot="1">
      <c r="A258" s="126"/>
      <c r="B258" s="18"/>
      <c r="C258" s="18"/>
      <c r="D258" s="18"/>
      <c r="E258" s="18"/>
      <c r="F258" s="18"/>
      <c r="G258" s="37"/>
      <c r="H258" s="21"/>
      <c r="I258" s="109">
        <f>SUM(I254:I257)</f>
        <v>170.97158677685951</v>
      </c>
      <c r="J258" s="121">
        <f>I258*A256</f>
        <v>20687.562000000002</v>
      </c>
      <c r="K258" s="121">
        <v>20687.560000000001</v>
      </c>
      <c r="L258" s="121">
        <f>K258-J258</f>
        <v>-2.0000000004074536E-3</v>
      </c>
    </row>
    <row r="259" spans="1:12">
      <c r="A259" s="122" t="s">
        <v>70</v>
      </c>
      <c r="B259" s="11" t="s">
        <v>20</v>
      </c>
      <c r="C259" s="32" t="s">
        <v>24</v>
      </c>
      <c r="D259" s="53">
        <v>100</v>
      </c>
      <c r="E259" s="50">
        <f>248*8*(A261/1979)</f>
        <v>5.012632642748863</v>
      </c>
      <c r="F259" s="51">
        <f>E259/A261</f>
        <v>1.0025265285497726</v>
      </c>
      <c r="G259" s="36">
        <f>D259/E259*F259</f>
        <v>20</v>
      </c>
      <c r="H259" s="85">
        <v>7.6466200000000004</v>
      </c>
      <c r="I259" s="115">
        <f>H259*G259</f>
        <v>152.9324</v>
      </c>
      <c r="J259" s="137"/>
      <c r="K259" s="121"/>
      <c r="L259" s="137"/>
    </row>
    <row r="260" spans="1:12">
      <c r="A260" s="123" t="s">
        <v>66</v>
      </c>
      <c r="B260" s="5" t="s">
        <v>21</v>
      </c>
      <c r="C260" s="33" t="s">
        <v>25</v>
      </c>
      <c r="D260" s="8">
        <v>10</v>
      </c>
      <c r="E260" s="7">
        <f>248*8*(A261/1979)</f>
        <v>5.012632642748863</v>
      </c>
      <c r="F260" s="29">
        <f>E260/A261</f>
        <v>1.0025265285497726</v>
      </c>
      <c r="G260" s="36">
        <f>D260/E260*F260</f>
        <v>2</v>
      </c>
      <c r="H260" s="6">
        <v>1690.46</v>
      </c>
      <c r="I260" s="115">
        <f t="shared" ref="I260:I262" si="88">H260*G260</f>
        <v>3380.92</v>
      </c>
      <c r="J260" s="137"/>
      <c r="K260" s="121"/>
      <c r="L260" s="137"/>
    </row>
    <row r="261" spans="1:12">
      <c r="A261" s="124">
        <v>5</v>
      </c>
      <c r="B261" s="30" t="s">
        <v>22</v>
      </c>
      <c r="C261" s="34" t="s">
        <v>26</v>
      </c>
      <c r="D261" s="30">
        <v>30</v>
      </c>
      <c r="E261" s="7">
        <f>248*8*(A261/1979)</f>
        <v>5.012632642748863</v>
      </c>
      <c r="F261" s="29">
        <f>E261/A261</f>
        <v>1.0025265285497726</v>
      </c>
      <c r="G261" s="36">
        <f t="shared" ref="G261:G262" si="89">D261/E261*F261</f>
        <v>6.0000000000000009</v>
      </c>
      <c r="H261" s="31">
        <v>40.96</v>
      </c>
      <c r="I261" s="115">
        <f t="shared" si="88"/>
        <v>245.76000000000005</v>
      </c>
      <c r="J261" s="137"/>
      <c r="K261" s="121"/>
      <c r="L261" s="137"/>
    </row>
    <row r="262" spans="1:12">
      <c r="A262" s="125" t="s">
        <v>112</v>
      </c>
      <c r="B262" s="30" t="s">
        <v>23</v>
      </c>
      <c r="C262" s="34" t="s">
        <v>26</v>
      </c>
      <c r="D262" s="30">
        <v>30</v>
      </c>
      <c r="E262" s="7">
        <f>248*8*(A261/1979)</f>
        <v>5.012632642748863</v>
      </c>
      <c r="F262" s="29">
        <f>E262/A261</f>
        <v>1.0025265285497726</v>
      </c>
      <c r="G262" s="36">
        <f t="shared" si="89"/>
        <v>6.0000000000000009</v>
      </c>
      <c r="H262" s="31">
        <v>59.65</v>
      </c>
      <c r="I262" s="115">
        <f t="shared" si="88"/>
        <v>357.90000000000003</v>
      </c>
      <c r="J262" s="137"/>
      <c r="K262" s="121"/>
      <c r="L262" s="137"/>
    </row>
    <row r="263" spans="1:12" s="1" customFormat="1" ht="15.75" thickBot="1">
      <c r="A263" s="126"/>
      <c r="B263" s="18"/>
      <c r="C263" s="18"/>
      <c r="D263" s="18"/>
      <c r="E263" s="18"/>
      <c r="F263" s="18"/>
      <c r="G263" s="37"/>
      <c r="H263" s="21"/>
      <c r="I263" s="109">
        <f>SUM(I259:I262)</f>
        <v>4137.5124000000005</v>
      </c>
      <c r="J263" s="121">
        <f>I263*A261</f>
        <v>20687.562000000002</v>
      </c>
      <c r="K263" s="121">
        <v>20687.560000000001</v>
      </c>
      <c r="L263" s="121">
        <f>K263-J263</f>
        <v>-2.0000000004074536E-3</v>
      </c>
    </row>
    <row r="264" spans="1:12">
      <c r="A264" s="122" t="s">
        <v>71</v>
      </c>
      <c r="B264" s="11" t="s">
        <v>20</v>
      </c>
      <c r="C264" s="32" t="s">
        <v>24</v>
      </c>
      <c r="D264" s="53">
        <v>100</v>
      </c>
      <c r="E264" s="50">
        <f>248*8*(A266/1979)</f>
        <v>39.098534613441132</v>
      </c>
      <c r="F264" s="51">
        <f>E264/A266</f>
        <v>1.0025265285497726</v>
      </c>
      <c r="G264" s="36">
        <f>D264/E264*F264</f>
        <v>2.5641025641025643</v>
      </c>
      <c r="H264" s="85">
        <v>7.6466200000000004</v>
      </c>
      <c r="I264" s="115">
        <f>H264*G264</f>
        <v>19.60671794871795</v>
      </c>
      <c r="J264" s="137"/>
      <c r="K264" s="121"/>
      <c r="L264" s="137"/>
    </row>
    <row r="265" spans="1:12">
      <c r="A265" s="123" t="s">
        <v>66</v>
      </c>
      <c r="B265" s="5" t="s">
        <v>21</v>
      </c>
      <c r="C265" s="33" t="s">
        <v>25</v>
      </c>
      <c r="D265" s="8">
        <v>10</v>
      </c>
      <c r="E265" s="7">
        <f>248*8*(A266/1979)</f>
        <v>39.098534613441132</v>
      </c>
      <c r="F265" s="29">
        <f>E265/A266</f>
        <v>1.0025265285497726</v>
      </c>
      <c r="G265" s="36">
        <f>D265/E265*F265</f>
        <v>0.25641025641025639</v>
      </c>
      <c r="H265" s="6">
        <v>1690.46</v>
      </c>
      <c r="I265" s="115">
        <f t="shared" ref="I265:I267" si="90">H265*G265</f>
        <v>433.45128205128202</v>
      </c>
      <c r="J265" s="137"/>
      <c r="K265" s="121"/>
      <c r="L265" s="137"/>
    </row>
    <row r="266" spans="1:12">
      <c r="A266" s="124">
        <v>39</v>
      </c>
      <c r="B266" s="30" t="s">
        <v>22</v>
      </c>
      <c r="C266" s="34" t="s">
        <v>26</v>
      </c>
      <c r="D266" s="30">
        <v>30</v>
      </c>
      <c r="E266" s="7">
        <f>248*8*(A266/1979)</f>
        <v>39.098534613441132</v>
      </c>
      <c r="F266" s="29">
        <f>E266/A266</f>
        <v>1.0025265285497726</v>
      </c>
      <c r="G266" s="36">
        <f t="shared" ref="G266:G267" si="91">D266/E266*F266</f>
        <v>0.76923076923076927</v>
      </c>
      <c r="H266" s="31">
        <v>40.96</v>
      </c>
      <c r="I266" s="115">
        <f t="shared" si="90"/>
        <v>31.507692307692309</v>
      </c>
      <c r="J266" s="137"/>
      <c r="K266" s="121"/>
      <c r="L266" s="137"/>
    </row>
    <row r="267" spans="1:12">
      <c r="A267" s="125" t="s">
        <v>110</v>
      </c>
      <c r="B267" s="30" t="s">
        <v>23</v>
      </c>
      <c r="C267" s="34" t="s">
        <v>26</v>
      </c>
      <c r="D267" s="30">
        <v>30</v>
      </c>
      <c r="E267" s="7">
        <f>248*8*(A266/1979)</f>
        <v>39.098534613441132</v>
      </c>
      <c r="F267" s="29">
        <f>E267/A266</f>
        <v>1.0025265285497726</v>
      </c>
      <c r="G267" s="36">
        <f t="shared" si="91"/>
        <v>0.76923076923076927</v>
      </c>
      <c r="H267" s="31">
        <v>59.65</v>
      </c>
      <c r="I267" s="115">
        <f t="shared" si="90"/>
        <v>45.884615384615387</v>
      </c>
      <c r="J267" s="137"/>
      <c r="K267" s="121"/>
      <c r="L267" s="137"/>
    </row>
    <row r="268" spans="1:12" s="1" customFormat="1" ht="15.75" thickBot="1">
      <c r="A268" s="126"/>
      <c r="B268" s="18"/>
      <c r="C268" s="18"/>
      <c r="D268" s="18"/>
      <c r="E268" s="18"/>
      <c r="F268" s="18"/>
      <c r="G268" s="37"/>
      <c r="H268" s="21"/>
      <c r="I268" s="109">
        <f>SUM(I264:I267)</f>
        <v>530.45030769230766</v>
      </c>
      <c r="J268" s="121">
        <f>I268*A266</f>
        <v>20687.561999999998</v>
      </c>
      <c r="K268" s="121">
        <v>20687.560000000001</v>
      </c>
      <c r="L268" s="121">
        <f>K268-J268</f>
        <v>-1.9999999967694748E-3</v>
      </c>
    </row>
    <row r="269" spans="1:12">
      <c r="A269" s="122" t="s">
        <v>71</v>
      </c>
      <c r="B269" s="11" t="s">
        <v>20</v>
      </c>
      <c r="C269" s="32" t="s">
        <v>24</v>
      </c>
      <c r="D269" s="53">
        <v>100</v>
      </c>
      <c r="E269" s="50">
        <f>248*8*(A271/1979)</f>
        <v>130.32844871147046</v>
      </c>
      <c r="F269" s="51">
        <f>E269/A271</f>
        <v>1.0025265285497726</v>
      </c>
      <c r="G269" s="36">
        <f>D269/E269*F269</f>
        <v>0.76923076923076916</v>
      </c>
      <c r="H269" s="85">
        <v>7.6466200000000004</v>
      </c>
      <c r="I269" s="115">
        <f>H269*G269</f>
        <v>5.882015384615384</v>
      </c>
      <c r="J269" s="137"/>
      <c r="K269" s="121"/>
      <c r="L269" s="137"/>
    </row>
    <row r="270" spans="1:12">
      <c r="A270" s="123" t="s">
        <v>66</v>
      </c>
      <c r="B270" s="5" t="s">
        <v>21</v>
      </c>
      <c r="C270" s="33" t="s">
        <v>25</v>
      </c>
      <c r="D270" s="8">
        <v>10</v>
      </c>
      <c r="E270" s="7">
        <f>248*8*(A271/1979)</f>
        <v>130.32844871147046</v>
      </c>
      <c r="F270" s="29">
        <f>E270/A271</f>
        <v>1.0025265285497726</v>
      </c>
      <c r="G270" s="36">
        <f>D270/E270*F270</f>
        <v>7.6923076923076913E-2</v>
      </c>
      <c r="H270" s="6">
        <v>1690.46</v>
      </c>
      <c r="I270" s="115">
        <f t="shared" ref="I270:I272" si="92">H270*G270</f>
        <v>130.0353846153846</v>
      </c>
      <c r="J270" s="137"/>
      <c r="K270" s="121"/>
      <c r="L270" s="137"/>
    </row>
    <row r="271" spans="1:12">
      <c r="A271" s="124">
        <v>130</v>
      </c>
      <c r="B271" s="30" t="s">
        <v>22</v>
      </c>
      <c r="C271" s="34" t="s">
        <v>26</v>
      </c>
      <c r="D271" s="30">
        <v>30</v>
      </c>
      <c r="E271" s="7">
        <f>248*8*(A271/1979)</f>
        <v>130.32844871147046</v>
      </c>
      <c r="F271" s="29">
        <f>E271/A271</f>
        <v>1.0025265285497726</v>
      </c>
      <c r="G271" s="36">
        <f t="shared" ref="G271:G272" si="93">D271/E271*F271</f>
        <v>0.23076923076923075</v>
      </c>
      <c r="H271" s="31">
        <v>40.96</v>
      </c>
      <c r="I271" s="115">
        <f t="shared" si="92"/>
        <v>9.4523076923076914</v>
      </c>
      <c r="J271" s="137"/>
      <c r="K271" s="121"/>
      <c r="L271" s="137"/>
    </row>
    <row r="272" spans="1:12">
      <c r="A272" s="125" t="s">
        <v>111</v>
      </c>
      <c r="B272" s="30" t="s">
        <v>23</v>
      </c>
      <c r="C272" s="34" t="s">
        <v>26</v>
      </c>
      <c r="D272" s="30">
        <v>30</v>
      </c>
      <c r="E272" s="7">
        <f>248*8*(A271/1979)</f>
        <v>130.32844871147046</v>
      </c>
      <c r="F272" s="29">
        <f>E272/A271</f>
        <v>1.0025265285497726</v>
      </c>
      <c r="G272" s="36">
        <f t="shared" si="93"/>
        <v>0.23076923076923075</v>
      </c>
      <c r="H272" s="31">
        <v>59.65</v>
      </c>
      <c r="I272" s="115">
        <f t="shared" si="92"/>
        <v>13.765384615384614</v>
      </c>
      <c r="J272" s="137"/>
      <c r="K272" s="121"/>
      <c r="L272" s="137"/>
    </row>
    <row r="273" spans="1:12" s="1" customFormat="1" ht="15.75" thickBot="1">
      <c r="A273" s="126"/>
      <c r="B273" s="18"/>
      <c r="C273" s="18"/>
      <c r="D273" s="18"/>
      <c r="E273" s="18"/>
      <c r="F273" s="18"/>
      <c r="G273" s="37"/>
      <c r="H273" s="21"/>
      <c r="I273" s="109">
        <f>SUM(I269:I272)</f>
        <v>159.1350923076923</v>
      </c>
      <c r="J273" s="121">
        <f>I273*A271</f>
        <v>20687.561999999998</v>
      </c>
      <c r="K273" s="121">
        <v>20687.560000000001</v>
      </c>
      <c r="L273" s="121">
        <f>K273-J273</f>
        <v>-1.9999999967694748E-3</v>
      </c>
    </row>
    <row r="274" spans="1:12">
      <c r="A274" s="122" t="s">
        <v>71</v>
      </c>
      <c r="B274" s="11" t="s">
        <v>20</v>
      </c>
      <c r="C274" s="32" t="s">
        <v>24</v>
      </c>
      <c r="D274" s="53">
        <v>100</v>
      </c>
      <c r="E274" s="50">
        <f>248*8*(A276/1979)</f>
        <v>12.030318342597271</v>
      </c>
      <c r="F274" s="51">
        <f>E274/A276</f>
        <v>1.0025265285497726</v>
      </c>
      <c r="G274" s="36">
        <f>D274/E274*F274</f>
        <v>8.3333333333333339</v>
      </c>
      <c r="H274" s="85">
        <v>7.6466200000000004</v>
      </c>
      <c r="I274" s="115">
        <f>H274*G274</f>
        <v>63.721833333333343</v>
      </c>
      <c r="J274" s="137"/>
      <c r="K274" s="121"/>
      <c r="L274" s="137"/>
    </row>
    <row r="275" spans="1:12">
      <c r="A275" s="123" t="s">
        <v>66</v>
      </c>
      <c r="B275" s="5" t="s">
        <v>21</v>
      </c>
      <c r="C275" s="33" t="s">
        <v>25</v>
      </c>
      <c r="D275" s="8">
        <v>10</v>
      </c>
      <c r="E275" s="7">
        <f>248*8*(A276/1979)</f>
        <v>12.030318342597271</v>
      </c>
      <c r="F275" s="29">
        <f>E275/A276</f>
        <v>1.0025265285497726</v>
      </c>
      <c r="G275" s="36">
        <f>D275/E275*F275</f>
        <v>0.83333333333333337</v>
      </c>
      <c r="H275" s="6">
        <v>1690.46</v>
      </c>
      <c r="I275" s="115">
        <f t="shared" ref="I275:I277" si="94">H275*G275</f>
        <v>1408.7166666666667</v>
      </c>
      <c r="J275" s="137"/>
      <c r="K275" s="121"/>
      <c r="L275" s="137"/>
    </row>
    <row r="276" spans="1:12">
      <c r="A276" s="124">
        <v>12</v>
      </c>
      <c r="B276" s="30" t="s">
        <v>22</v>
      </c>
      <c r="C276" s="34" t="s">
        <v>26</v>
      </c>
      <c r="D276" s="30">
        <v>30</v>
      </c>
      <c r="E276" s="7">
        <f>248*8*(A276/1979)</f>
        <v>12.030318342597271</v>
      </c>
      <c r="F276" s="29">
        <f>E276/A276</f>
        <v>1.0025265285497726</v>
      </c>
      <c r="G276" s="36">
        <f t="shared" ref="G276:G277" si="95">D276/E276*F276</f>
        <v>2.5</v>
      </c>
      <c r="H276" s="31">
        <v>40.96</v>
      </c>
      <c r="I276" s="115">
        <f t="shared" si="94"/>
        <v>102.4</v>
      </c>
      <c r="J276" s="137"/>
      <c r="K276" s="121"/>
      <c r="L276" s="137"/>
    </row>
    <row r="277" spans="1:12">
      <c r="A277" s="125" t="s">
        <v>112</v>
      </c>
      <c r="B277" s="30" t="s">
        <v>23</v>
      </c>
      <c r="C277" s="34" t="s">
        <v>26</v>
      </c>
      <c r="D277" s="30">
        <v>30</v>
      </c>
      <c r="E277" s="7">
        <f>248*8*(A276/1979)</f>
        <v>12.030318342597271</v>
      </c>
      <c r="F277" s="29">
        <f>E277/A276</f>
        <v>1.0025265285497726</v>
      </c>
      <c r="G277" s="36">
        <f t="shared" si="95"/>
        <v>2.5</v>
      </c>
      <c r="H277" s="31">
        <v>59.65</v>
      </c>
      <c r="I277" s="115">
        <f t="shared" si="94"/>
        <v>149.125</v>
      </c>
      <c r="J277" s="137"/>
      <c r="K277" s="121"/>
      <c r="L277" s="137"/>
    </row>
    <row r="278" spans="1:12" s="1" customFormat="1" ht="15.75" thickBot="1">
      <c r="A278" s="126"/>
      <c r="B278" s="18"/>
      <c r="C278" s="18"/>
      <c r="D278" s="18"/>
      <c r="E278" s="18"/>
      <c r="F278" s="18"/>
      <c r="G278" s="37"/>
      <c r="H278" s="21"/>
      <c r="I278" s="109">
        <f>SUM(I274:I277)</f>
        <v>1723.9635000000001</v>
      </c>
      <c r="J278" s="121">
        <f>I278*A276</f>
        <v>20687.562000000002</v>
      </c>
      <c r="K278" s="121">
        <v>20687.560000000001</v>
      </c>
      <c r="L278" s="121">
        <f>K278-J278</f>
        <v>-2.0000000004074536E-3</v>
      </c>
    </row>
    <row r="279" spans="1:12">
      <c r="A279" s="122" t="s">
        <v>72</v>
      </c>
      <c r="B279" s="11" t="s">
        <v>20</v>
      </c>
      <c r="C279" s="32" t="s">
        <v>24</v>
      </c>
      <c r="D279" s="53">
        <v>100</v>
      </c>
      <c r="E279" s="50">
        <f>248*8*(A281/1979)</f>
        <v>4.0101061141990906</v>
      </c>
      <c r="F279" s="51">
        <f>E279/A281</f>
        <v>1.0025265285497726</v>
      </c>
      <c r="G279" s="36">
        <f>D279/E279*F279</f>
        <v>25</v>
      </c>
      <c r="H279" s="85">
        <v>7.6466200000000004</v>
      </c>
      <c r="I279" s="115">
        <f>H279*G279</f>
        <v>191.16550000000001</v>
      </c>
      <c r="J279" s="137"/>
      <c r="K279" s="121"/>
      <c r="L279" s="137"/>
    </row>
    <row r="280" spans="1:12">
      <c r="A280" s="123" t="s">
        <v>66</v>
      </c>
      <c r="B280" s="5" t="s">
        <v>21</v>
      </c>
      <c r="C280" s="33" t="s">
        <v>25</v>
      </c>
      <c r="D280" s="8">
        <v>10</v>
      </c>
      <c r="E280" s="7">
        <f>248*8*(A281/1979)</f>
        <v>4.0101061141990906</v>
      </c>
      <c r="F280" s="29">
        <f>E280/A281</f>
        <v>1.0025265285497726</v>
      </c>
      <c r="G280" s="36">
        <f>D280/E280*F280</f>
        <v>2.5</v>
      </c>
      <c r="H280" s="6">
        <v>1690.46</v>
      </c>
      <c r="I280" s="115">
        <f t="shared" ref="I280:I282" si="96">H280*G280</f>
        <v>4226.1499999999996</v>
      </c>
      <c r="J280" s="137"/>
      <c r="K280" s="121"/>
      <c r="L280" s="137"/>
    </row>
    <row r="281" spans="1:12">
      <c r="A281" s="124">
        <v>4</v>
      </c>
      <c r="B281" s="30" t="s">
        <v>22</v>
      </c>
      <c r="C281" s="34" t="s">
        <v>26</v>
      </c>
      <c r="D281" s="30">
        <v>30</v>
      </c>
      <c r="E281" s="7">
        <f>248*8*(A281/1979)</f>
        <v>4.0101061141990906</v>
      </c>
      <c r="F281" s="29">
        <f>E281/A281</f>
        <v>1.0025265285497726</v>
      </c>
      <c r="G281" s="36">
        <f t="shared" ref="G281:G282" si="97">D281/E281*F281</f>
        <v>7.5</v>
      </c>
      <c r="H281" s="31">
        <v>40.96</v>
      </c>
      <c r="I281" s="115">
        <f t="shared" si="96"/>
        <v>307.2</v>
      </c>
      <c r="J281" s="137"/>
      <c r="K281" s="121"/>
      <c r="L281" s="137"/>
    </row>
    <row r="282" spans="1:12">
      <c r="A282" s="125" t="s">
        <v>110</v>
      </c>
      <c r="B282" s="30" t="s">
        <v>23</v>
      </c>
      <c r="C282" s="34" t="s">
        <v>26</v>
      </c>
      <c r="D282" s="30">
        <v>30</v>
      </c>
      <c r="E282" s="7">
        <f>248*8*(A281/1979)</f>
        <v>4.0101061141990906</v>
      </c>
      <c r="F282" s="29">
        <f>E282/A281</f>
        <v>1.0025265285497726</v>
      </c>
      <c r="G282" s="36">
        <f t="shared" si="97"/>
        <v>7.5</v>
      </c>
      <c r="H282" s="31">
        <v>59.65</v>
      </c>
      <c r="I282" s="115">
        <f t="shared" si="96"/>
        <v>447.375</v>
      </c>
      <c r="J282" s="137"/>
      <c r="K282" s="121"/>
      <c r="L282" s="137"/>
    </row>
    <row r="283" spans="1:12" s="1" customFormat="1" ht="15.75" thickBot="1">
      <c r="A283" s="126"/>
      <c r="B283" s="18"/>
      <c r="C283" s="18"/>
      <c r="D283" s="18"/>
      <c r="E283" s="18"/>
      <c r="F283" s="18"/>
      <c r="G283" s="37"/>
      <c r="H283" s="21"/>
      <c r="I283" s="109">
        <f>SUM(I279:I282)</f>
        <v>5171.8904999999995</v>
      </c>
      <c r="J283" s="121">
        <f>I283*A281</f>
        <v>20687.561999999998</v>
      </c>
      <c r="K283" s="121">
        <v>20687.560000000001</v>
      </c>
      <c r="L283" s="121">
        <f>K283-J283</f>
        <v>-1.9999999967694748E-3</v>
      </c>
    </row>
    <row r="284" spans="1:12">
      <c r="A284" s="122" t="s">
        <v>72</v>
      </c>
      <c r="B284" s="11" t="s">
        <v>20</v>
      </c>
      <c r="C284" s="32" t="s">
        <v>24</v>
      </c>
      <c r="D284" s="53">
        <v>100</v>
      </c>
      <c r="E284" s="50">
        <f>248*8*(A286/1979)</f>
        <v>92.232440626579077</v>
      </c>
      <c r="F284" s="51">
        <f>E284/A286</f>
        <v>1.0025265285497726</v>
      </c>
      <c r="G284" s="36">
        <f>D284/E284*F284</f>
        <v>1.0869565217391304</v>
      </c>
      <c r="H284" s="85">
        <v>7.6466200000000004</v>
      </c>
      <c r="I284" s="115">
        <f>H284*G284</f>
        <v>8.3115434782608695</v>
      </c>
      <c r="J284" s="137"/>
      <c r="K284" s="121"/>
      <c r="L284" s="137"/>
    </row>
    <row r="285" spans="1:12">
      <c r="A285" s="123" t="s">
        <v>66</v>
      </c>
      <c r="B285" s="5" t="s">
        <v>21</v>
      </c>
      <c r="C285" s="33" t="s">
        <v>25</v>
      </c>
      <c r="D285" s="8">
        <v>10</v>
      </c>
      <c r="E285" s="7">
        <f>248*8*(A286/1979)</f>
        <v>92.232440626579077</v>
      </c>
      <c r="F285" s="29">
        <f>E285/A286</f>
        <v>1.0025265285497726</v>
      </c>
      <c r="G285" s="36">
        <f>D285/E285*F285</f>
        <v>0.10869565217391305</v>
      </c>
      <c r="H285" s="6">
        <v>1690.46</v>
      </c>
      <c r="I285" s="115">
        <f t="shared" ref="I285:I287" si="98">H285*G285</f>
        <v>183.74565217391307</v>
      </c>
      <c r="J285" s="137"/>
      <c r="K285" s="121"/>
      <c r="L285" s="137"/>
    </row>
    <row r="286" spans="1:12">
      <c r="A286" s="124">
        <v>92</v>
      </c>
      <c r="B286" s="30" t="s">
        <v>22</v>
      </c>
      <c r="C286" s="34" t="s">
        <v>26</v>
      </c>
      <c r="D286" s="30">
        <v>30</v>
      </c>
      <c r="E286" s="7">
        <f>248*8*(A286/1979)</f>
        <v>92.232440626579077</v>
      </c>
      <c r="F286" s="29">
        <f>E286/A286</f>
        <v>1.0025265285497726</v>
      </c>
      <c r="G286" s="36">
        <f t="shared" ref="G286:G287" si="99">D286/E286*F286</f>
        <v>0.32608695652173919</v>
      </c>
      <c r="H286" s="31">
        <v>40.96</v>
      </c>
      <c r="I286" s="115">
        <f t="shared" si="98"/>
        <v>13.356521739130438</v>
      </c>
      <c r="J286" s="137"/>
      <c r="K286" s="121"/>
      <c r="L286" s="137"/>
    </row>
    <row r="287" spans="1:12">
      <c r="A287" s="125" t="s">
        <v>111</v>
      </c>
      <c r="B287" s="30" t="s">
        <v>23</v>
      </c>
      <c r="C287" s="34" t="s">
        <v>26</v>
      </c>
      <c r="D287" s="30">
        <v>30</v>
      </c>
      <c r="E287" s="7">
        <f>248*8*(A286/1979)</f>
        <v>92.232440626579077</v>
      </c>
      <c r="F287" s="29">
        <f>E287/A286</f>
        <v>1.0025265285497726</v>
      </c>
      <c r="G287" s="36">
        <f t="shared" si="99"/>
        <v>0.32608695652173919</v>
      </c>
      <c r="H287" s="31">
        <v>59.65</v>
      </c>
      <c r="I287" s="115">
        <f t="shared" si="98"/>
        <v>19.451086956521742</v>
      </c>
      <c r="J287" s="137"/>
      <c r="K287" s="121"/>
      <c r="L287" s="137"/>
    </row>
    <row r="288" spans="1:12" s="1" customFormat="1" ht="15.75" thickBot="1">
      <c r="A288" s="126"/>
      <c r="B288" s="18"/>
      <c r="C288" s="18"/>
      <c r="D288" s="18"/>
      <c r="E288" s="18"/>
      <c r="F288" s="18"/>
      <c r="G288" s="37"/>
      <c r="H288" s="21"/>
      <c r="I288" s="109">
        <f>SUM(I284:I287)</f>
        <v>224.86480434782612</v>
      </c>
      <c r="J288" s="121">
        <f>I288*A286</f>
        <v>20687.562000000002</v>
      </c>
      <c r="K288" s="121">
        <v>20687.560000000001</v>
      </c>
      <c r="L288" s="121">
        <f>K288-J288</f>
        <v>-2.0000000004074536E-3</v>
      </c>
    </row>
    <row r="289" spans="1:12">
      <c r="A289" s="122" t="s">
        <v>72</v>
      </c>
      <c r="B289" s="11" t="s">
        <v>20</v>
      </c>
      <c r="C289" s="32" t="s">
        <v>24</v>
      </c>
      <c r="D289" s="53">
        <v>100</v>
      </c>
      <c r="E289" s="50">
        <f>248*8*(A291/1979)</f>
        <v>12.030318342597271</v>
      </c>
      <c r="F289" s="51">
        <f>E289/A291</f>
        <v>1.0025265285497726</v>
      </c>
      <c r="G289" s="36">
        <f>D289/E289*F289</f>
        <v>8.3333333333333339</v>
      </c>
      <c r="H289" s="85">
        <v>7.6466200000000004</v>
      </c>
      <c r="I289" s="115">
        <f>H289*G289</f>
        <v>63.721833333333343</v>
      </c>
      <c r="J289" s="137"/>
      <c r="K289" s="121"/>
      <c r="L289" s="137"/>
    </row>
    <row r="290" spans="1:12">
      <c r="A290" s="123" t="s">
        <v>66</v>
      </c>
      <c r="B290" s="5" t="s">
        <v>21</v>
      </c>
      <c r="C290" s="33" t="s">
        <v>25</v>
      </c>
      <c r="D290" s="8">
        <v>10</v>
      </c>
      <c r="E290" s="7">
        <f>248*8*(A291/1979)</f>
        <v>12.030318342597271</v>
      </c>
      <c r="F290" s="29">
        <f>E290/A291</f>
        <v>1.0025265285497726</v>
      </c>
      <c r="G290" s="36">
        <f>D290/E290*F290</f>
        <v>0.83333333333333337</v>
      </c>
      <c r="H290" s="6">
        <v>1690.46</v>
      </c>
      <c r="I290" s="115">
        <f t="shared" ref="I290:I292" si="100">H290*G290</f>
        <v>1408.7166666666667</v>
      </c>
      <c r="J290" s="137"/>
      <c r="K290" s="121"/>
      <c r="L290" s="137"/>
    </row>
    <row r="291" spans="1:12">
      <c r="A291" s="124">
        <v>12</v>
      </c>
      <c r="B291" s="30" t="s">
        <v>22</v>
      </c>
      <c r="C291" s="34" t="s">
        <v>26</v>
      </c>
      <c r="D291" s="30">
        <v>30</v>
      </c>
      <c r="E291" s="7">
        <f>248*8*(A291/1979)</f>
        <v>12.030318342597271</v>
      </c>
      <c r="F291" s="29">
        <f>E291/A291</f>
        <v>1.0025265285497726</v>
      </c>
      <c r="G291" s="36">
        <f t="shared" ref="G291:G292" si="101">D291/E291*F291</f>
        <v>2.5</v>
      </c>
      <c r="H291" s="31">
        <v>40.96</v>
      </c>
      <c r="I291" s="115">
        <f t="shared" si="100"/>
        <v>102.4</v>
      </c>
      <c r="J291" s="137"/>
      <c r="K291" s="121"/>
      <c r="L291" s="137"/>
    </row>
    <row r="292" spans="1:12">
      <c r="A292" s="125" t="s">
        <v>112</v>
      </c>
      <c r="B292" s="30" t="s">
        <v>23</v>
      </c>
      <c r="C292" s="34" t="s">
        <v>26</v>
      </c>
      <c r="D292" s="30">
        <v>30</v>
      </c>
      <c r="E292" s="7">
        <f>248*8*(A291/1979)</f>
        <v>12.030318342597271</v>
      </c>
      <c r="F292" s="29">
        <f>E292/A291</f>
        <v>1.0025265285497726</v>
      </c>
      <c r="G292" s="36">
        <f t="shared" si="101"/>
        <v>2.5</v>
      </c>
      <c r="H292" s="31">
        <v>59.65</v>
      </c>
      <c r="I292" s="115">
        <f t="shared" si="100"/>
        <v>149.125</v>
      </c>
      <c r="J292" s="137"/>
      <c r="K292" s="121"/>
      <c r="L292" s="137"/>
    </row>
    <row r="293" spans="1:12" s="1" customFormat="1" ht="15.75" thickBot="1">
      <c r="A293" s="126"/>
      <c r="B293" s="18"/>
      <c r="C293" s="18"/>
      <c r="D293" s="18"/>
      <c r="E293" s="18"/>
      <c r="F293" s="18"/>
      <c r="G293" s="37"/>
      <c r="H293" s="21"/>
      <c r="I293" s="109">
        <f>SUM(I289:I292)</f>
        <v>1723.9635000000001</v>
      </c>
      <c r="J293" s="121">
        <f>I293*A291</f>
        <v>20687.562000000002</v>
      </c>
      <c r="K293" s="121">
        <v>20687.560000000001</v>
      </c>
      <c r="L293" s="121">
        <f>K293-J293</f>
        <v>-2.0000000004074536E-3</v>
      </c>
    </row>
    <row r="294" spans="1:12">
      <c r="A294" s="122" t="s">
        <v>73</v>
      </c>
      <c r="B294" s="11" t="s">
        <v>20</v>
      </c>
      <c r="C294" s="32" t="s">
        <v>24</v>
      </c>
      <c r="D294" s="53">
        <v>100</v>
      </c>
      <c r="E294" s="50">
        <f>248*8*(A296/1979)</f>
        <v>12.030318342597271</v>
      </c>
      <c r="F294" s="51">
        <f>E294/A296</f>
        <v>1.0025265285497726</v>
      </c>
      <c r="G294" s="36">
        <f>D294/E294*F294</f>
        <v>8.3333333333333339</v>
      </c>
      <c r="H294" s="85">
        <v>7.6466200000000004</v>
      </c>
      <c r="I294" s="115">
        <f>H294*G294</f>
        <v>63.721833333333343</v>
      </c>
      <c r="J294" s="137"/>
      <c r="K294" s="121"/>
      <c r="L294" s="137"/>
    </row>
    <row r="295" spans="1:12">
      <c r="A295" s="123" t="s">
        <v>66</v>
      </c>
      <c r="B295" s="5" t="s">
        <v>21</v>
      </c>
      <c r="C295" s="33" t="s">
        <v>25</v>
      </c>
      <c r="D295" s="8">
        <v>10</v>
      </c>
      <c r="E295" s="7">
        <f>248*8*(A296/1979)</f>
        <v>12.030318342597271</v>
      </c>
      <c r="F295" s="29">
        <f>E295/A296</f>
        <v>1.0025265285497726</v>
      </c>
      <c r="G295" s="36">
        <f>D295/E295*F295</f>
        <v>0.83333333333333337</v>
      </c>
      <c r="H295" s="6">
        <v>1690.46</v>
      </c>
      <c r="I295" s="115">
        <f t="shared" ref="I295:I297" si="102">H295*G295</f>
        <v>1408.7166666666667</v>
      </c>
      <c r="J295" s="137"/>
      <c r="K295" s="121"/>
      <c r="L295" s="137"/>
    </row>
    <row r="296" spans="1:12">
      <c r="A296" s="124">
        <v>12</v>
      </c>
      <c r="B296" s="30" t="s">
        <v>22</v>
      </c>
      <c r="C296" s="34" t="s">
        <v>26</v>
      </c>
      <c r="D296" s="30">
        <v>30</v>
      </c>
      <c r="E296" s="7">
        <f>248*8*(A296/1979)</f>
        <v>12.030318342597271</v>
      </c>
      <c r="F296" s="29">
        <f>E296/A296</f>
        <v>1.0025265285497726</v>
      </c>
      <c r="G296" s="36">
        <f t="shared" ref="G296:G297" si="103">D296/E296*F296</f>
        <v>2.5</v>
      </c>
      <c r="H296" s="31">
        <v>40.96</v>
      </c>
      <c r="I296" s="115">
        <f t="shared" si="102"/>
        <v>102.4</v>
      </c>
      <c r="J296" s="137"/>
      <c r="K296" s="121"/>
      <c r="L296" s="137"/>
    </row>
    <row r="297" spans="1:12">
      <c r="A297" s="125" t="s">
        <v>110</v>
      </c>
      <c r="B297" s="30" t="s">
        <v>23</v>
      </c>
      <c r="C297" s="34" t="s">
        <v>26</v>
      </c>
      <c r="D297" s="30">
        <v>30</v>
      </c>
      <c r="E297" s="7">
        <f>248*8*(A296/1979)</f>
        <v>12.030318342597271</v>
      </c>
      <c r="F297" s="29">
        <f>E297/A296</f>
        <v>1.0025265285497726</v>
      </c>
      <c r="G297" s="36">
        <f t="shared" si="103"/>
        <v>2.5</v>
      </c>
      <c r="H297" s="31">
        <v>59.65</v>
      </c>
      <c r="I297" s="115">
        <f t="shared" si="102"/>
        <v>149.125</v>
      </c>
      <c r="J297" s="137"/>
      <c r="K297" s="121"/>
      <c r="L297" s="137"/>
    </row>
    <row r="298" spans="1:12" s="1" customFormat="1" ht="15.75" thickBot="1">
      <c r="A298" s="126"/>
      <c r="B298" s="18"/>
      <c r="C298" s="18"/>
      <c r="D298" s="18"/>
      <c r="E298" s="18"/>
      <c r="F298" s="18"/>
      <c r="G298" s="37"/>
      <c r="H298" s="21"/>
      <c r="I298" s="109">
        <f>SUM(I294:I297)</f>
        <v>1723.9635000000001</v>
      </c>
      <c r="J298" s="121">
        <f>I298*A296</f>
        <v>20687.562000000002</v>
      </c>
      <c r="K298" s="121">
        <v>20687.560000000001</v>
      </c>
      <c r="L298" s="121">
        <f>K298-J298</f>
        <v>-2.0000000004074536E-3</v>
      </c>
    </row>
    <row r="299" spans="1:12">
      <c r="A299" s="122" t="s">
        <v>73</v>
      </c>
      <c r="B299" s="11" t="s">
        <v>20</v>
      </c>
      <c r="C299" s="32" t="s">
        <v>24</v>
      </c>
      <c r="D299" s="53">
        <v>100</v>
      </c>
      <c r="E299" s="50">
        <f>248*8*(A301/1979)</f>
        <v>57.144012127337042</v>
      </c>
      <c r="F299" s="51">
        <f>E299/A301</f>
        <v>1.0025265285497726</v>
      </c>
      <c r="G299" s="36">
        <f>D299/E299*F299</f>
        <v>1.7543859649122806</v>
      </c>
      <c r="H299" s="85">
        <v>7.6466200000000004</v>
      </c>
      <c r="I299" s="115">
        <f>H299*G299</f>
        <v>13.415122807017545</v>
      </c>
      <c r="J299" s="137"/>
      <c r="K299" s="121"/>
      <c r="L299" s="137"/>
    </row>
    <row r="300" spans="1:12">
      <c r="A300" s="123" t="s">
        <v>66</v>
      </c>
      <c r="B300" s="5" t="s">
        <v>21</v>
      </c>
      <c r="C300" s="33" t="s">
        <v>25</v>
      </c>
      <c r="D300" s="8">
        <v>10</v>
      </c>
      <c r="E300" s="7">
        <f>248*8*(A301/1979)</f>
        <v>57.144012127337042</v>
      </c>
      <c r="F300" s="29">
        <f>E300/A301</f>
        <v>1.0025265285497726</v>
      </c>
      <c r="G300" s="36">
        <f>D300/E300*F300</f>
        <v>0.17543859649122806</v>
      </c>
      <c r="H300" s="6">
        <v>1690.46</v>
      </c>
      <c r="I300" s="115">
        <f t="shared" ref="I300:I302" si="104">H300*G300</f>
        <v>296.57192982456138</v>
      </c>
      <c r="J300" s="137"/>
      <c r="K300" s="121"/>
      <c r="L300" s="137"/>
    </row>
    <row r="301" spans="1:12">
      <c r="A301" s="124">
        <v>57</v>
      </c>
      <c r="B301" s="30" t="s">
        <v>22</v>
      </c>
      <c r="C301" s="34" t="s">
        <v>26</v>
      </c>
      <c r="D301" s="30">
        <v>30</v>
      </c>
      <c r="E301" s="7">
        <f>248*8*(A301/1979)</f>
        <v>57.144012127337042</v>
      </c>
      <c r="F301" s="29">
        <f>E301/A301</f>
        <v>1.0025265285497726</v>
      </c>
      <c r="G301" s="36">
        <f t="shared" ref="G301:G302" si="105">D301/E301*F301</f>
        <v>0.52631578947368418</v>
      </c>
      <c r="H301" s="31">
        <v>40.96</v>
      </c>
      <c r="I301" s="115">
        <f t="shared" si="104"/>
        <v>21.557894736842105</v>
      </c>
      <c r="J301" s="137"/>
      <c r="K301" s="121"/>
      <c r="L301" s="137"/>
    </row>
    <row r="302" spans="1:12">
      <c r="A302" s="125" t="s">
        <v>111</v>
      </c>
      <c r="B302" s="30" t="s">
        <v>23</v>
      </c>
      <c r="C302" s="34" t="s">
        <v>26</v>
      </c>
      <c r="D302" s="30">
        <v>30</v>
      </c>
      <c r="E302" s="7">
        <f>248*8*(A301/1979)</f>
        <v>57.144012127337042</v>
      </c>
      <c r="F302" s="29">
        <f>E302/A301</f>
        <v>1.0025265285497726</v>
      </c>
      <c r="G302" s="36">
        <f t="shared" si="105"/>
        <v>0.52631578947368418</v>
      </c>
      <c r="H302" s="31">
        <v>59.65</v>
      </c>
      <c r="I302" s="115">
        <f t="shared" si="104"/>
        <v>31.39473684210526</v>
      </c>
      <c r="J302" s="137"/>
      <c r="K302" s="121"/>
      <c r="L302" s="137"/>
    </row>
    <row r="303" spans="1:12" s="1" customFormat="1" ht="15.75" thickBot="1">
      <c r="A303" s="126"/>
      <c r="B303" s="18"/>
      <c r="C303" s="18"/>
      <c r="D303" s="18"/>
      <c r="E303" s="18"/>
      <c r="F303" s="18"/>
      <c r="G303" s="37"/>
      <c r="H303" s="21"/>
      <c r="I303" s="109">
        <f>SUM(I299:I302)</f>
        <v>362.93968421052631</v>
      </c>
      <c r="J303" s="121">
        <f>I303*A301</f>
        <v>20687.561999999998</v>
      </c>
      <c r="K303" s="121">
        <v>20687.560000000001</v>
      </c>
      <c r="L303" s="121">
        <f>K303-J303</f>
        <v>-1.9999999967694748E-3</v>
      </c>
    </row>
    <row r="304" spans="1:12">
      <c r="A304" s="122" t="s">
        <v>73</v>
      </c>
      <c r="B304" s="11" t="s">
        <v>20</v>
      </c>
      <c r="C304" s="32" t="s">
        <v>24</v>
      </c>
      <c r="D304" s="53">
        <v>100</v>
      </c>
      <c r="E304" s="50">
        <f>248*8*(A306/1979)</f>
        <v>4.0101061141990906</v>
      </c>
      <c r="F304" s="51">
        <f>E304/A306</f>
        <v>1.0025265285497726</v>
      </c>
      <c r="G304" s="36">
        <f>D304/E304*F304</f>
        <v>25</v>
      </c>
      <c r="H304" s="85">
        <v>7.6466200000000004</v>
      </c>
      <c r="I304" s="115">
        <f>H304*G304</f>
        <v>191.16550000000001</v>
      </c>
      <c r="J304" s="137"/>
      <c r="K304" s="121"/>
      <c r="L304" s="137"/>
    </row>
    <row r="305" spans="1:12">
      <c r="A305" s="123" t="s">
        <v>66</v>
      </c>
      <c r="B305" s="5" t="s">
        <v>21</v>
      </c>
      <c r="C305" s="33" t="s">
        <v>25</v>
      </c>
      <c r="D305" s="8">
        <v>10</v>
      </c>
      <c r="E305" s="7">
        <f>248*8*(A306/1979)</f>
        <v>4.0101061141990906</v>
      </c>
      <c r="F305" s="29">
        <f>E305/A306</f>
        <v>1.0025265285497726</v>
      </c>
      <c r="G305" s="36">
        <f>D305/E305*F305</f>
        <v>2.5</v>
      </c>
      <c r="H305" s="6">
        <v>1690.46</v>
      </c>
      <c r="I305" s="115">
        <f t="shared" ref="I305:I307" si="106">H305*G305</f>
        <v>4226.1499999999996</v>
      </c>
      <c r="J305" s="137"/>
      <c r="K305" s="121"/>
      <c r="L305" s="137"/>
    </row>
    <row r="306" spans="1:12">
      <c r="A306" s="124">
        <v>4</v>
      </c>
      <c r="B306" s="30" t="s">
        <v>22</v>
      </c>
      <c r="C306" s="34" t="s">
        <v>26</v>
      </c>
      <c r="D306" s="30">
        <v>30</v>
      </c>
      <c r="E306" s="7">
        <f>248*8*(A306/1979)</f>
        <v>4.0101061141990906</v>
      </c>
      <c r="F306" s="29">
        <f>E306/A306</f>
        <v>1.0025265285497726</v>
      </c>
      <c r="G306" s="36">
        <f t="shared" ref="G306:G307" si="107">D306/E306*F306</f>
        <v>7.5</v>
      </c>
      <c r="H306" s="31">
        <v>40.96</v>
      </c>
      <c r="I306" s="115">
        <f t="shared" si="106"/>
        <v>307.2</v>
      </c>
      <c r="J306" s="137"/>
      <c r="K306" s="121"/>
      <c r="L306" s="137"/>
    </row>
    <row r="307" spans="1:12">
      <c r="A307" s="125" t="s">
        <v>112</v>
      </c>
      <c r="B307" s="30" t="s">
        <v>23</v>
      </c>
      <c r="C307" s="34" t="s">
        <v>26</v>
      </c>
      <c r="D307" s="30">
        <v>30</v>
      </c>
      <c r="E307" s="7">
        <f>248*8*(A306/1979)</f>
        <v>4.0101061141990906</v>
      </c>
      <c r="F307" s="29">
        <f>E307/A306</f>
        <v>1.0025265285497726</v>
      </c>
      <c r="G307" s="36">
        <f t="shared" si="107"/>
        <v>7.5</v>
      </c>
      <c r="H307" s="31">
        <v>59.65</v>
      </c>
      <c r="I307" s="115">
        <f t="shared" si="106"/>
        <v>447.375</v>
      </c>
      <c r="J307" s="137"/>
      <c r="K307" s="121"/>
      <c r="L307" s="137"/>
    </row>
    <row r="308" spans="1:12" s="1" customFormat="1" ht="15.75" thickBot="1">
      <c r="A308" s="126"/>
      <c r="B308" s="18"/>
      <c r="C308" s="18"/>
      <c r="D308" s="18"/>
      <c r="E308" s="18"/>
      <c r="F308" s="18"/>
      <c r="G308" s="37"/>
      <c r="H308" s="21"/>
      <c r="I308" s="109">
        <f>SUM(I304:I307)</f>
        <v>5171.8904999999995</v>
      </c>
      <c r="J308" s="121">
        <f>I308*A306</f>
        <v>20687.561999999998</v>
      </c>
      <c r="K308" s="121">
        <v>20687.560000000001</v>
      </c>
      <c r="L308" s="121">
        <f>K308-J308</f>
        <v>-1.9999999967694748E-3</v>
      </c>
    </row>
    <row r="309" spans="1:12">
      <c r="A309" s="122" t="s">
        <v>96</v>
      </c>
      <c r="B309" s="13" t="s">
        <v>20</v>
      </c>
      <c r="C309" s="49" t="s">
        <v>24</v>
      </c>
      <c r="D309" s="53">
        <v>100</v>
      </c>
      <c r="E309" s="50">
        <f>248*8*(A311/1979)</f>
        <v>3.0075795856493177</v>
      </c>
      <c r="F309" s="51">
        <f>E309/A311</f>
        <v>1.0025265285497726</v>
      </c>
      <c r="G309" s="36">
        <f>D309/E309*F309</f>
        <v>33.333333333333336</v>
      </c>
      <c r="H309" s="85">
        <v>7.6466200000000004</v>
      </c>
      <c r="I309" s="115">
        <f>H309*G309</f>
        <v>254.88733333333337</v>
      </c>
      <c r="J309" s="137"/>
      <c r="K309" s="121"/>
      <c r="L309" s="137"/>
    </row>
    <row r="310" spans="1:12">
      <c r="A310" s="123" t="s">
        <v>66</v>
      </c>
      <c r="B310" s="5" t="s">
        <v>21</v>
      </c>
      <c r="C310" s="33" t="s">
        <v>25</v>
      </c>
      <c r="D310" s="8">
        <v>10</v>
      </c>
      <c r="E310" s="7">
        <f>248*8*(A311/1979)</f>
        <v>3.0075795856493177</v>
      </c>
      <c r="F310" s="29">
        <f>E310/A311</f>
        <v>1.0025265285497726</v>
      </c>
      <c r="G310" s="36">
        <f>D310/E310*F310</f>
        <v>3.3333333333333335</v>
      </c>
      <c r="H310" s="6">
        <v>1690.46</v>
      </c>
      <c r="I310" s="115">
        <f t="shared" ref="I310:I312" si="108">H310*G310</f>
        <v>5634.8666666666668</v>
      </c>
      <c r="J310" s="137"/>
      <c r="K310" s="121"/>
      <c r="L310" s="137"/>
    </row>
    <row r="311" spans="1:12">
      <c r="A311" s="124">
        <v>3</v>
      </c>
      <c r="B311" s="30" t="s">
        <v>22</v>
      </c>
      <c r="C311" s="34" t="s">
        <v>26</v>
      </c>
      <c r="D311" s="30">
        <v>30</v>
      </c>
      <c r="E311" s="7">
        <f>248*8*(A311/1979)</f>
        <v>3.0075795856493177</v>
      </c>
      <c r="F311" s="29">
        <f>E311/A311</f>
        <v>1.0025265285497726</v>
      </c>
      <c r="G311" s="36">
        <f t="shared" ref="G311:G312" si="109">D311/E311*F311</f>
        <v>10</v>
      </c>
      <c r="H311" s="31">
        <v>40.96</v>
      </c>
      <c r="I311" s="115">
        <f t="shared" si="108"/>
        <v>409.6</v>
      </c>
      <c r="J311" s="137"/>
      <c r="K311" s="121"/>
      <c r="L311" s="137"/>
    </row>
    <row r="312" spans="1:12">
      <c r="A312" s="125" t="s">
        <v>110</v>
      </c>
      <c r="B312" s="30" t="s">
        <v>23</v>
      </c>
      <c r="C312" s="34" t="s">
        <v>26</v>
      </c>
      <c r="D312" s="30">
        <v>30</v>
      </c>
      <c r="E312" s="7">
        <f>248*8*(A311/1979)</f>
        <v>3.0075795856493177</v>
      </c>
      <c r="F312" s="29">
        <f>E312/A311</f>
        <v>1.0025265285497726</v>
      </c>
      <c r="G312" s="36">
        <f t="shared" si="109"/>
        <v>10</v>
      </c>
      <c r="H312" s="31">
        <v>59.65</v>
      </c>
      <c r="I312" s="115">
        <f t="shared" si="108"/>
        <v>596.5</v>
      </c>
      <c r="J312" s="137"/>
      <c r="K312" s="121"/>
      <c r="L312" s="137"/>
    </row>
    <row r="313" spans="1:12" s="1" customFormat="1" ht="15.75" thickBot="1">
      <c r="A313" s="126"/>
      <c r="B313" s="18"/>
      <c r="C313" s="18"/>
      <c r="D313" s="18"/>
      <c r="E313" s="18"/>
      <c r="F313" s="18"/>
      <c r="G313" s="37"/>
      <c r="H313" s="21"/>
      <c r="I313" s="109">
        <f>SUM(I309:I312)</f>
        <v>6895.8540000000003</v>
      </c>
      <c r="J313" s="121">
        <f>I313*A311</f>
        <v>20687.562000000002</v>
      </c>
      <c r="K313" s="121">
        <v>20687.560000000001</v>
      </c>
      <c r="L313" s="121">
        <f>K313-J313</f>
        <v>-2.0000000004074536E-3</v>
      </c>
    </row>
    <row r="314" spans="1:12">
      <c r="A314" s="122" t="s">
        <v>96</v>
      </c>
      <c r="B314" s="13" t="s">
        <v>20</v>
      </c>
      <c r="C314" s="49" t="s">
        <v>24</v>
      </c>
      <c r="D314" s="53">
        <v>100</v>
      </c>
      <c r="E314" s="50">
        <f>248*8*(A316/1979)</f>
        <v>80.202122283981808</v>
      </c>
      <c r="F314" s="51">
        <f>E314/A316</f>
        <v>1.0025265285497726</v>
      </c>
      <c r="G314" s="36">
        <f>D314/E314*F314</f>
        <v>1.25</v>
      </c>
      <c r="H314" s="85">
        <v>7.6466200000000004</v>
      </c>
      <c r="I314" s="115">
        <f>H314*G314</f>
        <v>9.5582750000000001</v>
      </c>
      <c r="J314" s="137"/>
      <c r="K314" s="121"/>
      <c r="L314" s="137"/>
    </row>
    <row r="315" spans="1:12">
      <c r="A315" s="123" t="s">
        <v>66</v>
      </c>
      <c r="B315" s="5" t="s">
        <v>21</v>
      </c>
      <c r="C315" s="33" t="s">
        <v>25</v>
      </c>
      <c r="D315" s="8">
        <v>10</v>
      </c>
      <c r="E315" s="7">
        <f>248*8*(A316/1979)</f>
        <v>80.202122283981808</v>
      </c>
      <c r="F315" s="29">
        <f>E315/A316</f>
        <v>1.0025265285497726</v>
      </c>
      <c r="G315" s="36">
        <f>D315/E315*F315</f>
        <v>0.125</v>
      </c>
      <c r="H315" s="6">
        <v>1690.46</v>
      </c>
      <c r="I315" s="115">
        <f t="shared" ref="I315:I317" si="110">H315*G315</f>
        <v>211.3075</v>
      </c>
      <c r="J315" s="137"/>
      <c r="K315" s="121"/>
      <c r="L315" s="137"/>
    </row>
    <row r="316" spans="1:12">
      <c r="A316" s="124">
        <v>80</v>
      </c>
      <c r="B316" s="30" t="s">
        <v>22</v>
      </c>
      <c r="C316" s="34" t="s">
        <v>26</v>
      </c>
      <c r="D316" s="30">
        <v>30</v>
      </c>
      <c r="E316" s="7">
        <f>248*8*(A316/1979)</f>
        <v>80.202122283981808</v>
      </c>
      <c r="F316" s="29">
        <f>E316/A316</f>
        <v>1.0025265285497726</v>
      </c>
      <c r="G316" s="36">
        <f t="shared" ref="G316:G317" si="111">D316/E316*F316</f>
        <v>0.37500000000000006</v>
      </c>
      <c r="H316" s="31">
        <v>40.96</v>
      </c>
      <c r="I316" s="115">
        <f t="shared" si="110"/>
        <v>15.360000000000003</v>
      </c>
      <c r="J316" s="137"/>
      <c r="K316" s="121"/>
      <c r="L316" s="137"/>
    </row>
    <row r="317" spans="1:12">
      <c r="A317" s="125" t="s">
        <v>111</v>
      </c>
      <c r="B317" s="30" t="s">
        <v>23</v>
      </c>
      <c r="C317" s="34" t="s">
        <v>26</v>
      </c>
      <c r="D317" s="30">
        <v>30</v>
      </c>
      <c r="E317" s="7">
        <f>248*8*(A316/1979)</f>
        <v>80.202122283981808</v>
      </c>
      <c r="F317" s="29">
        <f>E317/A316</f>
        <v>1.0025265285497726</v>
      </c>
      <c r="G317" s="36">
        <f t="shared" si="111"/>
        <v>0.37500000000000006</v>
      </c>
      <c r="H317" s="31">
        <v>59.65</v>
      </c>
      <c r="I317" s="115">
        <f t="shared" si="110"/>
        <v>22.368750000000002</v>
      </c>
      <c r="J317" s="137"/>
      <c r="K317" s="121"/>
      <c r="L317" s="137"/>
    </row>
    <row r="318" spans="1:12" s="1" customFormat="1" ht="15.75" thickBot="1">
      <c r="A318" s="126"/>
      <c r="B318" s="18"/>
      <c r="C318" s="18"/>
      <c r="D318" s="18"/>
      <c r="E318" s="18"/>
      <c r="F318" s="18"/>
      <c r="G318" s="37"/>
      <c r="H318" s="21"/>
      <c r="I318" s="109">
        <f>SUM(I314:I317)</f>
        <v>258.59452500000003</v>
      </c>
      <c r="J318" s="121">
        <f>I318*A316</f>
        <v>20687.562000000002</v>
      </c>
      <c r="K318" s="121">
        <v>20687.560000000001</v>
      </c>
      <c r="L318" s="121">
        <f>K318-J318</f>
        <v>-2.0000000004074536E-3</v>
      </c>
    </row>
    <row r="319" spans="1:12">
      <c r="A319" s="122" t="s">
        <v>96</v>
      </c>
      <c r="B319" s="13" t="s">
        <v>20</v>
      </c>
      <c r="C319" s="49" t="s">
        <v>24</v>
      </c>
      <c r="D319" s="53">
        <v>100</v>
      </c>
      <c r="E319" s="50">
        <f>248*8*(A321/1979)</f>
        <v>21.053057099545224</v>
      </c>
      <c r="F319" s="51">
        <f>E319/A321</f>
        <v>1.0025265285497726</v>
      </c>
      <c r="G319" s="36">
        <f>D319/E319*F319</f>
        <v>4.7619047619047619</v>
      </c>
      <c r="H319" s="85">
        <v>7.6466200000000004</v>
      </c>
      <c r="I319" s="115">
        <f>H319*G319</f>
        <v>36.412476190476191</v>
      </c>
      <c r="J319" s="137"/>
      <c r="K319" s="121"/>
      <c r="L319" s="137"/>
    </row>
    <row r="320" spans="1:12">
      <c r="A320" s="123" t="s">
        <v>66</v>
      </c>
      <c r="B320" s="5" t="s">
        <v>21</v>
      </c>
      <c r="C320" s="33" t="s">
        <v>25</v>
      </c>
      <c r="D320" s="8">
        <v>10</v>
      </c>
      <c r="E320" s="7">
        <f>248*8*(A321/1979)</f>
        <v>21.053057099545224</v>
      </c>
      <c r="F320" s="29">
        <f>E320/A321</f>
        <v>1.0025265285497726</v>
      </c>
      <c r="G320" s="36">
        <f>D320/E320*F320</f>
        <v>0.47619047619047622</v>
      </c>
      <c r="H320" s="6">
        <v>1690.46</v>
      </c>
      <c r="I320" s="115">
        <f t="shared" ref="I320:I322" si="112">H320*G320</f>
        <v>804.98095238095243</v>
      </c>
      <c r="J320" s="137"/>
      <c r="K320" s="121"/>
      <c r="L320" s="137"/>
    </row>
    <row r="321" spans="1:12">
      <c r="A321" s="124">
        <v>21</v>
      </c>
      <c r="B321" s="30" t="s">
        <v>22</v>
      </c>
      <c r="C321" s="34" t="s">
        <v>26</v>
      </c>
      <c r="D321" s="30">
        <v>30</v>
      </c>
      <c r="E321" s="7">
        <f>248*8*(A321/1979)</f>
        <v>21.053057099545224</v>
      </c>
      <c r="F321" s="29">
        <f>E321/A321</f>
        <v>1.0025265285497726</v>
      </c>
      <c r="G321" s="36">
        <f t="shared" ref="G321:G322" si="113">D321/E321*F321</f>
        <v>1.4285714285714288</v>
      </c>
      <c r="H321" s="31">
        <v>40.96</v>
      </c>
      <c r="I321" s="115">
        <f t="shared" si="112"/>
        <v>58.514285714285727</v>
      </c>
      <c r="J321" s="137"/>
      <c r="K321" s="121"/>
      <c r="L321" s="137"/>
    </row>
    <row r="322" spans="1:12">
      <c r="A322" s="125" t="s">
        <v>112</v>
      </c>
      <c r="B322" s="30" t="s">
        <v>23</v>
      </c>
      <c r="C322" s="34" t="s">
        <v>26</v>
      </c>
      <c r="D322" s="30">
        <v>30</v>
      </c>
      <c r="E322" s="7">
        <f>248*8*(A321/1979)</f>
        <v>21.053057099545224</v>
      </c>
      <c r="F322" s="29">
        <f>E322/A321</f>
        <v>1.0025265285497726</v>
      </c>
      <c r="G322" s="36">
        <f t="shared" si="113"/>
        <v>1.4285714285714288</v>
      </c>
      <c r="H322" s="31">
        <v>59.65</v>
      </c>
      <c r="I322" s="115">
        <f t="shared" si="112"/>
        <v>85.214285714285722</v>
      </c>
      <c r="J322" s="137"/>
      <c r="K322" s="121"/>
      <c r="L322" s="137"/>
    </row>
    <row r="323" spans="1:12" s="1" customFormat="1" ht="15.75" thickBot="1">
      <c r="A323" s="126"/>
      <c r="B323" s="18"/>
      <c r="C323" s="18"/>
      <c r="D323" s="18"/>
      <c r="E323" s="18"/>
      <c r="F323" s="18"/>
      <c r="G323" s="37"/>
      <c r="H323" s="21"/>
      <c r="I323" s="109">
        <f>SUM(I319:I322)</f>
        <v>985.12200000000007</v>
      </c>
      <c r="J323" s="121">
        <f>I323*A321</f>
        <v>20687.562000000002</v>
      </c>
      <c r="K323" s="121">
        <v>20687.560000000001</v>
      </c>
      <c r="L323" s="121">
        <f>K323-J323</f>
        <v>-2.0000000004074536E-3</v>
      </c>
    </row>
    <row r="324" spans="1:12" s="1" customFormat="1" ht="15.75" thickBot="1">
      <c r="A324" s="132"/>
      <c r="B324" s="45"/>
      <c r="C324" s="46"/>
      <c r="D324" s="45"/>
      <c r="E324" s="52"/>
      <c r="F324" s="45"/>
      <c r="G324" s="44"/>
      <c r="H324" s="47"/>
      <c r="I324" s="116"/>
      <c r="J324" s="137"/>
      <c r="K324" s="137"/>
      <c r="L324" s="137"/>
    </row>
    <row r="325" spans="1:12">
      <c r="A325" s="122" t="s">
        <v>75</v>
      </c>
      <c r="B325" s="13" t="s">
        <v>20</v>
      </c>
      <c r="C325" s="49" t="s">
        <v>24</v>
      </c>
      <c r="D325" s="53">
        <v>100</v>
      </c>
      <c r="E325" s="50">
        <f>248*8*(A327/1979)</f>
        <v>7.0176856998484078</v>
      </c>
      <c r="F325" s="51">
        <f>E325/A327</f>
        <v>1.0025265285497726</v>
      </c>
      <c r="G325" s="36">
        <f>D325/E325*F325</f>
        <v>14.285714285714288</v>
      </c>
      <c r="H325" s="85">
        <v>7.6466200000000004</v>
      </c>
      <c r="I325" s="115">
        <f>H325*G325</f>
        <v>109.23742857142859</v>
      </c>
      <c r="J325" s="137"/>
      <c r="K325" s="137"/>
      <c r="L325" s="137"/>
    </row>
    <row r="326" spans="1:12">
      <c r="A326" s="123" t="s">
        <v>66</v>
      </c>
      <c r="B326" s="5" t="s">
        <v>21</v>
      </c>
      <c r="C326" s="33" t="s">
        <v>25</v>
      </c>
      <c r="D326" s="8">
        <v>10</v>
      </c>
      <c r="E326" s="7">
        <f>248*8*(A327/1979)</f>
        <v>7.0176856998484078</v>
      </c>
      <c r="F326" s="29">
        <f>E326/A327</f>
        <v>1.0025265285497726</v>
      </c>
      <c r="G326" s="36">
        <f>D326/E326*F326</f>
        <v>1.4285714285714288</v>
      </c>
      <c r="H326" s="6">
        <v>1690.46</v>
      </c>
      <c r="I326" s="115">
        <f t="shared" ref="I326:I328" si="114">H326*G326</f>
        <v>2414.9428571428575</v>
      </c>
      <c r="J326" s="137"/>
      <c r="K326" s="137"/>
      <c r="L326" s="137"/>
    </row>
    <row r="327" spans="1:12">
      <c r="A327" s="124">
        <v>7</v>
      </c>
      <c r="B327" s="30" t="s">
        <v>22</v>
      </c>
      <c r="C327" s="34" t="s">
        <v>26</v>
      </c>
      <c r="D327" s="30">
        <v>30</v>
      </c>
      <c r="E327" s="7">
        <f>248*8*(A327/1979)</f>
        <v>7.0176856998484078</v>
      </c>
      <c r="F327" s="29">
        <f>E327/A327</f>
        <v>1.0025265285497726</v>
      </c>
      <c r="G327" s="36">
        <f t="shared" ref="G327:G328" si="115">D327/E327*F327</f>
        <v>4.2857142857142856</v>
      </c>
      <c r="H327" s="31">
        <v>40.96</v>
      </c>
      <c r="I327" s="115">
        <f t="shared" si="114"/>
        <v>175.54285714285714</v>
      </c>
      <c r="J327" s="137"/>
      <c r="K327" s="137"/>
      <c r="L327" s="137"/>
    </row>
    <row r="328" spans="1:12">
      <c r="A328" s="125" t="s">
        <v>110</v>
      </c>
      <c r="B328" s="30" t="s">
        <v>23</v>
      </c>
      <c r="C328" s="34" t="s">
        <v>26</v>
      </c>
      <c r="D328" s="30">
        <v>30</v>
      </c>
      <c r="E328" s="7">
        <f>248*8*(A327/1979)</f>
        <v>7.0176856998484078</v>
      </c>
      <c r="F328" s="29">
        <f>E328/A327</f>
        <v>1.0025265285497726</v>
      </c>
      <c r="G328" s="36">
        <f t="shared" si="115"/>
        <v>4.2857142857142856</v>
      </c>
      <c r="H328" s="31">
        <v>59.65</v>
      </c>
      <c r="I328" s="115">
        <f t="shared" si="114"/>
        <v>255.64285714285714</v>
      </c>
      <c r="J328" s="137"/>
      <c r="K328" s="137"/>
      <c r="L328" s="137"/>
    </row>
    <row r="329" spans="1:12" s="1" customFormat="1" ht="15.75" thickBot="1">
      <c r="A329" s="126"/>
      <c r="B329" s="18"/>
      <c r="C329" s="18"/>
      <c r="D329" s="18"/>
      <c r="E329" s="18"/>
      <c r="F329" s="18"/>
      <c r="G329" s="37"/>
      <c r="H329" s="21"/>
      <c r="I329" s="109">
        <f>SUM(I325:I328)</f>
        <v>2955.3660000000004</v>
      </c>
      <c r="J329" s="121">
        <f>I329*A327</f>
        <v>20687.562000000002</v>
      </c>
      <c r="K329" s="121">
        <v>20687.560000000001</v>
      </c>
      <c r="L329" s="121">
        <f>K329-J329</f>
        <v>-2.0000000004074536E-3</v>
      </c>
    </row>
    <row r="330" spans="1:12">
      <c r="A330" s="122" t="s">
        <v>75</v>
      </c>
      <c r="B330" s="13" t="s">
        <v>20</v>
      </c>
      <c r="C330" s="49" t="s">
        <v>24</v>
      </c>
      <c r="D330" s="53">
        <v>100</v>
      </c>
      <c r="E330" s="50">
        <f>248*8*(A332/1979)</f>
        <v>23.058110156644769</v>
      </c>
      <c r="F330" s="51">
        <f>E330/A332</f>
        <v>1.0025265285497726</v>
      </c>
      <c r="G330" s="36">
        <f>D330/E330*F330</f>
        <v>4.3478260869565215</v>
      </c>
      <c r="H330" s="85">
        <v>7.6466200000000004</v>
      </c>
      <c r="I330" s="115">
        <f>H330*G330</f>
        <v>33.246173913043478</v>
      </c>
      <c r="J330" s="137"/>
      <c r="K330" s="121"/>
      <c r="L330" s="137"/>
    </row>
    <row r="331" spans="1:12">
      <c r="A331" s="123" t="s">
        <v>66</v>
      </c>
      <c r="B331" s="5" t="s">
        <v>21</v>
      </c>
      <c r="C331" s="33" t="s">
        <v>25</v>
      </c>
      <c r="D331" s="8">
        <v>10</v>
      </c>
      <c r="E331" s="7">
        <f>248*8*(A332/1979)</f>
        <v>23.058110156644769</v>
      </c>
      <c r="F331" s="29">
        <f>E331/A332</f>
        <v>1.0025265285497726</v>
      </c>
      <c r="G331" s="36">
        <f>D331/E331*F331</f>
        <v>0.43478260869565222</v>
      </c>
      <c r="H331" s="6">
        <v>1690.46</v>
      </c>
      <c r="I331" s="115">
        <f t="shared" ref="I331:I333" si="116">H331*G331</f>
        <v>734.98260869565229</v>
      </c>
      <c r="J331" s="137"/>
      <c r="K331" s="121"/>
      <c r="L331" s="137"/>
    </row>
    <row r="332" spans="1:12">
      <c r="A332" s="124">
        <v>23</v>
      </c>
      <c r="B332" s="30" t="s">
        <v>22</v>
      </c>
      <c r="C332" s="34" t="s">
        <v>26</v>
      </c>
      <c r="D332" s="30">
        <v>30</v>
      </c>
      <c r="E332" s="7">
        <f>248*8*(A332/1979)</f>
        <v>23.058110156644769</v>
      </c>
      <c r="F332" s="29">
        <f>E332/A332</f>
        <v>1.0025265285497726</v>
      </c>
      <c r="G332" s="36">
        <f t="shared" ref="G332:G333" si="117">D332/E332*F332</f>
        <v>1.3043478260869568</v>
      </c>
      <c r="H332" s="31">
        <v>40.96</v>
      </c>
      <c r="I332" s="115">
        <f t="shared" si="116"/>
        <v>53.42608695652175</v>
      </c>
      <c r="J332" s="137"/>
      <c r="K332" s="121"/>
      <c r="L332" s="137"/>
    </row>
    <row r="333" spans="1:12">
      <c r="A333" s="125" t="s">
        <v>111</v>
      </c>
      <c r="B333" s="30" t="s">
        <v>23</v>
      </c>
      <c r="C333" s="34" t="s">
        <v>26</v>
      </c>
      <c r="D333" s="30">
        <v>30</v>
      </c>
      <c r="E333" s="7">
        <f>248*8*(A332/1979)</f>
        <v>23.058110156644769</v>
      </c>
      <c r="F333" s="29">
        <f>E333/A332</f>
        <v>1.0025265285497726</v>
      </c>
      <c r="G333" s="36">
        <f t="shared" si="117"/>
        <v>1.3043478260869568</v>
      </c>
      <c r="H333" s="31">
        <v>59.65</v>
      </c>
      <c r="I333" s="115">
        <f t="shared" si="116"/>
        <v>77.804347826086968</v>
      </c>
      <c r="J333" s="137"/>
      <c r="K333" s="121"/>
      <c r="L333" s="137"/>
    </row>
    <row r="334" spans="1:12" s="1" customFormat="1" ht="15.75" thickBot="1">
      <c r="A334" s="126"/>
      <c r="B334" s="18"/>
      <c r="C334" s="18"/>
      <c r="D334" s="18"/>
      <c r="E334" s="18"/>
      <c r="F334" s="18"/>
      <c r="G334" s="37"/>
      <c r="H334" s="21"/>
      <c r="I334" s="109">
        <f>SUM(I330:I333)</f>
        <v>899.45921739130449</v>
      </c>
      <c r="J334" s="121">
        <f>I334*A332</f>
        <v>20687.562000000002</v>
      </c>
      <c r="K334" s="121">
        <v>20687.560000000001</v>
      </c>
      <c r="L334" s="121">
        <f>K334-J334</f>
        <v>-2.0000000004074536E-3</v>
      </c>
    </row>
    <row r="335" spans="1:12">
      <c r="A335" s="122" t="s">
        <v>75</v>
      </c>
      <c r="B335" s="13" t="s">
        <v>20</v>
      </c>
      <c r="C335" s="49" t="s">
        <v>24</v>
      </c>
      <c r="D335" s="53">
        <v>100</v>
      </c>
      <c r="E335" s="50">
        <f>248*8*(A337/1979)</f>
        <v>3.0075795856493177</v>
      </c>
      <c r="F335" s="51">
        <f>E335/A337</f>
        <v>1.0025265285497726</v>
      </c>
      <c r="G335" s="36">
        <f>D335/E335*F335</f>
        <v>33.333333333333336</v>
      </c>
      <c r="H335" s="85">
        <v>7.6466200000000004</v>
      </c>
      <c r="I335" s="115">
        <f>H335*G335</f>
        <v>254.88733333333337</v>
      </c>
      <c r="J335" s="137"/>
      <c r="K335" s="121"/>
      <c r="L335" s="137"/>
    </row>
    <row r="336" spans="1:12">
      <c r="A336" s="123" t="s">
        <v>66</v>
      </c>
      <c r="B336" s="5" t="s">
        <v>21</v>
      </c>
      <c r="C336" s="33" t="s">
        <v>25</v>
      </c>
      <c r="D336" s="8">
        <v>10</v>
      </c>
      <c r="E336" s="7">
        <f>248*8*(A337/1979)</f>
        <v>3.0075795856493177</v>
      </c>
      <c r="F336" s="29">
        <f>E336/A337</f>
        <v>1.0025265285497726</v>
      </c>
      <c r="G336" s="36">
        <f>D336/E336*F336</f>
        <v>3.3333333333333335</v>
      </c>
      <c r="H336" s="6">
        <v>1690.46</v>
      </c>
      <c r="I336" s="115">
        <f t="shared" ref="I336:I338" si="118">H336*G336</f>
        <v>5634.8666666666668</v>
      </c>
      <c r="J336" s="137"/>
      <c r="K336" s="121"/>
      <c r="L336" s="137"/>
    </row>
    <row r="337" spans="1:20">
      <c r="A337" s="124">
        <v>3</v>
      </c>
      <c r="B337" s="30" t="s">
        <v>22</v>
      </c>
      <c r="C337" s="34" t="s">
        <v>26</v>
      </c>
      <c r="D337" s="30">
        <v>30</v>
      </c>
      <c r="E337" s="7">
        <f>248*8*(A337/1979)</f>
        <v>3.0075795856493177</v>
      </c>
      <c r="F337" s="29">
        <f>E337/A337</f>
        <v>1.0025265285497726</v>
      </c>
      <c r="G337" s="36">
        <f t="shared" ref="G337:G338" si="119">D337/E337*F337</f>
        <v>10</v>
      </c>
      <c r="H337" s="31">
        <v>40.96</v>
      </c>
      <c r="I337" s="115">
        <f t="shared" si="118"/>
        <v>409.6</v>
      </c>
      <c r="J337" s="137"/>
      <c r="K337" s="121"/>
      <c r="L337" s="137"/>
    </row>
    <row r="338" spans="1:20">
      <c r="A338" s="125" t="s">
        <v>112</v>
      </c>
      <c r="B338" s="30" t="s">
        <v>23</v>
      </c>
      <c r="C338" s="34" t="s">
        <v>26</v>
      </c>
      <c r="D338" s="30">
        <v>30</v>
      </c>
      <c r="E338" s="7">
        <f>248*8*(A337/1979)</f>
        <v>3.0075795856493177</v>
      </c>
      <c r="F338" s="29">
        <f>E338/A337</f>
        <v>1.0025265285497726</v>
      </c>
      <c r="G338" s="36">
        <f t="shared" si="119"/>
        <v>10</v>
      </c>
      <c r="H338" s="31">
        <v>59.65</v>
      </c>
      <c r="I338" s="115">
        <f t="shared" si="118"/>
        <v>596.5</v>
      </c>
      <c r="J338" s="137"/>
      <c r="K338" s="121"/>
      <c r="L338" s="137"/>
    </row>
    <row r="339" spans="1:20" s="1" customFormat="1" ht="15.75" thickBot="1">
      <c r="A339" s="126"/>
      <c r="B339" s="18"/>
      <c r="C339" s="18"/>
      <c r="D339" s="18"/>
      <c r="E339" s="18"/>
      <c r="F339" s="18"/>
      <c r="G339" s="37"/>
      <c r="H339" s="21"/>
      <c r="I339" s="109">
        <f>SUM(I335:I338)</f>
        <v>6895.8540000000003</v>
      </c>
      <c r="J339" s="121">
        <f>I339*A337</f>
        <v>20687.562000000002</v>
      </c>
      <c r="K339" s="121">
        <v>20687.560000000001</v>
      </c>
      <c r="L339" s="121">
        <f>K339-J339</f>
        <v>-2.0000000004074536E-3</v>
      </c>
    </row>
    <row r="340" spans="1:20">
      <c r="A340" s="122" t="s">
        <v>76</v>
      </c>
      <c r="B340" s="13" t="s">
        <v>20</v>
      </c>
      <c r="C340" s="49" t="s">
        <v>24</v>
      </c>
      <c r="D340" s="53">
        <v>100</v>
      </c>
      <c r="E340" s="50">
        <f>248*8*(A342/1979)</f>
        <v>3.0075795856493177</v>
      </c>
      <c r="F340" s="51">
        <f>E340/A342</f>
        <v>1.0025265285497726</v>
      </c>
      <c r="G340" s="36">
        <f>D340/E340*F340</f>
        <v>33.333333333333336</v>
      </c>
      <c r="H340" s="85">
        <v>7.6466200000000004</v>
      </c>
      <c r="I340" s="115">
        <f>H340*G340</f>
        <v>254.88733333333337</v>
      </c>
      <c r="J340" s="137"/>
      <c r="K340" s="121"/>
      <c r="L340" s="137"/>
    </row>
    <row r="341" spans="1:20">
      <c r="A341" s="123" t="s">
        <v>66</v>
      </c>
      <c r="B341" s="5" t="s">
        <v>21</v>
      </c>
      <c r="C341" s="33" t="s">
        <v>25</v>
      </c>
      <c r="D341" s="8">
        <v>10</v>
      </c>
      <c r="E341" s="7">
        <f>248*8*(A342/1979)</f>
        <v>3.0075795856493177</v>
      </c>
      <c r="F341" s="29">
        <f>E341/A342</f>
        <v>1.0025265285497726</v>
      </c>
      <c r="G341" s="36">
        <f>D341/E341*F341</f>
        <v>3.3333333333333335</v>
      </c>
      <c r="H341" s="6">
        <v>1690.46</v>
      </c>
      <c r="I341" s="115">
        <f t="shared" ref="I341:I343" si="120">H341*G341</f>
        <v>5634.8666666666668</v>
      </c>
      <c r="J341" s="137"/>
      <c r="K341" s="121"/>
      <c r="L341" s="137"/>
    </row>
    <row r="342" spans="1:20">
      <c r="A342" s="124">
        <v>3</v>
      </c>
      <c r="B342" s="30" t="s">
        <v>22</v>
      </c>
      <c r="C342" s="34" t="s">
        <v>26</v>
      </c>
      <c r="D342" s="30">
        <v>30</v>
      </c>
      <c r="E342" s="7">
        <f>248*8*(A342/1979)</f>
        <v>3.0075795856493177</v>
      </c>
      <c r="F342" s="29">
        <f>E342/A342</f>
        <v>1.0025265285497726</v>
      </c>
      <c r="G342" s="36">
        <f t="shared" ref="G342:G343" si="121">D342/E342*F342</f>
        <v>10</v>
      </c>
      <c r="H342" s="31">
        <v>40.96</v>
      </c>
      <c r="I342" s="115">
        <f t="shared" si="120"/>
        <v>409.6</v>
      </c>
      <c r="J342" s="137"/>
      <c r="K342" s="121"/>
      <c r="L342" s="137"/>
    </row>
    <row r="343" spans="1:20">
      <c r="A343" s="125" t="s">
        <v>110</v>
      </c>
      <c r="B343" s="30" t="s">
        <v>23</v>
      </c>
      <c r="C343" s="34" t="s">
        <v>26</v>
      </c>
      <c r="D343" s="30">
        <v>30</v>
      </c>
      <c r="E343" s="7">
        <f>248*8*(A342/1979)</f>
        <v>3.0075795856493177</v>
      </c>
      <c r="F343" s="29">
        <f>E343/A342</f>
        <v>1.0025265285497726</v>
      </c>
      <c r="G343" s="36">
        <f t="shared" si="121"/>
        <v>10</v>
      </c>
      <c r="H343" s="31">
        <v>59.65</v>
      </c>
      <c r="I343" s="115">
        <f t="shared" si="120"/>
        <v>596.5</v>
      </c>
      <c r="J343" s="137"/>
      <c r="K343" s="121"/>
      <c r="L343" s="137"/>
    </row>
    <row r="344" spans="1:20" s="1" customFormat="1" ht="15.75" thickBot="1">
      <c r="A344" s="126"/>
      <c r="B344" s="18"/>
      <c r="C344" s="18"/>
      <c r="D344" s="18"/>
      <c r="E344" s="18"/>
      <c r="F344" s="18"/>
      <c r="G344" s="37"/>
      <c r="H344" s="21"/>
      <c r="I344" s="109">
        <f>SUM(I340:I343)</f>
        <v>6895.8540000000003</v>
      </c>
      <c r="J344" s="121">
        <f>I344*A342</f>
        <v>20687.562000000002</v>
      </c>
      <c r="K344" s="121">
        <v>20687.560000000001</v>
      </c>
      <c r="L344" s="121">
        <f>K344-J344</f>
        <v>-2.0000000004074536E-3</v>
      </c>
    </row>
    <row r="345" spans="1:20">
      <c r="A345" s="122" t="s">
        <v>76</v>
      </c>
      <c r="B345" s="13" t="s">
        <v>20</v>
      </c>
      <c r="C345" s="49" t="s">
        <v>24</v>
      </c>
      <c r="D345" s="53">
        <v>100</v>
      </c>
      <c r="E345" s="50">
        <f>248*8*(A347/1979)</f>
        <v>35.088428499242042</v>
      </c>
      <c r="F345" s="51">
        <f>E345/A347</f>
        <v>1.0025265285497726</v>
      </c>
      <c r="G345" s="36">
        <f>D345/E345*F345</f>
        <v>2.8571428571428572</v>
      </c>
      <c r="H345" s="85">
        <v>7.6466200000000004</v>
      </c>
      <c r="I345" s="115">
        <f>H345*G345</f>
        <v>21.847485714285718</v>
      </c>
      <c r="J345" s="137"/>
      <c r="K345" s="121"/>
      <c r="L345" s="137"/>
    </row>
    <row r="346" spans="1:20">
      <c r="A346" s="123" t="s">
        <v>66</v>
      </c>
      <c r="B346" s="5" t="s">
        <v>21</v>
      </c>
      <c r="C346" s="33" t="s">
        <v>25</v>
      </c>
      <c r="D346" s="8">
        <v>10</v>
      </c>
      <c r="E346" s="7">
        <f>248*8*(A347/1979)</f>
        <v>35.088428499242042</v>
      </c>
      <c r="F346" s="29">
        <f>E346/A347</f>
        <v>1.0025265285497726</v>
      </c>
      <c r="G346" s="36">
        <f>D346/E346*F346</f>
        <v>0.28571428571428575</v>
      </c>
      <c r="H346" s="6">
        <v>1690.46</v>
      </c>
      <c r="I346" s="115">
        <f t="shared" ref="I346:I348" si="122">H346*G346</f>
        <v>482.9885714285715</v>
      </c>
      <c r="J346" s="137"/>
      <c r="K346" s="121"/>
      <c r="L346" s="137"/>
    </row>
    <row r="347" spans="1:20">
      <c r="A347" s="124">
        <v>35</v>
      </c>
      <c r="B347" s="30" t="s">
        <v>22</v>
      </c>
      <c r="C347" s="34" t="s">
        <v>26</v>
      </c>
      <c r="D347" s="30">
        <v>30</v>
      </c>
      <c r="E347" s="7">
        <f>248*8*(A347/1979)</f>
        <v>35.088428499242042</v>
      </c>
      <c r="F347" s="29">
        <f>E347/A347</f>
        <v>1.0025265285497726</v>
      </c>
      <c r="G347" s="36">
        <f t="shared" ref="G347:G348" si="123">D347/E347*F347</f>
        <v>0.85714285714285721</v>
      </c>
      <c r="H347" s="31">
        <v>40.96</v>
      </c>
      <c r="I347" s="115">
        <f t="shared" si="122"/>
        <v>35.10857142857143</v>
      </c>
      <c r="J347" s="137"/>
      <c r="K347" s="121"/>
      <c r="L347" s="137"/>
    </row>
    <row r="348" spans="1:20">
      <c r="A348" s="125" t="s">
        <v>111</v>
      </c>
      <c r="B348" s="30" t="s">
        <v>23</v>
      </c>
      <c r="C348" s="34" t="s">
        <v>26</v>
      </c>
      <c r="D348" s="30">
        <v>30</v>
      </c>
      <c r="E348" s="7">
        <f>248*8*(A347/1979)</f>
        <v>35.088428499242042</v>
      </c>
      <c r="F348" s="29">
        <f>E348/A347</f>
        <v>1.0025265285497726</v>
      </c>
      <c r="G348" s="36">
        <f t="shared" si="123"/>
        <v>0.85714285714285721</v>
      </c>
      <c r="H348" s="31">
        <v>59.65</v>
      </c>
      <c r="I348" s="115">
        <f t="shared" si="122"/>
        <v>51.128571428571433</v>
      </c>
      <c r="J348" s="137"/>
      <c r="K348" s="121"/>
      <c r="L348" s="137"/>
    </row>
    <row r="349" spans="1:20" s="1" customFormat="1" ht="15.75" thickBot="1">
      <c r="A349" s="126"/>
      <c r="B349" s="18"/>
      <c r="C349" s="18"/>
      <c r="D349" s="18"/>
      <c r="E349" s="18"/>
      <c r="F349" s="18"/>
      <c r="G349" s="37"/>
      <c r="H349" s="21"/>
      <c r="I349" s="109">
        <f>SUM(I345:I348)</f>
        <v>591.07320000000004</v>
      </c>
      <c r="J349" s="121">
        <f>I349*A347</f>
        <v>20687.562000000002</v>
      </c>
      <c r="K349" s="121">
        <v>20687.560000000001</v>
      </c>
      <c r="L349" s="121">
        <f>K349-J349</f>
        <v>-2.0000000004074536E-3</v>
      </c>
    </row>
    <row r="350" spans="1:20" s="1" customFormat="1">
      <c r="A350" s="132"/>
      <c r="B350" s="45"/>
      <c r="C350" s="45"/>
      <c r="D350" s="45"/>
      <c r="E350" s="45"/>
      <c r="F350" s="45"/>
      <c r="G350" s="69"/>
      <c r="H350" s="47"/>
      <c r="I350" s="86"/>
      <c r="J350" s="121"/>
      <c r="K350" s="121"/>
      <c r="L350" s="121"/>
    </row>
    <row r="351" spans="1:20">
      <c r="I351" s="81"/>
      <c r="J351" s="137"/>
      <c r="K351" s="137"/>
      <c r="L351" s="137"/>
    </row>
    <row r="352" spans="1:20" ht="19.5" thickBot="1">
      <c r="A352" s="128" t="s">
        <v>83</v>
      </c>
      <c r="I352" s="81"/>
      <c r="J352" s="137"/>
      <c r="K352" s="137"/>
      <c r="L352" s="137"/>
      <c r="T352" s="1"/>
    </row>
    <row r="353" spans="1:12" ht="90" customHeight="1">
      <c r="A353" s="130" t="s">
        <v>2</v>
      </c>
      <c r="B353" s="23" t="s">
        <v>19</v>
      </c>
      <c r="C353" s="23" t="s">
        <v>14</v>
      </c>
      <c r="D353" s="23" t="s">
        <v>16</v>
      </c>
      <c r="E353" s="23" t="s">
        <v>27</v>
      </c>
      <c r="F353" s="23" t="s">
        <v>65</v>
      </c>
      <c r="G353" s="23" t="s">
        <v>29</v>
      </c>
      <c r="H353" s="23" t="s">
        <v>30</v>
      </c>
      <c r="I353" s="88" t="s">
        <v>11</v>
      </c>
      <c r="J353" s="147" t="s">
        <v>33</v>
      </c>
      <c r="K353" s="147" t="s">
        <v>34</v>
      </c>
      <c r="L353" s="147"/>
    </row>
    <row r="354" spans="1:12" ht="15.75" thickBot="1">
      <c r="A354" s="131">
        <v>1</v>
      </c>
      <c r="B354" s="25">
        <v>2</v>
      </c>
      <c r="C354" s="25">
        <v>3</v>
      </c>
      <c r="D354" s="25">
        <v>4</v>
      </c>
      <c r="E354" s="25">
        <v>5</v>
      </c>
      <c r="F354" s="25" t="s">
        <v>53</v>
      </c>
      <c r="G354" s="25" t="s">
        <v>31</v>
      </c>
      <c r="H354" s="26">
        <v>8</v>
      </c>
      <c r="I354" s="89" t="s">
        <v>32</v>
      </c>
      <c r="J354" s="137"/>
      <c r="K354" s="137"/>
      <c r="L354" s="137"/>
    </row>
    <row r="355" spans="1:12">
      <c r="A355" s="122" t="s">
        <v>64</v>
      </c>
      <c r="B355" s="11" t="s">
        <v>20</v>
      </c>
      <c r="C355" s="32" t="s">
        <v>24</v>
      </c>
      <c r="D355" s="53">
        <v>100</v>
      </c>
      <c r="E355" s="50">
        <f>248*8*(A357/1979)</f>
        <v>25.063163213744314</v>
      </c>
      <c r="F355" s="51">
        <f>E355/A357</f>
        <v>1.0025265285497726</v>
      </c>
      <c r="G355" s="36">
        <f>D355/E355*F355</f>
        <v>4</v>
      </c>
      <c r="H355" s="85">
        <v>7.6466200000000004</v>
      </c>
      <c r="I355" s="115">
        <f>H355*G355</f>
        <v>30.586480000000002</v>
      </c>
      <c r="J355" s="137"/>
      <c r="K355" s="137"/>
      <c r="L355" s="137"/>
    </row>
    <row r="356" spans="1:12">
      <c r="A356" s="123" t="s">
        <v>66</v>
      </c>
      <c r="B356" s="5" t="s">
        <v>21</v>
      </c>
      <c r="C356" s="33" t="s">
        <v>25</v>
      </c>
      <c r="D356" s="8">
        <v>10</v>
      </c>
      <c r="E356" s="7">
        <f>248*8*(A357/1979)</f>
        <v>25.063163213744314</v>
      </c>
      <c r="F356" s="29">
        <f>E356/A357</f>
        <v>1.0025265285497726</v>
      </c>
      <c r="G356" s="36">
        <f>D356/E356*F356</f>
        <v>0.4</v>
      </c>
      <c r="H356" s="6">
        <v>1690.46</v>
      </c>
      <c r="I356" s="115">
        <f t="shared" ref="I356:I358" si="124">H356*G356</f>
        <v>676.18400000000008</v>
      </c>
      <c r="J356" s="137"/>
      <c r="K356" s="137"/>
      <c r="L356" s="137"/>
    </row>
    <row r="357" spans="1:12">
      <c r="A357" s="124">
        <v>25</v>
      </c>
      <c r="B357" s="30" t="s">
        <v>22</v>
      </c>
      <c r="C357" s="34" t="s">
        <v>26</v>
      </c>
      <c r="D357" s="30">
        <v>30</v>
      </c>
      <c r="E357" s="7">
        <f>248*8*(A357/1979)</f>
        <v>25.063163213744314</v>
      </c>
      <c r="F357" s="29">
        <f>E357/A357</f>
        <v>1.0025265285497726</v>
      </c>
      <c r="G357" s="36">
        <f t="shared" ref="G357:G358" si="125">D357/E357*F357</f>
        <v>1.2000000000000002</v>
      </c>
      <c r="H357" s="31">
        <v>40.96</v>
      </c>
      <c r="I357" s="115">
        <f t="shared" si="124"/>
        <v>49.152000000000008</v>
      </c>
      <c r="J357" s="137"/>
      <c r="K357" s="137"/>
      <c r="L357" s="137"/>
    </row>
    <row r="358" spans="1:12">
      <c r="A358" s="125"/>
      <c r="B358" s="30" t="s">
        <v>23</v>
      </c>
      <c r="C358" s="34" t="s">
        <v>26</v>
      </c>
      <c r="D358" s="30">
        <v>30</v>
      </c>
      <c r="E358" s="7">
        <f>248*8*(A357/1979)</f>
        <v>25.063163213744314</v>
      </c>
      <c r="F358" s="29">
        <f>E358/A357</f>
        <v>1.0025265285497726</v>
      </c>
      <c r="G358" s="36">
        <f t="shared" si="125"/>
        <v>1.2000000000000002</v>
      </c>
      <c r="H358" s="31">
        <v>59.65</v>
      </c>
      <c r="I358" s="115">
        <f t="shared" si="124"/>
        <v>71.580000000000013</v>
      </c>
      <c r="J358" s="137"/>
      <c r="K358" s="137"/>
      <c r="L358" s="137"/>
    </row>
    <row r="359" spans="1:12" s="1" customFormat="1" ht="15.75" thickBot="1">
      <c r="A359" s="126"/>
      <c r="B359" s="18"/>
      <c r="C359" s="18"/>
      <c r="D359" s="18"/>
      <c r="E359" s="18"/>
      <c r="F359" s="18"/>
      <c r="G359" s="37"/>
      <c r="H359" s="21"/>
      <c r="I359" s="109">
        <f>SUM(I355:I358)</f>
        <v>827.50248000000022</v>
      </c>
      <c r="J359" s="121">
        <f>I359*A357</f>
        <v>20687.562000000005</v>
      </c>
      <c r="K359" s="121">
        <v>20687.560000000001</v>
      </c>
      <c r="L359" s="121">
        <f>K359-J359</f>
        <v>-2.0000000040454324E-3</v>
      </c>
    </row>
    <row r="360" spans="1:12">
      <c r="A360" s="122" t="s">
        <v>69</v>
      </c>
      <c r="B360" s="11" t="s">
        <v>20</v>
      </c>
      <c r="C360" s="32" t="s">
        <v>24</v>
      </c>
      <c r="D360" s="53">
        <v>100</v>
      </c>
      <c r="E360" s="50">
        <f>248*8*(A362/1979)</f>
        <v>25.063163213744314</v>
      </c>
      <c r="F360" s="51">
        <f>E360/A362</f>
        <v>1.0025265285497726</v>
      </c>
      <c r="G360" s="36">
        <f>D360/E360*F360</f>
        <v>4</v>
      </c>
      <c r="H360" s="85">
        <v>7.6466200000000004</v>
      </c>
      <c r="I360" s="115">
        <f>H360*G360</f>
        <v>30.586480000000002</v>
      </c>
      <c r="J360" s="137"/>
      <c r="K360" s="121"/>
      <c r="L360" s="137"/>
    </row>
    <row r="361" spans="1:12">
      <c r="A361" s="123" t="s">
        <v>66</v>
      </c>
      <c r="B361" s="5" t="s">
        <v>21</v>
      </c>
      <c r="C361" s="33" t="s">
        <v>25</v>
      </c>
      <c r="D361" s="8">
        <v>10</v>
      </c>
      <c r="E361" s="7">
        <f>248*8*(A362/1979)</f>
        <v>25.063163213744314</v>
      </c>
      <c r="F361" s="29">
        <f>E361/A362</f>
        <v>1.0025265285497726</v>
      </c>
      <c r="G361" s="36">
        <f>D361/E361*F361</f>
        <v>0.4</v>
      </c>
      <c r="H361" s="6">
        <v>1690.46</v>
      </c>
      <c r="I361" s="115">
        <f t="shared" ref="I361:I363" si="126">H361*G361</f>
        <v>676.18400000000008</v>
      </c>
      <c r="J361" s="137"/>
      <c r="K361" s="121"/>
      <c r="L361" s="137"/>
    </row>
    <row r="362" spans="1:12">
      <c r="A362" s="124">
        <v>25</v>
      </c>
      <c r="B362" s="30" t="s">
        <v>22</v>
      </c>
      <c r="C362" s="34" t="s">
        <v>26</v>
      </c>
      <c r="D362" s="30">
        <v>30</v>
      </c>
      <c r="E362" s="7">
        <f>248*8*(A362/1979)</f>
        <v>25.063163213744314</v>
      </c>
      <c r="F362" s="29">
        <f>E362/A362</f>
        <v>1.0025265285497726</v>
      </c>
      <c r="G362" s="36">
        <f t="shared" ref="G362:G363" si="127">D362/E362*F362</f>
        <v>1.2000000000000002</v>
      </c>
      <c r="H362" s="31">
        <v>40.96</v>
      </c>
      <c r="I362" s="115">
        <f t="shared" si="126"/>
        <v>49.152000000000008</v>
      </c>
      <c r="J362" s="137"/>
      <c r="K362" s="121"/>
      <c r="L362" s="137"/>
    </row>
    <row r="363" spans="1:12">
      <c r="A363" s="125"/>
      <c r="B363" s="30" t="s">
        <v>23</v>
      </c>
      <c r="C363" s="34" t="s">
        <v>26</v>
      </c>
      <c r="D363" s="30">
        <v>30</v>
      </c>
      <c r="E363" s="7">
        <f>248*8*(A362/1979)</f>
        <v>25.063163213744314</v>
      </c>
      <c r="F363" s="29">
        <f>E363/A362</f>
        <v>1.0025265285497726</v>
      </c>
      <c r="G363" s="36">
        <f t="shared" si="127"/>
        <v>1.2000000000000002</v>
      </c>
      <c r="H363" s="31">
        <v>59.65</v>
      </c>
      <c r="I363" s="115">
        <f t="shared" si="126"/>
        <v>71.580000000000013</v>
      </c>
      <c r="J363" s="137"/>
      <c r="K363" s="121"/>
      <c r="L363" s="137"/>
    </row>
    <row r="364" spans="1:12" s="1" customFormat="1" ht="15.75" thickBot="1">
      <c r="A364" s="126"/>
      <c r="B364" s="18"/>
      <c r="C364" s="18"/>
      <c r="D364" s="18"/>
      <c r="E364" s="18"/>
      <c r="F364" s="18"/>
      <c r="G364" s="37"/>
      <c r="H364" s="21"/>
      <c r="I364" s="109">
        <f>SUM(I360:I363)</f>
        <v>827.50248000000022</v>
      </c>
      <c r="J364" s="121">
        <f>I364*A362</f>
        <v>20687.562000000005</v>
      </c>
      <c r="K364" s="121">
        <v>20687.560000000001</v>
      </c>
      <c r="L364" s="121">
        <f>K364-J364</f>
        <v>-2.0000000040454324E-3</v>
      </c>
    </row>
    <row r="365" spans="1:12">
      <c r="A365" s="122" t="s">
        <v>70</v>
      </c>
      <c r="B365" s="11" t="s">
        <v>20</v>
      </c>
      <c r="C365" s="32" t="s">
        <v>24</v>
      </c>
      <c r="D365" s="53">
        <v>100</v>
      </c>
      <c r="E365" s="50">
        <f>248*8*(A367/1979)</f>
        <v>55.13895907023749</v>
      </c>
      <c r="F365" s="51">
        <f>E365/A367</f>
        <v>1.0025265285497726</v>
      </c>
      <c r="G365" s="36">
        <f>D365/E365*F365</f>
        <v>1.8181818181818183</v>
      </c>
      <c r="H365" s="85">
        <v>7.6466200000000004</v>
      </c>
      <c r="I365" s="115">
        <f>H365*G365</f>
        <v>13.902945454545456</v>
      </c>
      <c r="J365" s="137"/>
      <c r="K365" s="121"/>
      <c r="L365" s="137"/>
    </row>
    <row r="366" spans="1:12">
      <c r="A366" s="123" t="s">
        <v>66</v>
      </c>
      <c r="B366" s="5" t="s">
        <v>21</v>
      </c>
      <c r="C366" s="33" t="s">
        <v>25</v>
      </c>
      <c r="D366" s="8">
        <v>10</v>
      </c>
      <c r="E366" s="7">
        <f>248*8*(A367/1979)</f>
        <v>55.13895907023749</v>
      </c>
      <c r="F366" s="29">
        <f>E366/A367</f>
        <v>1.0025265285497726</v>
      </c>
      <c r="G366" s="36">
        <f>D366/E366*F366</f>
        <v>0.18181818181818182</v>
      </c>
      <c r="H366" s="6">
        <v>1690.46</v>
      </c>
      <c r="I366" s="115">
        <f t="shared" ref="I366:I368" si="128">H366*G366</f>
        <v>307.35636363636365</v>
      </c>
      <c r="J366" s="137"/>
      <c r="K366" s="121"/>
      <c r="L366" s="137"/>
    </row>
    <row r="367" spans="1:12">
      <c r="A367" s="124">
        <v>55</v>
      </c>
      <c r="B367" s="30" t="s">
        <v>22</v>
      </c>
      <c r="C367" s="34" t="s">
        <v>26</v>
      </c>
      <c r="D367" s="30">
        <v>30</v>
      </c>
      <c r="E367" s="7">
        <f>248*8*(A367/1979)</f>
        <v>55.13895907023749</v>
      </c>
      <c r="F367" s="29">
        <f>E367/A367</f>
        <v>1.0025265285497726</v>
      </c>
      <c r="G367" s="36">
        <f t="shared" ref="G367:G368" si="129">D367/E367*F367</f>
        <v>0.54545454545454541</v>
      </c>
      <c r="H367" s="31">
        <v>40.96</v>
      </c>
      <c r="I367" s="115">
        <f t="shared" si="128"/>
        <v>22.34181818181818</v>
      </c>
      <c r="J367" s="137"/>
      <c r="K367" s="121"/>
      <c r="L367" s="137"/>
    </row>
    <row r="368" spans="1:12">
      <c r="A368" s="125"/>
      <c r="B368" s="30" t="s">
        <v>23</v>
      </c>
      <c r="C368" s="34" t="s">
        <v>26</v>
      </c>
      <c r="D368" s="30">
        <v>30</v>
      </c>
      <c r="E368" s="7">
        <f>248*8*(A367/1979)</f>
        <v>55.13895907023749</v>
      </c>
      <c r="F368" s="29">
        <f>E368/A367</f>
        <v>1.0025265285497726</v>
      </c>
      <c r="G368" s="36">
        <f t="shared" si="129"/>
        <v>0.54545454545454541</v>
      </c>
      <c r="H368" s="31">
        <v>59.65</v>
      </c>
      <c r="I368" s="115">
        <f t="shared" si="128"/>
        <v>32.536363636363632</v>
      </c>
      <c r="J368" s="137"/>
      <c r="K368" s="121"/>
      <c r="L368" s="137"/>
    </row>
    <row r="369" spans="1:12" s="1" customFormat="1" ht="15.75" thickBot="1">
      <c r="A369" s="126"/>
      <c r="B369" s="18"/>
      <c r="C369" s="18"/>
      <c r="D369" s="18"/>
      <c r="E369" s="18"/>
      <c r="F369" s="18"/>
      <c r="G369" s="37"/>
      <c r="H369" s="21"/>
      <c r="I369" s="109">
        <f>SUM(I365:I368)</f>
        <v>376.13749090909084</v>
      </c>
      <c r="J369" s="121">
        <f>I369*A367</f>
        <v>20687.561999999998</v>
      </c>
      <c r="K369" s="121">
        <v>20687.560000000001</v>
      </c>
      <c r="L369" s="121">
        <f>K369-J369</f>
        <v>-1.9999999967694748E-3</v>
      </c>
    </row>
    <row r="370" spans="1:12">
      <c r="A370" s="122" t="s">
        <v>71</v>
      </c>
      <c r="B370" s="11" t="s">
        <v>20</v>
      </c>
      <c r="C370" s="32" t="s">
        <v>24</v>
      </c>
      <c r="D370" s="53">
        <v>100</v>
      </c>
      <c r="E370" s="50">
        <f>248*8*(A372/1979)</f>
        <v>25.063163213744314</v>
      </c>
      <c r="F370" s="51">
        <f>E370/A372</f>
        <v>1.0025265285497726</v>
      </c>
      <c r="G370" s="36">
        <f>D370/E370*F370</f>
        <v>4</v>
      </c>
      <c r="H370" s="85">
        <v>7.6466200000000004</v>
      </c>
      <c r="I370" s="115">
        <f>H370*G370</f>
        <v>30.586480000000002</v>
      </c>
      <c r="J370" s="137"/>
      <c r="K370" s="121"/>
      <c r="L370" s="137"/>
    </row>
    <row r="371" spans="1:12">
      <c r="A371" s="123" t="s">
        <v>66</v>
      </c>
      <c r="B371" s="5" t="s">
        <v>21</v>
      </c>
      <c r="C371" s="33" t="s">
        <v>25</v>
      </c>
      <c r="D371" s="8">
        <v>10</v>
      </c>
      <c r="E371" s="7">
        <f>248*8*(A372/1979)</f>
        <v>25.063163213744314</v>
      </c>
      <c r="F371" s="29">
        <f>E371/A372</f>
        <v>1.0025265285497726</v>
      </c>
      <c r="G371" s="36">
        <f>D371/E371*F371</f>
        <v>0.4</v>
      </c>
      <c r="H371" s="6">
        <v>1690.46</v>
      </c>
      <c r="I371" s="115">
        <f t="shared" ref="I371:I373" si="130">H371*G371</f>
        <v>676.18400000000008</v>
      </c>
      <c r="J371" s="137"/>
      <c r="K371" s="121"/>
      <c r="L371" s="137"/>
    </row>
    <row r="372" spans="1:12">
      <c r="A372" s="124">
        <v>25</v>
      </c>
      <c r="B372" s="30" t="s">
        <v>22</v>
      </c>
      <c r="C372" s="34" t="s">
        <v>26</v>
      </c>
      <c r="D372" s="30">
        <v>30</v>
      </c>
      <c r="E372" s="7">
        <f>248*8*(A372/1979)</f>
        <v>25.063163213744314</v>
      </c>
      <c r="F372" s="29">
        <f>E372/A372</f>
        <v>1.0025265285497726</v>
      </c>
      <c r="G372" s="36">
        <f t="shared" ref="G372:G373" si="131">D372/E372*F372</f>
        <v>1.2000000000000002</v>
      </c>
      <c r="H372" s="31">
        <v>40.96</v>
      </c>
      <c r="I372" s="115">
        <f t="shared" si="130"/>
        <v>49.152000000000008</v>
      </c>
      <c r="J372" s="137"/>
      <c r="K372" s="121"/>
      <c r="L372" s="137"/>
    </row>
    <row r="373" spans="1:12">
      <c r="A373" s="125"/>
      <c r="B373" s="30" t="s">
        <v>23</v>
      </c>
      <c r="C373" s="34" t="s">
        <v>26</v>
      </c>
      <c r="D373" s="30">
        <v>30</v>
      </c>
      <c r="E373" s="7">
        <f>248*8*(A372/1979)</f>
        <v>25.063163213744314</v>
      </c>
      <c r="F373" s="29">
        <f>E373/A372</f>
        <v>1.0025265285497726</v>
      </c>
      <c r="G373" s="36">
        <f t="shared" si="131"/>
        <v>1.2000000000000002</v>
      </c>
      <c r="H373" s="31">
        <v>59.65</v>
      </c>
      <c r="I373" s="115">
        <f t="shared" si="130"/>
        <v>71.580000000000013</v>
      </c>
      <c r="J373" s="137"/>
      <c r="K373" s="121"/>
      <c r="L373" s="137"/>
    </row>
    <row r="374" spans="1:12" s="1" customFormat="1" ht="15.75" thickBot="1">
      <c r="A374" s="126"/>
      <c r="B374" s="18"/>
      <c r="C374" s="18"/>
      <c r="D374" s="18"/>
      <c r="E374" s="18"/>
      <c r="F374" s="18"/>
      <c r="G374" s="37"/>
      <c r="H374" s="21"/>
      <c r="I374" s="109">
        <f>SUM(I370:I373)</f>
        <v>827.50248000000022</v>
      </c>
      <c r="J374" s="121">
        <f>I374*A372</f>
        <v>20687.562000000005</v>
      </c>
      <c r="K374" s="121">
        <v>20687.560000000001</v>
      </c>
      <c r="L374" s="121">
        <f>K374-J374</f>
        <v>-2.0000000040454324E-3</v>
      </c>
    </row>
    <row r="375" spans="1:12">
      <c r="A375" s="122" t="s">
        <v>72</v>
      </c>
      <c r="B375" s="11" t="s">
        <v>20</v>
      </c>
      <c r="C375" s="32" t="s">
        <v>24</v>
      </c>
      <c r="D375" s="53">
        <v>100</v>
      </c>
      <c r="E375" s="50">
        <f>248*8*(A377/1979)</f>
        <v>25.063163213744314</v>
      </c>
      <c r="F375" s="51">
        <f>E375/A377</f>
        <v>1.0025265285497726</v>
      </c>
      <c r="G375" s="36">
        <f>D375/E375*F375</f>
        <v>4</v>
      </c>
      <c r="H375" s="85">
        <v>7.6466200000000004</v>
      </c>
      <c r="I375" s="115">
        <f>H375*G375</f>
        <v>30.586480000000002</v>
      </c>
      <c r="J375" s="137"/>
      <c r="K375" s="121"/>
      <c r="L375" s="137"/>
    </row>
    <row r="376" spans="1:12">
      <c r="A376" s="123" t="s">
        <v>66</v>
      </c>
      <c r="B376" s="5" t="s">
        <v>21</v>
      </c>
      <c r="C376" s="33" t="s">
        <v>25</v>
      </c>
      <c r="D376" s="8">
        <v>10</v>
      </c>
      <c r="E376" s="7">
        <f>248*8*(A377/1979)</f>
        <v>25.063163213744314</v>
      </c>
      <c r="F376" s="29">
        <f>E376/A377</f>
        <v>1.0025265285497726</v>
      </c>
      <c r="G376" s="36">
        <f>D376/E376*F376</f>
        <v>0.4</v>
      </c>
      <c r="H376" s="6">
        <v>1690.46</v>
      </c>
      <c r="I376" s="115">
        <f t="shared" ref="I376:I378" si="132">H376*G376</f>
        <v>676.18400000000008</v>
      </c>
      <c r="J376" s="137"/>
      <c r="K376" s="121"/>
      <c r="L376" s="137"/>
    </row>
    <row r="377" spans="1:12">
      <c r="A377" s="124">
        <v>25</v>
      </c>
      <c r="B377" s="30" t="s">
        <v>22</v>
      </c>
      <c r="C377" s="34" t="s">
        <v>26</v>
      </c>
      <c r="D377" s="30">
        <v>30</v>
      </c>
      <c r="E377" s="7">
        <f>248*8*(A377/1979)</f>
        <v>25.063163213744314</v>
      </c>
      <c r="F377" s="29">
        <f>E377/A377</f>
        <v>1.0025265285497726</v>
      </c>
      <c r="G377" s="36">
        <f t="shared" ref="G377:G378" si="133">D377/E377*F377</f>
        <v>1.2000000000000002</v>
      </c>
      <c r="H377" s="31">
        <v>40.96</v>
      </c>
      <c r="I377" s="115">
        <f t="shared" si="132"/>
        <v>49.152000000000008</v>
      </c>
      <c r="J377" s="137"/>
      <c r="K377" s="121"/>
      <c r="L377" s="137"/>
    </row>
    <row r="378" spans="1:12">
      <c r="A378" s="125"/>
      <c r="B378" s="30" t="s">
        <v>23</v>
      </c>
      <c r="C378" s="34" t="s">
        <v>26</v>
      </c>
      <c r="D378" s="30">
        <v>30</v>
      </c>
      <c r="E378" s="7">
        <f>248*8*(A377/1979)</f>
        <v>25.063163213744314</v>
      </c>
      <c r="F378" s="29">
        <f>E378/A377</f>
        <v>1.0025265285497726</v>
      </c>
      <c r="G378" s="36">
        <f t="shared" si="133"/>
        <v>1.2000000000000002</v>
      </c>
      <c r="H378" s="31">
        <v>59.65</v>
      </c>
      <c r="I378" s="115">
        <f t="shared" si="132"/>
        <v>71.580000000000013</v>
      </c>
      <c r="J378" s="137"/>
      <c r="K378" s="121"/>
      <c r="L378" s="137"/>
    </row>
    <row r="379" spans="1:12" s="1" customFormat="1" ht="15.75" thickBot="1">
      <c r="A379" s="126"/>
      <c r="B379" s="18"/>
      <c r="C379" s="18"/>
      <c r="D379" s="18"/>
      <c r="E379" s="18"/>
      <c r="F379" s="18"/>
      <c r="G379" s="37"/>
      <c r="H379" s="21"/>
      <c r="I379" s="109">
        <f>SUM(I375:I378)</f>
        <v>827.50248000000022</v>
      </c>
      <c r="J379" s="121">
        <f>I379*A377</f>
        <v>20687.562000000005</v>
      </c>
      <c r="K379" s="121">
        <v>20687.560000000001</v>
      </c>
      <c r="L379" s="121">
        <f>K379-J379</f>
        <v>-2.0000000040454324E-3</v>
      </c>
    </row>
    <row r="380" spans="1:12">
      <c r="A380" s="122" t="s">
        <v>73</v>
      </c>
      <c r="B380" s="11" t="s">
        <v>20</v>
      </c>
      <c r="C380" s="32" t="s">
        <v>24</v>
      </c>
      <c r="D380" s="53">
        <v>100</v>
      </c>
      <c r="E380" s="50">
        <f>248*8*(A382/1979)</f>
        <v>25.063163213744314</v>
      </c>
      <c r="F380" s="51">
        <f>E380/A382</f>
        <v>1.0025265285497726</v>
      </c>
      <c r="G380" s="36">
        <f>D380/E380*F380</f>
        <v>4</v>
      </c>
      <c r="H380" s="85">
        <v>7.6466200000000004</v>
      </c>
      <c r="I380" s="115">
        <f>H380*G380</f>
        <v>30.586480000000002</v>
      </c>
      <c r="J380" s="137"/>
      <c r="K380" s="121"/>
      <c r="L380" s="137"/>
    </row>
    <row r="381" spans="1:12">
      <c r="A381" s="123" t="s">
        <v>66</v>
      </c>
      <c r="B381" s="5" t="s">
        <v>21</v>
      </c>
      <c r="C381" s="33" t="s">
        <v>25</v>
      </c>
      <c r="D381" s="8">
        <v>10</v>
      </c>
      <c r="E381" s="7">
        <f>248*8*(A382/1979)</f>
        <v>25.063163213744314</v>
      </c>
      <c r="F381" s="29">
        <f>E381/A382</f>
        <v>1.0025265285497726</v>
      </c>
      <c r="G381" s="36">
        <f>D381/E381*F381</f>
        <v>0.4</v>
      </c>
      <c r="H381" s="6">
        <v>1690.46</v>
      </c>
      <c r="I381" s="115">
        <f t="shared" ref="I381:I383" si="134">H381*G381</f>
        <v>676.18400000000008</v>
      </c>
      <c r="J381" s="137"/>
      <c r="K381" s="121"/>
      <c r="L381" s="137"/>
    </row>
    <row r="382" spans="1:12">
      <c r="A382" s="124">
        <v>25</v>
      </c>
      <c r="B382" s="30" t="s">
        <v>22</v>
      </c>
      <c r="C382" s="34" t="s">
        <v>26</v>
      </c>
      <c r="D382" s="30">
        <v>30</v>
      </c>
      <c r="E382" s="7">
        <f>248*8*(A382/1979)</f>
        <v>25.063163213744314</v>
      </c>
      <c r="F382" s="29">
        <f>E382/A382</f>
        <v>1.0025265285497726</v>
      </c>
      <c r="G382" s="36">
        <f t="shared" ref="G382:G383" si="135">D382/E382*F382</f>
        <v>1.2000000000000002</v>
      </c>
      <c r="H382" s="31">
        <v>40.96</v>
      </c>
      <c r="I382" s="115">
        <f t="shared" si="134"/>
        <v>49.152000000000008</v>
      </c>
      <c r="J382" s="137"/>
      <c r="K382" s="121"/>
      <c r="L382" s="137"/>
    </row>
    <row r="383" spans="1:12">
      <c r="A383" s="125"/>
      <c r="B383" s="30" t="s">
        <v>23</v>
      </c>
      <c r="C383" s="34" t="s">
        <v>26</v>
      </c>
      <c r="D383" s="30">
        <v>30</v>
      </c>
      <c r="E383" s="7">
        <f>248*8*(A382/1979)</f>
        <v>25.063163213744314</v>
      </c>
      <c r="F383" s="29">
        <f>E383/A382</f>
        <v>1.0025265285497726</v>
      </c>
      <c r="G383" s="36">
        <f t="shared" si="135"/>
        <v>1.2000000000000002</v>
      </c>
      <c r="H383" s="31">
        <v>59.65</v>
      </c>
      <c r="I383" s="115">
        <f t="shared" si="134"/>
        <v>71.580000000000013</v>
      </c>
      <c r="J383" s="137"/>
      <c r="K383" s="121"/>
      <c r="L383" s="137"/>
    </row>
    <row r="384" spans="1:12" s="1" customFormat="1" ht="15.75" thickBot="1">
      <c r="A384" s="126"/>
      <c r="B384" s="18"/>
      <c r="C384" s="18"/>
      <c r="D384" s="18"/>
      <c r="E384" s="18"/>
      <c r="F384" s="18"/>
      <c r="G384" s="37"/>
      <c r="H384" s="21"/>
      <c r="I384" s="109">
        <f>SUM(I380:I383)</f>
        <v>827.50248000000022</v>
      </c>
      <c r="J384" s="121">
        <f>I384*A382</f>
        <v>20687.562000000005</v>
      </c>
      <c r="K384" s="121">
        <v>20687.560000000001</v>
      </c>
      <c r="L384" s="121">
        <f>K384-J384</f>
        <v>-2.0000000040454324E-3</v>
      </c>
    </row>
    <row r="385" spans="1:12" s="1" customFormat="1" ht="15.75" thickBot="1">
      <c r="A385" s="132"/>
      <c r="B385" s="45"/>
      <c r="C385" s="46"/>
      <c r="D385" s="45"/>
      <c r="E385" s="67"/>
      <c r="F385" s="45"/>
      <c r="G385" s="44"/>
      <c r="H385" s="47"/>
      <c r="I385" s="116"/>
      <c r="J385" s="137"/>
      <c r="K385" s="121"/>
      <c r="L385" s="137"/>
    </row>
    <row r="386" spans="1:12">
      <c r="A386" s="122" t="s">
        <v>74</v>
      </c>
      <c r="B386" s="13" t="s">
        <v>20</v>
      </c>
      <c r="C386" s="49" t="s">
        <v>24</v>
      </c>
      <c r="D386" s="53">
        <v>100</v>
      </c>
      <c r="E386" s="50">
        <f>248*8*(A388/1979)</f>
        <v>25.063163213744314</v>
      </c>
      <c r="F386" s="51">
        <f>E386/A388</f>
        <v>1.0025265285497726</v>
      </c>
      <c r="G386" s="36">
        <f>D386/E386*F386</f>
        <v>4</v>
      </c>
      <c r="H386" s="85">
        <v>7.6466200000000004</v>
      </c>
      <c r="I386" s="115">
        <f>H386*G386</f>
        <v>30.586480000000002</v>
      </c>
      <c r="J386" s="137"/>
      <c r="K386" s="121"/>
      <c r="L386" s="137"/>
    </row>
    <row r="387" spans="1:12">
      <c r="A387" s="123" t="s">
        <v>66</v>
      </c>
      <c r="B387" s="5" t="s">
        <v>21</v>
      </c>
      <c r="C387" s="33" t="s">
        <v>25</v>
      </c>
      <c r="D387" s="8">
        <v>10</v>
      </c>
      <c r="E387" s="7">
        <f>248*8*(A388/1979)</f>
        <v>25.063163213744314</v>
      </c>
      <c r="F387" s="29">
        <f>E387/A388</f>
        <v>1.0025265285497726</v>
      </c>
      <c r="G387" s="36">
        <f>D387/E387*F387</f>
        <v>0.4</v>
      </c>
      <c r="H387" s="6">
        <v>1690.46</v>
      </c>
      <c r="I387" s="115">
        <f t="shared" ref="I387:I389" si="136">H387*G387</f>
        <v>676.18400000000008</v>
      </c>
      <c r="J387" s="137"/>
      <c r="K387" s="121"/>
      <c r="L387" s="137"/>
    </row>
    <row r="388" spans="1:12">
      <c r="A388" s="124">
        <v>25</v>
      </c>
      <c r="B388" s="30" t="s">
        <v>22</v>
      </c>
      <c r="C388" s="34" t="s">
        <v>26</v>
      </c>
      <c r="D388" s="30">
        <v>30</v>
      </c>
      <c r="E388" s="7">
        <f>248*8*(A388/1979)</f>
        <v>25.063163213744314</v>
      </c>
      <c r="F388" s="29">
        <f>E388/A388</f>
        <v>1.0025265285497726</v>
      </c>
      <c r="G388" s="36">
        <f t="shared" ref="G388:G389" si="137">D388/E388*F388</f>
        <v>1.2000000000000002</v>
      </c>
      <c r="H388" s="31">
        <v>40.96</v>
      </c>
      <c r="I388" s="115">
        <f t="shared" si="136"/>
        <v>49.152000000000008</v>
      </c>
      <c r="J388" s="137"/>
      <c r="K388" s="121"/>
      <c r="L388" s="137"/>
    </row>
    <row r="389" spans="1:12">
      <c r="A389" s="125"/>
      <c r="B389" s="30" t="s">
        <v>23</v>
      </c>
      <c r="C389" s="34" t="s">
        <v>26</v>
      </c>
      <c r="D389" s="30">
        <v>30</v>
      </c>
      <c r="E389" s="7">
        <f>248*8*(A388/1979)</f>
        <v>25.063163213744314</v>
      </c>
      <c r="F389" s="29">
        <f>E389/A388</f>
        <v>1.0025265285497726</v>
      </c>
      <c r="G389" s="36">
        <f t="shared" si="137"/>
        <v>1.2000000000000002</v>
      </c>
      <c r="H389" s="31">
        <v>59.65</v>
      </c>
      <c r="I389" s="115">
        <f t="shared" si="136"/>
        <v>71.580000000000013</v>
      </c>
      <c r="J389" s="137"/>
      <c r="K389" s="121"/>
      <c r="L389" s="137"/>
    </row>
    <row r="390" spans="1:12" s="1" customFormat="1" ht="15.75" thickBot="1">
      <c r="A390" s="126"/>
      <c r="B390" s="18"/>
      <c r="C390" s="18"/>
      <c r="D390" s="18"/>
      <c r="E390" s="18"/>
      <c r="F390" s="18"/>
      <c r="G390" s="37"/>
      <c r="H390" s="21"/>
      <c r="I390" s="109">
        <f>SUM(I386:I389)</f>
        <v>827.50248000000022</v>
      </c>
      <c r="J390" s="121">
        <f>I390*A388</f>
        <v>20687.562000000005</v>
      </c>
      <c r="K390" s="121">
        <v>20687.560000000001</v>
      </c>
      <c r="L390" s="121">
        <f>K390-J390</f>
        <v>-2.0000000040454324E-3</v>
      </c>
    </row>
    <row r="391" spans="1:12" s="1" customFormat="1" ht="15.75" thickBot="1">
      <c r="A391" s="132"/>
      <c r="B391" s="45"/>
      <c r="C391" s="46"/>
      <c r="D391" s="45"/>
      <c r="E391" s="52"/>
      <c r="F391" s="45"/>
      <c r="G391" s="44"/>
      <c r="H391" s="47"/>
      <c r="I391" s="116"/>
      <c r="J391" s="137"/>
      <c r="K391" s="121"/>
      <c r="L391" s="137"/>
    </row>
    <row r="392" spans="1:12">
      <c r="A392" s="122" t="s">
        <v>75</v>
      </c>
      <c r="B392" s="13" t="s">
        <v>20</v>
      </c>
      <c r="C392" s="49" t="s">
        <v>24</v>
      </c>
      <c r="D392" s="53">
        <v>100</v>
      </c>
      <c r="E392" s="50">
        <f>248*8*(A394/1979)</f>
        <v>25.063163213744314</v>
      </c>
      <c r="F392" s="51">
        <f>E392/A394</f>
        <v>1.0025265285497726</v>
      </c>
      <c r="G392" s="36">
        <f>D392/E392*F392</f>
        <v>4</v>
      </c>
      <c r="H392" s="85">
        <v>7.6466200000000004</v>
      </c>
      <c r="I392" s="115">
        <f>H392*G392</f>
        <v>30.586480000000002</v>
      </c>
      <c r="J392" s="137"/>
      <c r="K392" s="121"/>
      <c r="L392" s="137"/>
    </row>
    <row r="393" spans="1:12">
      <c r="A393" s="123" t="s">
        <v>66</v>
      </c>
      <c r="B393" s="5" t="s">
        <v>21</v>
      </c>
      <c r="C393" s="33" t="s">
        <v>25</v>
      </c>
      <c r="D393" s="8">
        <v>10</v>
      </c>
      <c r="E393" s="7">
        <f>248*8*(A394/1979)</f>
        <v>25.063163213744314</v>
      </c>
      <c r="F393" s="29">
        <f>E393/A394</f>
        <v>1.0025265285497726</v>
      </c>
      <c r="G393" s="36">
        <f>D393/E393*F393</f>
        <v>0.4</v>
      </c>
      <c r="H393" s="6">
        <v>1690.46</v>
      </c>
      <c r="I393" s="115">
        <f t="shared" ref="I393:I395" si="138">H393*G393</f>
        <v>676.18400000000008</v>
      </c>
      <c r="J393" s="137"/>
      <c r="K393" s="121"/>
      <c r="L393" s="137"/>
    </row>
    <row r="394" spans="1:12">
      <c r="A394" s="124">
        <v>25</v>
      </c>
      <c r="B394" s="30" t="s">
        <v>22</v>
      </c>
      <c r="C394" s="34" t="s">
        <v>26</v>
      </c>
      <c r="D394" s="30">
        <v>30</v>
      </c>
      <c r="E394" s="7">
        <f>248*8*(A394/1979)</f>
        <v>25.063163213744314</v>
      </c>
      <c r="F394" s="29">
        <f>E394/A394</f>
        <v>1.0025265285497726</v>
      </c>
      <c r="G394" s="36">
        <f t="shared" ref="G394:G395" si="139">D394/E394*F394</f>
        <v>1.2000000000000002</v>
      </c>
      <c r="H394" s="31">
        <v>40.96</v>
      </c>
      <c r="I394" s="115">
        <f t="shared" si="138"/>
        <v>49.152000000000008</v>
      </c>
      <c r="J394" s="137"/>
      <c r="K394" s="121"/>
      <c r="L394" s="137"/>
    </row>
    <row r="395" spans="1:12">
      <c r="A395" s="125"/>
      <c r="B395" s="30" t="s">
        <v>23</v>
      </c>
      <c r="C395" s="34" t="s">
        <v>26</v>
      </c>
      <c r="D395" s="30">
        <v>30</v>
      </c>
      <c r="E395" s="7">
        <f>248*8*(A394/1979)</f>
        <v>25.063163213744314</v>
      </c>
      <c r="F395" s="29">
        <f>E395/A394</f>
        <v>1.0025265285497726</v>
      </c>
      <c r="G395" s="36">
        <f t="shared" si="139"/>
        <v>1.2000000000000002</v>
      </c>
      <c r="H395" s="31">
        <v>59.65</v>
      </c>
      <c r="I395" s="115">
        <f t="shared" si="138"/>
        <v>71.580000000000013</v>
      </c>
      <c r="J395" s="137"/>
      <c r="K395" s="121"/>
      <c r="L395" s="137"/>
    </row>
    <row r="396" spans="1:12" s="1" customFormat="1" ht="15.75" thickBot="1">
      <c r="A396" s="126"/>
      <c r="B396" s="18"/>
      <c r="C396" s="18"/>
      <c r="D396" s="18"/>
      <c r="E396" s="18"/>
      <c r="F396" s="18"/>
      <c r="G396" s="37"/>
      <c r="H396" s="21"/>
      <c r="I396" s="109">
        <f>SUM(I392:I395)</f>
        <v>827.50248000000022</v>
      </c>
      <c r="J396" s="121">
        <f>I396*A394</f>
        <v>20687.562000000005</v>
      </c>
      <c r="K396" s="121">
        <v>20687.560000000001</v>
      </c>
      <c r="L396" s="121">
        <f>K396-J396</f>
        <v>-2.0000000040454324E-3</v>
      </c>
    </row>
    <row r="397" spans="1:12">
      <c r="A397" s="122" t="s">
        <v>76</v>
      </c>
      <c r="B397" s="13" t="s">
        <v>20</v>
      </c>
      <c r="C397" s="49" t="s">
        <v>24</v>
      </c>
      <c r="D397" s="53">
        <v>100</v>
      </c>
      <c r="E397" s="50">
        <f>248*8*(A399/1979)</f>
        <v>20.050530570995452</v>
      </c>
      <c r="F397" s="51">
        <f>E397/A399</f>
        <v>1.0025265285497726</v>
      </c>
      <c r="G397" s="36">
        <f>D397/E397*F397</f>
        <v>5</v>
      </c>
      <c r="H397" s="85">
        <v>7.6466200000000004</v>
      </c>
      <c r="I397" s="115">
        <f>H397*G397</f>
        <v>38.2331</v>
      </c>
      <c r="J397" s="137"/>
      <c r="K397" s="121"/>
      <c r="L397" s="137"/>
    </row>
    <row r="398" spans="1:12">
      <c r="A398" s="123" t="s">
        <v>66</v>
      </c>
      <c r="B398" s="5" t="s">
        <v>21</v>
      </c>
      <c r="C398" s="33" t="s">
        <v>25</v>
      </c>
      <c r="D398" s="8">
        <v>10</v>
      </c>
      <c r="E398" s="7">
        <f>248*8*(A399/1979)</f>
        <v>20.050530570995452</v>
      </c>
      <c r="F398" s="29">
        <f>E398/A399</f>
        <v>1.0025265285497726</v>
      </c>
      <c r="G398" s="36">
        <f>D398/E398*F398</f>
        <v>0.5</v>
      </c>
      <c r="H398" s="6">
        <v>1690.46</v>
      </c>
      <c r="I398" s="115">
        <f t="shared" ref="I398:I400" si="140">H398*G398</f>
        <v>845.23</v>
      </c>
      <c r="J398" s="137"/>
      <c r="K398" s="121"/>
      <c r="L398" s="137"/>
    </row>
    <row r="399" spans="1:12">
      <c r="A399" s="124">
        <v>20</v>
      </c>
      <c r="B399" s="30" t="s">
        <v>22</v>
      </c>
      <c r="C399" s="34" t="s">
        <v>26</v>
      </c>
      <c r="D399" s="30">
        <v>30</v>
      </c>
      <c r="E399" s="7">
        <f>248*8*(A399/1979)</f>
        <v>20.050530570995452</v>
      </c>
      <c r="F399" s="29">
        <f>E399/A399</f>
        <v>1.0025265285497726</v>
      </c>
      <c r="G399" s="36">
        <f t="shared" ref="G399:G400" si="141">D399/E399*F399</f>
        <v>1.5000000000000002</v>
      </c>
      <c r="H399" s="31">
        <v>40.96</v>
      </c>
      <c r="I399" s="115">
        <f t="shared" si="140"/>
        <v>61.440000000000012</v>
      </c>
      <c r="J399" s="137"/>
      <c r="K399" s="121"/>
      <c r="L399" s="137"/>
    </row>
    <row r="400" spans="1:12">
      <c r="A400" s="125"/>
      <c r="B400" s="30" t="s">
        <v>23</v>
      </c>
      <c r="C400" s="34" t="s">
        <v>26</v>
      </c>
      <c r="D400" s="30">
        <v>30</v>
      </c>
      <c r="E400" s="7">
        <f>248*8*(A399/1979)</f>
        <v>20.050530570995452</v>
      </c>
      <c r="F400" s="29">
        <f>E400/A399</f>
        <v>1.0025265285497726</v>
      </c>
      <c r="G400" s="36">
        <f t="shared" si="141"/>
        <v>1.5000000000000002</v>
      </c>
      <c r="H400" s="31">
        <v>59.65</v>
      </c>
      <c r="I400" s="115">
        <f t="shared" si="140"/>
        <v>89.475000000000009</v>
      </c>
      <c r="J400" s="137"/>
      <c r="K400" s="121"/>
      <c r="L400" s="137"/>
    </row>
    <row r="401" spans="1:13" s="1" customFormat="1" ht="15.75" thickBot="1">
      <c r="A401" s="126"/>
      <c r="B401" s="18"/>
      <c r="C401" s="18"/>
      <c r="D401" s="18"/>
      <c r="E401" s="18"/>
      <c r="F401" s="18"/>
      <c r="G401" s="37"/>
      <c r="H401" s="21"/>
      <c r="I401" s="109">
        <f>SUM(I397:I400)</f>
        <v>1034.3781000000001</v>
      </c>
      <c r="J401" s="121">
        <f>I401*A399</f>
        <v>20687.562000000002</v>
      </c>
      <c r="K401" s="121">
        <v>20687.560000000001</v>
      </c>
      <c r="L401" s="121">
        <f>K401-J401</f>
        <v>-2.0000000004074536E-3</v>
      </c>
    </row>
    <row r="403" spans="1:13">
      <c r="I403" s="1">
        <v>1</v>
      </c>
      <c r="J403" s="121">
        <f>J13+J64+J115+J223+J359+J228+J233+J165</f>
        <v>1434860.0030034396</v>
      </c>
      <c r="K403" s="137">
        <v>1434860</v>
      </c>
      <c r="L403" s="121">
        <f>K403-J403</f>
        <v>-3.0034396331757307E-3</v>
      </c>
    </row>
    <row r="404" spans="1:13">
      <c r="I404" s="1">
        <v>2</v>
      </c>
      <c r="J404" s="121">
        <f>J364+J238+J170+J120+J69+J18+J243+J248</f>
        <v>3187862.01366618</v>
      </c>
      <c r="K404" s="137">
        <v>3187862</v>
      </c>
      <c r="L404" s="121">
        <f t="shared" ref="L404:L411" si="142">K404-J404</f>
        <v>-1.3666179962456226E-2</v>
      </c>
    </row>
    <row r="405" spans="1:13">
      <c r="I405" s="1">
        <v>3</v>
      </c>
      <c r="J405" s="121">
        <f>J369+J253+J175+J125+J74+J23+J258+J263</f>
        <v>5213395.0191236604</v>
      </c>
      <c r="K405" s="137">
        <f>5200195+13200</f>
        <v>5213395</v>
      </c>
      <c r="L405" s="121">
        <f t="shared" si="142"/>
        <v>-1.9123660400509834E-2</v>
      </c>
    </row>
    <row r="406" spans="1:13">
      <c r="I406" s="1">
        <v>7</v>
      </c>
      <c r="J406" s="121">
        <f>J374+J268+J180+J130+J79+J28+J273+J278</f>
        <v>2291915.0128456801</v>
      </c>
      <c r="K406" s="137">
        <v>2291915</v>
      </c>
      <c r="L406" s="121">
        <f t="shared" si="142"/>
        <v>-1.2845680117607117E-2</v>
      </c>
    </row>
    <row r="407" spans="1:13">
      <c r="I407" s="1">
        <v>9</v>
      </c>
      <c r="J407" s="121">
        <f>J379+J283+J135+J84+J33+J185+J288+J293</f>
        <v>2742929.0069989399</v>
      </c>
      <c r="K407" s="137">
        <v>2742929</v>
      </c>
      <c r="L407" s="121">
        <f t="shared" si="142"/>
        <v>-6.9989399053156376E-3</v>
      </c>
    </row>
    <row r="408" spans="1:13">
      <c r="I408" s="1">
        <v>14</v>
      </c>
      <c r="J408" s="121">
        <f>J384+J298+J190+J140+J89+J38+J303+J308</f>
        <v>1625921.0067898598</v>
      </c>
      <c r="K408" s="137">
        <v>1625921</v>
      </c>
      <c r="L408" s="121">
        <f t="shared" si="142"/>
        <v>-6.7898598499596119E-3</v>
      </c>
    </row>
    <row r="409" spans="1:13">
      <c r="I409" s="1">
        <v>8</v>
      </c>
      <c r="J409" s="121">
        <f>J390+J313+J195+J145+J94+J43+J318+J323</f>
        <v>3069292.0047793998</v>
      </c>
      <c r="K409" s="137">
        <v>3069292</v>
      </c>
      <c r="L409" s="121">
        <f t="shared" si="142"/>
        <v>-4.7793998382985592E-3</v>
      </c>
    </row>
    <row r="410" spans="1:13">
      <c r="I410" s="1">
        <v>4</v>
      </c>
      <c r="J410" s="121">
        <f>J396+J329+J151+J100+J49+J201+J334+J339</f>
        <v>1817933.0181579201</v>
      </c>
      <c r="K410" s="137">
        <v>1817933</v>
      </c>
      <c r="L410" s="121">
        <f t="shared" si="142"/>
        <v>-1.815792010165751E-2</v>
      </c>
      <c r="M410" s="3"/>
    </row>
    <row r="411" spans="1:13">
      <c r="I411" s="1">
        <v>11</v>
      </c>
      <c r="J411" s="121">
        <f>J401+J344+J156+J105+J54+J206+J349</f>
        <v>1236914.0091424</v>
      </c>
      <c r="K411" s="137">
        <v>1236914</v>
      </c>
      <c r="L411" s="121">
        <f t="shared" si="142"/>
        <v>-9.1423999983817339E-3</v>
      </c>
    </row>
  </sheetData>
  <mergeCells count="1">
    <mergeCell ref="A1:I1"/>
  </mergeCells>
  <pageMargins left="0.31496062992125984" right="0" top="0.35433070866141736" bottom="0" header="0.31496062992125984" footer="0.31496062992125984"/>
  <pageSetup paperSize="9" scale="90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459"/>
  <sheetViews>
    <sheetView zoomScale="110" zoomScaleNormal="110" workbookViewId="0">
      <pane xSplit="1" ySplit="6" topLeftCell="B435" activePane="bottomRight" state="frozen"/>
      <selection pane="topRight" activeCell="B1" sqref="B1"/>
      <selection pane="bottomLeft" activeCell="A7" sqref="A7"/>
      <selection pane="bottomRight" activeCell="K459" sqref="K459:L459"/>
    </sheetView>
  </sheetViews>
  <sheetFormatPr defaultRowHeight="15"/>
  <cols>
    <col min="1" max="1" width="15.85546875" style="129" customWidth="1"/>
    <col min="2" max="2" width="38.7109375" style="1" customWidth="1"/>
    <col min="3" max="3" width="10.85546875" style="1" customWidth="1"/>
    <col min="4" max="4" width="8.28515625" style="1" customWidth="1"/>
    <col min="5" max="5" width="11.42578125" style="1" customWidth="1"/>
    <col min="6" max="6" width="9.85546875" style="1" customWidth="1"/>
    <col min="7" max="7" width="12.5703125" customWidth="1"/>
    <col min="8" max="8" width="10.85546875" style="1" customWidth="1"/>
    <col min="9" max="9" width="11.28515625" style="1" customWidth="1"/>
    <col min="10" max="10" width="12.140625" style="1" customWidth="1"/>
    <col min="11" max="11" width="11.5703125" style="1" bestFit="1" customWidth="1"/>
    <col min="12" max="12" width="3.42578125" style="1" customWidth="1"/>
    <col min="13" max="18" width="9.140625" style="1"/>
  </cols>
  <sheetData>
    <row r="1" spans="1:20" ht="18.75">
      <c r="A1" s="152" t="s">
        <v>35</v>
      </c>
      <c r="B1" s="152"/>
      <c r="C1" s="152"/>
      <c r="D1" s="152"/>
      <c r="E1" s="152"/>
      <c r="F1" s="152"/>
      <c r="G1" s="152"/>
      <c r="H1" s="152"/>
    </row>
    <row r="2" spans="1:20" ht="18.75">
      <c r="A2" s="133"/>
      <c r="B2" s="66"/>
      <c r="C2" s="66"/>
      <c r="D2" s="66"/>
      <c r="E2" s="66"/>
      <c r="F2" s="66"/>
      <c r="G2" s="66"/>
      <c r="H2" s="66"/>
    </row>
    <row r="3" spans="1:20" ht="18.75">
      <c r="A3" s="128" t="s">
        <v>77</v>
      </c>
      <c r="H3"/>
      <c r="S3" s="1"/>
      <c r="T3" s="1"/>
    </row>
    <row r="4" spans="1:20" ht="15.75" thickBot="1">
      <c r="G4" s="54" t="s">
        <v>57</v>
      </c>
    </row>
    <row r="5" spans="1:20" ht="105">
      <c r="A5" s="130" t="s">
        <v>2</v>
      </c>
      <c r="B5" s="23" t="s">
        <v>15</v>
      </c>
      <c r="C5" s="23" t="s">
        <v>14</v>
      </c>
      <c r="D5" s="23" t="s">
        <v>16</v>
      </c>
      <c r="E5" s="23" t="s">
        <v>27</v>
      </c>
      <c r="F5" s="23" t="s">
        <v>54</v>
      </c>
      <c r="G5" s="23" t="s">
        <v>29</v>
      </c>
      <c r="H5" s="23" t="s">
        <v>30</v>
      </c>
      <c r="I5" s="23" t="s">
        <v>11</v>
      </c>
      <c r="J5" s="2" t="s">
        <v>34</v>
      </c>
      <c r="K5" s="2" t="s">
        <v>33</v>
      </c>
    </row>
    <row r="6" spans="1:20" ht="15.75" thickBot="1">
      <c r="A6" s="134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 t="s">
        <v>31</v>
      </c>
      <c r="H6" s="9">
        <v>8</v>
      </c>
      <c r="I6" s="39" t="s">
        <v>32</v>
      </c>
    </row>
    <row r="7" spans="1:20">
      <c r="A7" s="122" t="s">
        <v>64</v>
      </c>
      <c r="B7" s="13" t="s">
        <v>36</v>
      </c>
      <c r="C7" s="13" t="s">
        <v>17</v>
      </c>
      <c r="D7" s="13">
        <v>1</v>
      </c>
      <c r="E7" s="15">
        <f>248*8*(A8/1979)</f>
        <v>182.45982819605862</v>
      </c>
      <c r="F7" s="28">
        <f>E7/A8</f>
        <v>1.0025265285497726</v>
      </c>
      <c r="G7" s="41">
        <f>D7/E7*F7</f>
        <v>5.4945054945054941E-3</v>
      </c>
      <c r="H7" s="149">
        <f>56554*0.4</f>
        <v>22621.600000000002</v>
      </c>
      <c r="I7" s="104">
        <f>H7*G7</f>
        <v>124.2945054945055</v>
      </c>
    </row>
    <row r="8" spans="1:20" s="1" customFormat="1">
      <c r="A8" s="120">
        <f>ком.усл!A11</f>
        <v>182</v>
      </c>
      <c r="B8" s="5" t="s">
        <v>37</v>
      </c>
      <c r="C8" s="5" t="s">
        <v>17</v>
      </c>
      <c r="D8" s="5">
        <v>1</v>
      </c>
      <c r="E8" s="7">
        <f>248*8*(A8/1979)</f>
        <v>182.45982819605862</v>
      </c>
      <c r="F8" s="29">
        <f>E8/A8</f>
        <v>1.0025265285497726</v>
      </c>
      <c r="G8" s="40">
        <f>D8/E8*F8</f>
        <v>5.4945054945054941E-3</v>
      </c>
      <c r="H8" s="150">
        <f>19200*0.4</f>
        <v>7680</v>
      </c>
      <c r="I8" s="105">
        <f t="shared" ref="I8:I15" si="0">H8*G8</f>
        <v>42.197802197802197</v>
      </c>
    </row>
    <row r="9" spans="1:20" s="1" customFormat="1">
      <c r="A9" s="146"/>
      <c r="B9" s="5" t="s">
        <v>40</v>
      </c>
      <c r="C9" s="5" t="s">
        <v>17</v>
      </c>
      <c r="D9" s="5">
        <v>1</v>
      </c>
      <c r="E9" s="7">
        <f>248*8*(A8/1979)</f>
        <v>182.45982819605862</v>
      </c>
      <c r="F9" s="29">
        <f>E9/A8</f>
        <v>1.0025265285497726</v>
      </c>
      <c r="G9" s="40">
        <f>D9/E9*F9</f>
        <v>5.4945054945054941E-3</v>
      </c>
      <c r="H9" s="150">
        <f>12000*0.4</f>
        <v>4800</v>
      </c>
      <c r="I9" s="105">
        <f t="shared" ref="I9" si="1">H9*G9</f>
        <v>26.373626373626372</v>
      </c>
    </row>
    <row r="10" spans="1:20" s="1" customFormat="1">
      <c r="A10" s="146"/>
      <c r="B10" s="5" t="s">
        <v>38</v>
      </c>
      <c r="C10" s="5" t="s">
        <v>17</v>
      </c>
      <c r="D10" s="5">
        <v>1</v>
      </c>
      <c r="E10" s="7">
        <f>248*8*(A8/1979)</f>
        <v>182.45982819605862</v>
      </c>
      <c r="F10" s="29">
        <f>E10/A8</f>
        <v>1.0025265285497726</v>
      </c>
      <c r="G10" s="40">
        <f t="shared" ref="G10" si="2">D10/E10*F10</f>
        <v>5.4945054945054941E-3</v>
      </c>
      <c r="H10" s="150">
        <f>(5760+20982.72)*0.4</f>
        <v>10697.088000000002</v>
      </c>
      <c r="I10" s="105">
        <f t="shared" si="0"/>
        <v>58.775208791208797</v>
      </c>
    </row>
    <row r="11" spans="1:20" s="1" customFormat="1">
      <c r="A11" s="146"/>
      <c r="B11" s="5" t="s">
        <v>98</v>
      </c>
      <c r="C11" s="5" t="s">
        <v>17</v>
      </c>
      <c r="D11" s="5">
        <v>1</v>
      </c>
      <c r="E11" s="7">
        <f>248*8*(A8/1979)</f>
        <v>182.45982819605862</v>
      </c>
      <c r="F11" s="29">
        <f>E11/A8</f>
        <v>1.0025265285497726</v>
      </c>
      <c r="G11" s="40">
        <f t="shared" ref="G11:G15" si="3">D11/E11*F11</f>
        <v>5.4945054945054941E-3</v>
      </c>
      <c r="H11" s="150"/>
      <c r="I11" s="105">
        <f t="shared" si="0"/>
        <v>0</v>
      </c>
    </row>
    <row r="12" spans="1:20" s="1" customFormat="1">
      <c r="A12" s="146"/>
      <c r="B12" s="5" t="s">
        <v>56</v>
      </c>
      <c r="C12" s="5" t="s">
        <v>17</v>
      </c>
      <c r="D12" s="5">
        <v>1</v>
      </c>
      <c r="E12" s="7">
        <f>248*8*(A8/1979)</f>
        <v>182.45982819605862</v>
      </c>
      <c r="F12" s="29">
        <f>E12/A8</f>
        <v>1.0025265285497726</v>
      </c>
      <c r="G12" s="40">
        <f t="shared" ref="G12:G14" si="4">D12/E12*F12</f>
        <v>5.4945054945054941E-3</v>
      </c>
      <c r="H12" s="150">
        <f>14000*0.4</f>
        <v>5600</v>
      </c>
      <c r="I12" s="105">
        <f t="shared" si="0"/>
        <v>30.769230769230766</v>
      </c>
    </row>
    <row r="13" spans="1:20" s="1" customFormat="1">
      <c r="A13" s="146"/>
      <c r="B13" s="5" t="s">
        <v>41</v>
      </c>
      <c r="C13" s="5" t="s">
        <v>17</v>
      </c>
      <c r="D13" s="5">
        <v>1</v>
      </c>
      <c r="E13" s="7">
        <f>248*8*(A8/1979)</f>
        <v>182.45982819605862</v>
      </c>
      <c r="F13" s="29">
        <f>E13/A8</f>
        <v>1.0025265285497726</v>
      </c>
      <c r="G13" s="40">
        <f t="shared" si="4"/>
        <v>5.4945054945054941E-3</v>
      </c>
      <c r="H13" s="150">
        <f>29287*0.4</f>
        <v>11714.800000000001</v>
      </c>
      <c r="I13" s="105">
        <f t="shared" si="0"/>
        <v>64.367032967032969</v>
      </c>
    </row>
    <row r="14" spans="1:20" s="1" customFormat="1">
      <c r="A14" s="146"/>
      <c r="B14" s="5" t="s">
        <v>63</v>
      </c>
      <c r="C14" s="5" t="s">
        <v>17</v>
      </c>
      <c r="D14" s="5">
        <v>1</v>
      </c>
      <c r="E14" s="7">
        <f>248*8*(A8/1979)</f>
        <v>182.45982819605862</v>
      </c>
      <c r="F14" s="29">
        <f>E14/A8</f>
        <v>1.0025265285497726</v>
      </c>
      <c r="G14" s="40">
        <f t="shared" si="4"/>
        <v>5.4945054945054941E-3</v>
      </c>
      <c r="H14" s="150">
        <f>30000*0.4</f>
        <v>12000</v>
      </c>
      <c r="I14" s="105">
        <f t="shared" si="0"/>
        <v>65.934065934065927</v>
      </c>
    </row>
    <row r="15" spans="1:20" s="1" customFormat="1">
      <c r="A15" s="146"/>
      <c r="B15" s="35" t="s">
        <v>55</v>
      </c>
      <c r="C15" s="5" t="s">
        <v>17</v>
      </c>
      <c r="D15" s="5">
        <v>1</v>
      </c>
      <c r="E15" s="7">
        <f>248*8*(A8/1979)</f>
        <v>182.45982819605862</v>
      </c>
      <c r="F15" s="29">
        <f>E15/A8</f>
        <v>1.0025265285497726</v>
      </c>
      <c r="G15" s="40">
        <f t="shared" si="3"/>
        <v>5.4945054945054941E-3</v>
      </c>
      <c r="H15" s="150">
        <f>50400*0.4</f>
        <v>20160</v>
      </c>
      <c r="I15" s="105">
        <f t="shared" si="0"/>
        <v>110.76923076923076</v>
      </c>
    </row>
    <row r="16" spans="1:20" s="1" customFormat="1">
      <c r="A16" s="125"/>
      <c r="B16" s="55" t="s">
        <v>84</v>
      </c>
      <c r="C16" s="5" t="s">
        <v>17</v>
      </c>
      <c r="D16" s="5">
        <v>1</v>
      </c>
      <c r="E16" s="7">
        <f>248*8*(A8/1979)</f>
        <v>182.45982819605862</v>
      </c>
      <c r="F16" s="29">
        <f>E16/A8</f>
        <v>1.0025265285497726</v>
      </c>
      <c r="G16" s="40">
        <f t="shared" ref="G16" si="5">D16/E16*F16</f>
        <v>5.4945054945054941E-3</v>
      </c>
      <c r="H16" s="150">
        <f>12000*0.4</f>
        <v>4800</v>
      </c>
      <c r="I16" s="105">
        <f t="shared" ref="I16:I19" si="6">H16*G16</f>
        <v>26.373626373626372</v>
      </c>
    </row>
    <row r="17" spans="1:12" s="1" customFormat="1" ht="30">
      <c r="A17" s="125"/>
      <c r="B17" s="55" t="s">
        <v>113</v>
      </c>
      <c r="C17" s="5" t="s">
        <v>17</v>
      </c>
      <c r="D17" s="5">
        <v>1</v>
      </c>
      <c r="E17" s="7">
        <f>248*8*(A8/1979)</f>
        <v>182.45982819605862</v>
      </c>
      <c r="F17" s="29">
        <f>E17/A8</f>
        <v>1.0025265285497726</v>
      </c>
      <c r="G17" s="40">
        <f t="shared" ref="G17" si="7">D17/E17*F17</f>
        <v>5.4945054945054941E-3</v>
      </c>
      <c r="H17" s="150">
        <f>161394*0.4</f>
        <v>64557.600000000006</v>
      </c>
      <c r="I17" s="105">
        <f t="shared" si="6"/>
        <v>354.7120879120879</v>
      </c>
    </row>
    <row r="18" spans="1:12" s="1" customFormat="1">
      <c r="A18" s="125"/>
      <c r="B18" s="55" t="s">
        <v>114</v>
      </c>
      <c r="C18" s="5" t="s">
        <v>17</v>
      </c>
      <c r="D18" s="5">
        <v>1</v>
      </c>
      <c r="E18" s="7">
        <f>248*8*(A8/1979)</f>
        <v>182.45982819605862</v>
      </c>
      <c r="F18" s="29">
        <f>E18/A8</f>
        <v>1.0025265285497726</v>
      </c>
      <c r="G18" s="40">
        <f t="shared" ref="G18:G19" si="8">D18/E18*F18</f>
        <v>5.4945054945054941E-3</v>
      </c>
      <c r="H18" s="150">
        <f>(4220+7000)*0.4</f>
        <v>4488</v>
      </c>
      <c r="I18" s="105">
        <f t="shared" si="6"/>
        <v>24.659340659340657</v>
      </c>
    </row>
    <row r="19" spans="1:12" s="1" customFormat="1">
      <c r="A19" s="125"/>
      <c r="B19" s="55" t="s">
        <v>39</v>
      </c>
      <c r="C19" s="5" t="s">
        <v>17</v>
      </c>
      <c r="D19" s="5">
        <v>1</v>
      </c>
      <c r="E19" s="7">
        <f>248*8*(A8/1979)</f>
        <v>182.45982819605862</v>
      </c>
      <c r="F19" s="29">
        <f>E19/A8</f>
        <v>1.0025265285497726</v>
      </c>
      <c r="G19" s="40">
        <f t="shared" si="8"/>
        <v>5.4945054945054941E-3</v>
      </c>
      <c r="H19" s="150">
        <f>9700*0.4</f>
        <v>3880</v>
      </c>
      <c r="I19" s="105">
        <f t="shared" si="6"/>
        <v>21.318681318681318</v>
      </c>
    </row>
    <row r="20" spans="1:12" s="1" customFormat="1">
      <c r="A20" s="125"/>
      <c r="B20" s="55" t="s">
        <v>122</v>
      </c>
      <c r="C20" s="5" t="s">
        <v>17</v>
      </c>
      <c r="D20" s="5">
        <v>1</v>
      </c>
      <c r="E20" s="7">
        <f>248*8*(A8/1979)</f>
        <v>182.45982819605862</v>
      </c>
      <c r="F20" s="29">
        <f>E20/A8</f>
        <v>1.0025265285497726</v>
      </c>
      <c r="G20" s="40">
        <f t="shared" ref="G20:G21" si="9">D20/E20*F20</f>
        <v>5.4945054945054941E-3</v>
      </c>
      <c r="H20" s="150">
        <f>(10373.9+4585.08)*0.4</f>
        <v>5983.5920000000006</v>
      </c>
      <c r="I20" s="105">
        <f t="shared" ref="I20:I21" si="10">H20*G20</f>
        <v>32.876879120879124</v>
      </c>
    </row>
    <row r="21" spans="1:12" s="1" customFormat="1" ht="13.7" customHeight="1">
      <c r="A21" s="125"/>
      <c r="B21" s="55" t="s">
        <v>115</v>
      </c>
      <c r="C21" s="5" t="s">
        <v>17</v>
      </c>
      <c r="D21" s="5">
        <v>1</v>
      </c>
      <c r="E21" s="7">
        <f>248*8*(A8/1979)</f>
        <v>182.45982819605862</v>
      </c>
      <c r="F21" s="29">
        <f>E21/A8</f>
        <v>1.0025265285497726</v>
      </c>
      <c r="G21" s="40">
        <f t="shared" si="9"/>
        <v>5.4945054945054941E-3</v>
      </c>
      <c r="H21" s="150">
        <f>3000*0.4</f>
        <v>1200</v>
      </c>
      <c r="I21" s="105">
        <f t="shared" si="10"/>
        <v>6.5934065934065931</v>
      </c>
    </row>
    <row r="22" spans="1:12" s="1" customFormat="1" ht="15.75" thickBot="1">
      <c r="A22" s="126"/>
      <c r="B22" s="18"/>
      <c r="C22" s="18"/>
      <c r="D22" s="18"/>
      <c r="E22" s="18"/>
      <c r="F22" s="18"/>
      <c r="G22" s="21"/>
      <c r="H22" s="42"/>
      <c r="I22" s="109">
        <f>SUM(I7:I21)</f>
        <v>990.01472527472527</v>
      </c>
      <c r="J22" s="145">
        <f>(56554+161394+19200+12000+5760+30000+50400+9700+12000+4220+14000+29287+4585.08+7000+20982.72+10373.9+3000)*0.4</f>
        <v>180182.68000000005</v>
      </c>
      <c r="K22" s="142">
        <f>I22*A8</f>
        <v>180182.68</v>
      </c>
      <c r="L22" s="57">
        <f>J22-K22</f>
        <v>0</v>
      </c>
    </row>
    <row r="23" spans="1:12">
      <c r="A23" s="122" t="s">
        <v>69</v>
      </c>
      <c r="B23" s="13" t="s">
        <v>36</v>
      </c>
      <c r="C23" s="13" t="s">
        <v>17</v>
      </c>
      <c r="D23" s="13">
        <v>1</v>
      </c>
      <c r="E23" s="15">
        <f>248*8*(A24/1979)</f>
        <v>306.7731177362304</v>
      </c>
      <c r="F23" s="28">
        <f>E23/A24</f>
        <v>1.0025265285497726</v>
      </c>
      <c r="G23" s="41">
        <f>D23/E23*F23</f>
        <v>3.2679738562091504E-3</v>
      </c>
      <c r="H23" s="149">
        <f>87660*0.45</f>
        <v>39447</v>
      </c>
      <c r="I23" s="104">
        <f>H23*G23</f>
        <v>128.91176470588235</v>
      </c>
    </row>
    <row r="24" spans="1:12" s="1" customFormat="1">
      <c r="A24" s="120">
        <f>ком.усл!A16</f>
        <v>306</v>
      </c>
      <c r="B24" s="5" t="s">
        <v>37</v>
      </c>
      <c r="C24" s="5" t="s">
        <v>17</v>
      </c>
      <c r="D24" s="5">
        <v>1</v>
      </c>
      <c r="E24" s="7">
        <f>248*8*(A24/1979)</f>
        <v>306.7731177362304</v>
      </c>
      <c r="F24" s="29">
        <f>E24/A24</f>
        <v>1.0025265285497726</v>
      </c>
      <c r="G24" s="40">
        <f>D24/E24*F24</f>
        <v>3.2679738562091504E-3</v>
      </c>
      <c r="H24" s="150">
        <f>38400*0.45</f>
        <v>17280</v>
      </c>
      <c r="I24" s="105">
        <f t="shared" ref="I24:I37" si="11">H24*G24</f>
        <v>56.470588235294116</v>
      </c>
    </row>
    <row r="25" spans="1:12" s="1" customFormat="1">
      <c r="A25" s="146"/>
      <c r="B25" s="5" t="s">
        <v>40</v>
      </c>
      <c r="C25" s="5" t="s">
        <v>17</v>
      </c>
      <c r="D25" s="5">
        <v>1</v>
      </c>
      <c r="E25" s="7">
        <f>248*8*(A24/1979)</f>
        <v>306.7731177362304</v>
      </c>
      <c r="F25" s="29">
        <f>E25/A24</f>
        <v>1.0025265285497726</v>
      </c>
      <c r="G25" s="40">
        <f>D25/E25*F25</f>
        <v>3.2679738562091504E-3</v>
      </c>
      <c r="H25" s="150"/>
      <c r="I25" s="105">
        <f t="shared" si="11"/>
        <v>0</v>
      </c>
    </row>
    <row r="26" spans="1:12" s="1" customFormat="1">
      <c r="A26" s="146"/>
      <c r="B26" s="5" t="s">
        <v>38</v>
      </c>
      <c r="C26" s="5" t="s">
        <v>17</v>
      </c>
      <c r="D26" s="5">
        <v>1</v>
      </c>
      <c r="E26" s="7">
        <f>248*8*(A24/1979)</f>
        <v>306.7731177362304</v>
      </c>
      <c r="F26" s="29">
        <f>E26/A24</f>
        <v>1.0025265285497726</v>
      </c>
      <c r="G26" s="40">
        <f t="shared" ref="G26:G37" si="12">D26/E26*F26</f>
        <v>3.2679738562091504E-3</v>
      </c>
      <c r="H26" s="150">
        <f>41965.56*0.45</f>
        <v>18884.502</v>
      </c>
      <c r="I26" s="105">
        <f t="shared" si="11"/>
        <v>61.714058823529413</v>
      </c>
    </row>
    <row r="27" spans="1:12" s="1" customFormat="1">
      <c r="A27" s="146"/>
      <c r="B27" s="5" t="s">
        <v>123</v>
      </c>
      <c r="C27" s="5" t="s">
        <v>17</v>
      </c>
      <c r="D27" s="5">
        <v>1</v>
      </c>
      <c r="E27" s="7">
        <f>248*8*(A24/1979)</f>
        <v>306.7731177362304</v>
      </c>
      <c r="F27" s="29">
        <f>E27/A24</f>
        <v>1.0025265285497726</v>
      </c>
      <c r="G27" s="40">
        <f t="shared" si="12"/>
        <v>3.2679738562091504E-3</v>
      </c>
      <c r="H27" s="150">
        <f>3084*0.45</f>
        <v>1387.8</v>
      </c>
      <c r="I27" s="105">
        <f t="shared" si="11"/>
        <v>4.5352941176470587</v>
      </c>
    </row>
    <row r="28" spans="1:12" s="1" customFormat="1">
      <c r="A28" s="146"/>
      <c r="B28" s="5" t="s">
        <v>56</v>
      </c>
      <c r="C28" s="5" t="s">
        <v>17</v>
      </c>
      <c r="D28" s="5">
        <v>1</v>
      </c>
      <c r="E28" s="7">
        <f>248*8*(A24/1979)</f>
        <v>306.7731177362304</v>
      </c>
      <c r="F28" s="29">
        <f>E28/A24</f>
        <v>1.0025265285497726</v>
      </c>
      <c r="G28" s="40">
        <f t="shared" si="12"/>
        <v>3.2679738562091504E-3</v>
      </c>
      <c r="H28" s="150">
        <f>13900*0.45</f>
        <v>6255</v>
      </c>
      <c r="I28" s="105">
        <f t="shared" si="11"/>
        <v>20.441176470588236</v>
      </c>
    </row>
    <row r="29" spans="1:12" s="1" customFormat="1">
      <c r="A29" s="146"/>
      <c r="B29" s="5" t="s">
        <v>41</v>
      </c>
      <c r="C29" s="5" t="s">
        <v>17</v>
      </c>
      <c r="D29" s="5">
        <v>1</v>
      </c>
      <c r="E29" s="7">
        <f>248*8*(A24/1979)</f>
        <v>306.7731177362304</v>
      </c>
      <c r="F29" s="29">
        <f>E29/A24</f>
        <v>1.0025265285497726</v>
      </c>
      <c r="G29" s="40">
        <f t="shared" ref="G29:G31" si="13">D29/E29*F29</f>
        <v>3.2679738562091504E-3</v>
      </c>
      <c r="H29" s="150">
        <f>31710*0.45</f>
        <v>14269.5</v>
      </c>
      <c r="I29" s="105">
        <f t="shared" ref="I29:I31" si="14">H29*G29</f>
        <v>46.632352941176471</v>
      </c>
    </row>
    <row r="30" spans="1:12" s="1" customFormat="1">
      <c r="A30" s="146"/>
      <c r="B30" s="5" t="s">
        <v>63</v>
      </c>
      <c r="C30" s="5" t="s">
        <v>17</v>
      </c>
      <c r="D30" s="5">
        <v>1</v>
      </c>
      <c r="E30" s="7">
        <f>248*8*(A24/1979)</f>
        <v>306.7731177362304</v>
      </c>
      <c r="F30" s="29">
        <f>E30/A24</f>
        <v>1.0025265285497726</v>
      </c>
      <c r="G30" s="40">
        <f t="shared" si="13"/>
        <v>3.2679738562091504E-3</v>
      </c>
      <c r="H30" s="150">
        <f>60000*0.45</f>
        <v>27000</v>
      </c>
      <c r="I30" s="105">
        <f t="shared" si="14"/>
        <v>88.235294117647058</v>
      </c>
    </row>
    <row r="31" spans="1:12" s="1" customFormat="1">
      <c r="A31" s="146"/>
      <c r="B31" s="35" t="s">
        <v>55</v>
      </c>
      <c r="C31" s="5" t="s">
        <v>17</v>
      </c>
      <c r="D31" s="5">
        <v>1</v>
      </c>
      <c r="E31" s="7">
        <f>248*8*(A24/1979)</f>
        <v>306.7731177362304</v>
      </c>
      <c r="F31" s="29">
        <f>E31/A24</f>
        <v>1.0025265285497726</v>
      </c>
      <c r="G31" s="40">
        <f t="shared" si="13"/>
        <v>3.2679738562091504E-3</v>
      </c>
      <c r="H31" s="150">
        <f>50400*0.45</f>
        <v>22680</v>
      </c>
      <c r="I31" s="105">
        <f t="shared" si="14"/>
        <v>74.117647058823536</v>
      </c>
    </row>
    <row r="32" spans="1:12" s="1" customFormat="1">
      <c r="A32" s="146"/>
      <c r="B32" s="55" t="s">
        <v>84</v>
      </c>
      <c r="C32" s="5" t="s">
        <v>17</v>
      </c>
      <c r="D32" s="5">
        <v>1</v>
      </c>
      <c r="E32" s="7">
        <f>248*8*(A24/1979)</f>
        <v>306.7731177362304</v>
      </c>
      <c r="F32" s="29">
        <f>E32/A24</f>
        <v>1.0025265285497726</v>
      </c>
      <c r="G32" s="40">
        <f t="shared" si="12"/>
        <v>3.2679738562091504E-3</v>
      </c>
      <c r="H32" s="150">
        <f>16800*0.45</f>
        <v>7560</v>
      </c>
      <c r="I32" s="105">
        <f t="shared" si="11"/>
        <v>24.705882352941178</v>
      </c>
    </row>
    <row r="33" spans="1:12" s="1" customFormat="1" ht="30">
      <c r="A33" s="146"/>
      <c r="B33" s="55" t="s">
        <v>113</v>
      </c>
      <c r="C33" s="5" t="s">
        <v>17</v>
      </c>
      <c r="D33" s="5">
        <v>1</v>
      </c>
      <c r="E33" s="7">
        <f>248*8*(A24/1979)</f>
        <v>306.7731177362304</v>
      </c>
      <c r="F33" s="29">
        <f>E33/A24</f>
        <v>1.0025265285497726</v>
      </c>
      <c r="G33" s="40">
        <f t="shared" si="12"/>
        <v>3.2679738562091504E-3</v>
      </c>
      <c r="H33" s="150"/>
      <c r="I33" s="105">
        <f t="shared" si="11"/>
        <v>0</v>
      </c>
    </row>
    <row r="34" spans="1:12" s="1" customFormat="1">
      <c r="A34" s="146"/>
      <c r="B34" s="55" t="s">
        <v>114</v>
      </c>
      <c r="C34" s="5" t="s">
        <v>17</v>
      </c>
      <c r="D34" s="5">
        <v>1</v>
      </c>
      <c r="E34" s="7">
        <f>248*8*(A24/1979)</f>
        <v>306.7731177362304</v>
      </c>
      <c r="F34" s="29">
        <f>E34/A24</f>
        <v>1.0025265285497726</v>
      </c>
      <c r="G34" s="40">
        <f t="shared" si="12"/>
        <v>3.2679738562091504E-3</v>
      </c>
      <c r="H34" s="150">
        <f>(129600+12000)*0.45</f>
        <v>63720</v>
      </c>
      <c r="I34" s="105">
        <f t="shared" si="11"/>
        <v>208.23529411764707</v>
      </c>
    </row>
    <row r="35" spans="1:12" s="1" customFormat="1">
      <c r="A35" s="125"/>
      <c r="B35" s="55" t="s">
        <v>39</v>
      </c>
      <c r="C35" s="5" t="s">
        <v>17</v>
      </c>
      <c r="D35" s="5">
        <v>1</v>
      </c>
      <c r="E35" s="7">
        <f>248*8*(A24/1979)</f>
        <v>306.7731177362304</v>
      </c>
      <c r="F35" s="29">
        <f>E35/A24</f>
        <v>1.0025265285497726</v>
      </c>
      <c r="G35" s="40">
        <f t="shared" si="12"/>
        <v>3.2679738562091504E-3</v>
      </c>
      <c r="H35" s="150">
        <f>14748*0.45</f>
        <v>6636.6</v>
      </c>
      <c r="I35" s="105">
        <f>H35*G35</f>
        <v>21.68823529411765</v>
      </c>
    </row>
    <row r="36" spans="1:12" s="1" customFormat="1">
      <c r="A36" s="125"/>
      <c r="B36" s="55" t="s">
        <v>122</v>
      </c>
      <c r="C36" s="5" t="s">
        <v>17</v>
      </c>
      <c r="D36" s="5">
        <v>1</v>
      </c>
      <c r="E36" s="7">
        <f>248*8*(A24/1979)</f>
        <v>306.7731177362304</v>
      </c>
      <c r="F36" s="29">
        <f>E36/A24</f>
        <v>1.0025265285497726</v>
      </c>
      <c r="G36" s="40">
        <f t="shared" si="12"/>
        <v>3.2679738562091504E-3</v>
      </c>
      <c r="H36" s="150">
        <f>(4585.08+10557.49)*0.45</f>
        <v>6814.1565000000001</v>
      </c>
      <c r="I36" s="105">
        <f t="shared" si="11"/>
        <v>22.268485294117649</v>
      </c>
    </row>
    <row r="37" spans="1:12" s="1" customFormat="1" ht="13.7" customHeight="1">
      <c r="A37" s="125"/>
      <c r="B37" s="55" t="s">
        <v>115</v>
      </c>
      <c r="C37" s="5" t="s">
        <v>17</v>
      </c>
      <c r="D37" s="5">
        <v>1</v>
      </c>
      <c r="E37" s="7">
        <f>248*8*(A24/1979)</f>
        <v>306.7731177362304</v>
      </c>
      <c r="F37" s="29">
        <f>E37/A24</f>
        <v>1.0025265285497726</v>
      </c>
      <c r="G37" s="40">
        <f t="shared" si="12"/>
        <v>3.2679738562091504E-3</v>
      </c>
      <c r="H37" s="150">
        <f>3300*0.45</f>
        <v>1485</v>
      </c>
      <c r="I37" s="105">
        <f t="shared" si="11"/>
        <v>4.8529411764705888</v>
      </c>
    </row>
    <row r="38" spans="1:12" s="1" customFormat="1" ht="15.75" thickBot="1">
      <c r="A38" s="126"/>
      <c r="B38" s="18"/>
      <c r="C38" s="18"/>
      <c r="D38" s="18"/>
      <c r="E38" s="18"/>
      <c r="F38" s="18"/>
      <c r="G38" s="21"/>
      <c r="H38" s="42"/>
      <c r="I38" s="109">
        <f>SUM(I23:I37)</f>
        <v>762.80901470588253</v>
      </c>
      <c r="J38" s="145">
        <f>(87660+38400+60000+50400+14748+16800+13900+31710+4585.08+3084+129600+12000+41965.56+10557.49+3300)*0.45</f>
        <v>233419.55850000001</v>
      </c>
      <c r="K38" s="142">
        <f>I38*A24</f>
        <v>233419.55850000004</v>
      </c>
      <c r="L38" s="57">
        <f>J38-K38</f>
        <v>0</v>
      </c>
    </row>
    <row r="39" spans="1:12">
      <c r="A39" s="122" t="s">
        <v>70</v>
      </c>
      <c r="B39" s="13" t="s">
        <v>36</v>
      </c>
      <c r="C39" s="13" t="s">
        <v>17</v>
      </c>
      <c r="D39" s="13">
        <v>1</v>
      </c>
      <c r="E39" s="15">
        <f>248*8*(A40/1979)</f>
        <v>252.63668519454271</v>
      </c>
      <c r="F39" s="28">
        <f>E39/A40</f>
        <v>1.0025265285497726</v>
      </c>
      <c r="G39" s="41">
        <f>D39/E39*F39</f>
        <v>3.968253968253968E-3</v>
      </c>
      <c r="H39" s="149">
        <f>81014*0.44</f>
        <v>35646.160000000003</v>
      </c>
      <c r="I39" s="104">
        <f>H39*G39</f>
        <v>141.45301587301589</v>
      </c>
    </row>
    <row r="40" spans="1:12" s="1" customFormat="1">
      <c r="A40" s="120">
        <f>ком.усл!A21</f>
        <v>252</v>
      </c>
      <c r="B40" s="5" t="s">
        <v>37</v>
      </c>
      <c r="C40" s="5" t="s">
        <v>17</v>
      </c>
      <c r="D40" s="5">
        <v>1</v>
      </c>
      <c r="E40" s="7">
        <f>248*8*(A40/1979)</f>
        <v>252.63668519454271</v>
      </c>
      <c r="F40" s="29">
        <f>E40/A40</f>
        <v>1.0025265285497726</v>
      </c>
      <c r="G40" s="40">
        <f>D40/E40*F40</f>
        <v>3.968253968253968E-3</v>
      </c>
      <c r="H40" s="150">
        <f>75600*0.44</f>
        <v>33264</v>
      </c>
      <c r="I40" s="105">
        <f t="shared" ref="I40:I53" si="15">H40*G40</f>
        <v>132</v>
      </c>
    </row>
    <row r="41" spans="1:12" s="1" customFormat="1">
      <c r="A41" s="146"/>
      <c r="B41" s="5" t="s">
        <v>40</v>
      </c>
      <c r="C41" s="5" t="s">
        <v>17</v>
      </c>
      <c r="D41" s="5">
        <v>1</v>
      </c>
      <c r="E41" s="7">
        <f>248*8*(A40/1979)</f>
        <v>252.63668519454271</v>
      </c>
      <c r="F41" s="29">
        <f>E41/A40</f>
        <v>1.0025265285497726</v>
      </c>
      <c r="G41" s="40">
        <f>D41/E41*F41</f>
        <v>3.968253968253968E-3</v>
      </c>
      <c r="H41" s="150">
        <f>79200*0.44</f>
        <v>34848</v>
      </c>
      <c r="I41" s="105">
        <f t="shared" si="15"/>
        <v>138.28571428571428</v>
      </c>
    </row>
    <row r="42" spans="1:12" s="1" customFormat="1">
      <c r="A42" s="146"/>
      <c r="B42" s="5" t="s">
        <v>38</v>
      </c>
      <c r="C42" s="5" t="s">
        <v>17</v>
      </c>
      <c r="D42" s="5">
        <v>1</v>
      </c>
      <c r="E42" s="7">
        <f>248*8*(A40/1979)</f>
        <v>252.63668519454271</v>
      </c>
      <c r="F42" s="29">
        <f>E42/A40</f>
        <v>1.0025265285497726</v>
      </c>
      <c r="G42" s="40">
        <f t="shared" ref="G42:G53" si="16">D42/E42*F42</f>
        <v>3.968253968253968E-3</v>
      </c>
      <c r="H42" s="150">
        <f>62948.16*0.44</f>
        <v>27697.190400000003</v>
      </c>
      <c r="I42" s="105">
        <f t="shared" si="15"/>
        <v>109.90948571428572</v>
      </c>
    </row>
    <row r="43" spans="1:12" s="1" customFormat="1">
      <c r="A43" s="146"/>
      <c r="B43" s="5" t="s">
        <v>123</v>
      </c>
      <c r="C43" s="5" t="s">
        <v>17</v>
      </c>
      <c r="D43" s="5">
        <v>1</v>
      </c>
      <c r="E43" s="7">
        <f>248*8*(A40/1979)</f>
        <v>252.63668519454271</v>
      </c>
      <c r="F43" s="29">
        <f>E43/A40</f>
        <v>1.0025265285497726</v>
      </c>
      <c r="G43" s="40">
        <f t="shared" si="16"/>
        <v>3.968253968253968E-3</v>
      </c>
      <c r="H43" s="150">
        <f>4640*0.44</f>
        <v>2041.6</v>
      </c>
      <c r="I43" s="105">
        <f t="shared" si="15"/>
        <v>8.1015873015873012</v>
      </c>
    </row>
    <row r="44" spans="1:12" s="1" customFormat="1">
      <c r="A44" s="146"/>
      <c r="B44" s="5" t="s">
        <v>56</v>
      </c>
      <c r="C44" s="5" t="s">
        <v>17</v>
      </c>
      <c r="D44" s="5">
        <v>1</v>
      </c>
      <c r="E44" s="7">
        <f>248*8*(A40/1979)</f>
        <v>252.63668519454271</v>
      </c>
      <c r="F44" s="29">
        <f>E44/A40</f>
        <v>1.0025265285497726</v>
      </c>
      <c r="G44" s="40">
        <f t="shared" ref="G44" si="17">D44/E44*F44</f>
        <v>3.968253968253968E-3</v>
      </c>
      <c r="H44" s="150">
        <f>30000*0.44</f>
        <v>13200</v>
      </c>
      <c r="I44" s="105">
        <f t="shared" ref="I44" si="18">H44*G44</f>
        <v>52.38095238095238</v>
      </c>
    </row>
    <row r="45" spans="1:12" s="1" customFormat="1">
      <c r="A45" s="146"/>
      <c r="B45" s="5" t="s">
        <v>41</v>
      </c>
      <c r="C45" s="5" t="s">
        <v>17</v>
      </c>
      <c r="D45" s="5">
        <v>1</v>
      </c>
      <c r="E45" s="7">
        <f>248*8*(A40/1979)</f>
        <v>252.63668519454271</v>
      </c>
      <c r="F45" s="29">
        <f>E45/A40</f>
        <v>1.0025265285497726</v>
      </c>
      <c r="G45" s="40">
        <f t="shared" ref="G45" si="19">D45/E45*F45</f>
        <v>3.968253968253968E-3</v>
      </c>
      <c r="H45" s="150">
        <f>43730*0.44</f>
        <v>19241.2</v>
      </c>
      <c r="I45" s="105">
        <f t="shared" ref="I45" si="20">H45*G45</f>
        <v>76.353968253968247</v>
      </c>
    </row>
    <row r="46" spans="1:12" s="1" customFormat="1">
      <c r="A46" s="146"/>
      <c r="B46" s="5" t="s">
        <v>63</v>
      </c>
      <c r="C46" s="5" t="s">
        <v>17</v>
      </c>
      <c r="D46" s="5">
        <v>1</v>
      </c>
      <c r="E46" s="7">
        <f>248*8*(A40/1979)</f>
        <v>252.63668519454271</v>
      </c>
      <c r="F46" s="29">
        <f>E46/A40</f>
        <v>1.0025265285497726</v>
      </c>
      <c r="G46" s="40">
        <f t="shared" si="16"/>
        <v>3.968253968253968E-3</v>
      </c>
      <c r="H46" s="150">
        <f>90000*0.44</f>
        <v>39600</v>
      </c>
      <c r="I46" s="105">
        <f t="shared" si="15"/>
        <v>157.14285714285714</v>
      </c>
    </row>
    <row r="47" spans="1:12" s="1" customFormat="1">
      <c r="A47" s="146"/>
      <c r="B47" s="35" t="s">
        <v>55</v>
      </c>
      <c r="C47" s="5" t="s">
        <v>17</v>
      </c>
      <c r="D47" s="5">
        <v>1</v>
      </c>
      <c r="E47" s="7">
        <f>248*8*(A40/1979)</f>
        <v>252.63668519454271</v>
      </c>
      <c r="F47" s="29">
        <f>E47/A40</f>
        <v>1.0025265285497726</v>
      </c>
      <c r="G47" s="40">
        <f t="shared" si="16"/>
        <v>3.968253968253968E-3</v>
      </c>
      <c r="H47" s="150">
        <f>25200*0.44</f>
        <v>11088</v>
      </c>
      <c r="I47" s="105">
        <f t="shared" si="15"/>
        <v>44</v>
      </c>
    </row>
    <row r="48" spans="1:12" s="1" customFormat="1">
      <c r="A48" s="146"/>
      <c r="B48" s="55" t="s">
        <v>84</v>
      </c>
      <c r="C48" s="5" t="s">
        <v>17</v>
      </c>
      <c r="D48" s="5">
        <v>1</v>
      </c>
      <c r="E48" s="7">
        <f>248*8*(A40/1979)</f>
        <v>252.63668519454271</v>
      </c>
      <c r="F48" s="29">
        <f>E48/A40</f>
        <v>1.0025265285497726</v>
      </c>
      <c r="G48" s="40">
        <f t="shared" si="16"/>
        <v>3.968253968253968E-3</v>
      </c>
      <c r="H48" s="150">
        <f>54000*0.44</f>
        <v>23760</v>
      </c>
      <c r="I48" s="105">
        <f t="shared" si="15"/>
        <v>94.285714285714278</v>
      </c>
    </row>
    <row r="49" spans="1:12" s="1" customFormat="1" ht="30">
      <c r="A49" s="146"/>
      <c r="B49" s="55" t="s">
        <v>113</v>
      </c>
      <c r="C49" s="5" t="s">
        <v>17</v>
      </c>
      <c r="D49" s="5">
        <v>1</v>
      </c>
      <c r="E49" s="7">
        <f>248*8*(A40/1979)</f>
        <v>252.63668519454271</v>
      </c>
      <c r="F49" s="29">
        <f>E49/A40</f>
        <v>1.0025265285497726</v>
      </c>
      <c r="G49" s="40">
        <f t="shared" si="16"/>
        <v>3.968253968253968E-3</v>
      </c>
      <c r="H49" s="150"/>
      <c r="I49" s="105">
        <f t="shared" si="15"/>
        <v>0</v>
      </c>
    </row>
    <row r="50" spans="1:12" s="1" customFormat="1">
      <c r="A50" s="125"/>
      <c r="B50" s="55" t="s">
        <v>114</v>
      </c>
      <c r="C50" s="5" t="s">
        <v>17</v>
      </c>
      <c r="D50" s="5">
        <v>1</v>
      </c>
      <c r="E50" s="7">
        <f>248*8*(A40/1979)</f>
        <v>252.63668519454271</v>
      </c>
      <c r="F50" s="29">
        <f>E50/A40</f>
        <v>1.0025265285497726</v>
      </c>
      <c r="G50" s="40">
        <f t="shared" si="16"/>
        <v>3.968253968253968E-3</v>
      </c>
      <c r="H50" s="150">
        <f>(18000+81990+12000)*0.44</f>
        <v>49275.6</v>
      </c>
      <c r="I50" s="105">
        <f t="shared" si="15"/>
        <v>195.53809523809522</v>
      </c>
    </row>
    <row r="51" spans="1:12" s="1" customFormat="1">
      <c r="A51" s="125"/>
      <c r="B51" s="55" t="s">
        <v>39</v>
      </c>
      <c r="C51" s="5" t="s">
        <v>17</v>
      </c>
      <c r="D51" s="5">
        <v>1</v>
      </c>
      <c r="E51" s="7">
        <f>248*8*(A40/1979)</f>
        <v>252.63668519454271</v>
      </c>
      <c r="F51" s="29">
        <f>E51/A40</f>
        <v>1.0025265285497726</v>
      </c>
      <c r="G51" s="40">
        <f t="shared" si="16"/>
        <v>3.968253968253968E-3</v>
      </c>
      <c r="H51" s="150">
        <f>27082*0.44</f>
        <v>11916.08</v>
      </c>
      <c r="I51" s="105">
        <f t="shared" si="15"/>
        <v>47.286031746031746</v>
      </c>
    </row>
    <row r="52" spans="1:12" s="1" customFormat="1">
      <c r="A52" s="125"/>
      <c r="B52" s="55" t="s">
        <v>122</v>
      </c>
      <c r="C52" s="5" t="s">
        <v>17</v>
      </c>
      <c r="D52" s="5">
        <v>1</v>
      </c>
      <c r="E52" s="7">
        <f>248*8*(A40/1979)</f>
        <v>252.63668519454271</v>
      </c>
      <c r="F52" s="29">
        <f>E52/A40</f>
        <v>1.0025265285497726</v>
      </c>
      <c r="G52" s="40">
        <f t="shared" si="16"/>
        <v>3.968253968253968E-3</v>
      </c>
      <c r="H52" s="150">
        <f>(4585.08+13220.63)*0.44</f>
        <v>7834.5123999999996</v>
      </c>
      <c r="I52" s="105">
        <f t="shared" si="15"/>
        <v>31.089334920634919</v>
      </c>
    </row>
    <row r="53" spans="1:12" s="1" customFormat="1" ht="13.7" customHeight="1">
      <c r="A53" s="125"/>
      <c r="B53" s="55" t="s">
        <v>115</v>
      </c>
      <c r="C53" s="5" t="s">
        <v>17</v>
      </c>
      <c r="D53" s="5">
        <v>1</v>
      </c>
      <c r="E53" s="7">
        <f>248*8*(A40/1979)</f>
        <v>252.63668519454271</v>
      </c>
      <c r="F53" s="29">
        <f>E53/A40</f>
        <v>1.0025265285497726</v>
      </c>
      <c r="G53" s="40">
        <f t="shared" si="16"/>
        <v>3.968253968253968E-3</v>
      </c>
      <c r="H53" s="150">
        <f>6000*0.44</f>
        <v>2640</v>
      </c>
      <c r="I53" s="105">
        <f t="shared" si="15"/>
        <v>10.476190476190476</v>
      </c>
    </row>
    <row r="54" spans="1:12" s="1" customFormat="1" ht="15.75" thickBot="1">
      <c r="A54" s="126"/>
      <c r="B54" s="18"/>
      <c r="C54" s="18"/>
      <c r="D54" s="18"/>
      <c r="E54" s="18"/>
      <c r="F54" s="18"/>
      <c r="G54" s="21"/>
      <c r="H54" s="42"/>
      <c r="I54" s="109">
        <f>SUM(I39:I53)</f>
        <v>1238.3029476190475</v>
      </c>
      <c r="J54" s="145">
        <f>(81014+75600+79200+90000+25200+27082+54000+18000+30000+43730+4585.08+4640+81990+12000+62948.16+13220.63+6000)*0.44</f>
        <v>312052.34279999998</v>
      </c>
      <c r="K54" s="142">
        <f>I54*A40</f>
        <v>312052.34279999998</v>
      </c>
      <c r="L54" s="57">
        <f>J54-K54</f>
        <v>0</v>
      </c>
    </row>
    <row r="55" spans="1:12">
      <c r="A55" s="122" t="s">
        <v>71</v>
      </c>
      <c r="B55" s="13" t="s">
        <v>36</v>
      </c>
      <c r="C55" s="13" t="s">
        <v>17</v>
      </c>
      <c r="D55" s="13">
        <v>1</v>
      </c>
      <c r="E55" s="15">
        <f>248*8*(A56/1979)</f>
        <v>408.02829711975744</v>
      </c>
      <c r="F55" s="28">
        <f>E55/A56</f>
        <v>1.0025265285497726</v>
      </c>
      <c r="G55" s="41">
        <f>D55/E55*F55</f>
        <v>2.4570024570024574E-3</v>
      </c>
      <c r="H55" s="149">
        <f>56556*0.44</f>
        <v>24884.639999999999</v>
      </c>
      <c r="I55" s="104">
        <f>H55*G55</f>
        <v>61.141621621621631</v>
      </c>
    </row>
    <row r="56" spans="1:12" s="1" customFormat="1">
      <c r="A56" s="120">
        <f>ком.усл!A26</f>
        <v>407</v>
      </c>
      <c r="B56" s="5" t="s">
        <v>37</v>
      </c>
      <c r="C56" s="5" t="s">
        <v>17</v>
      </c>
      <c r="D56" s="5">
        <v>1</v>
      </c>
      <c r="E56" s="7">
        <f>248*8*(A56/1979)</f>
        <v>408.02829711975744</v>
      </c>
      <c r="F56" s="29">
        <f>E56/A56</f>
        <v>1.0025265285497726</v>
      </c>
      <c r="G56" s="40">
        <f>D56/E56*F56</f>
        <v>2.4570024570024574E-3</v>
      </c>
      <c r="H56" s="150">
        <f>21600*0.44</f>
        <v>9504</v>
      </c>
      <c r="I56" s="105">
        <f t="shared" ref="I56:I69" si="21">H56*G56</f>
        <v>23.351351351351354</v>
      </c>
    </row>
    <row r="57" spans="1:12" s="1" customFormat="1">
      <c r="A57" s="146"/>
      <c r="B57" s="5" t="s">
        <v>40</v>
      </c>
      <c r="C57" s="5" t="s">
        <v>17</v>
      </c>
      <c r="D57" s="5">
        <v>1</v>
      </c>
      <c r="E57" s="7">
        <f>248*8*(A56/1979)</f>
        <v>408.02829711975744</v>
      </c>
      <c r="F57" s="29">
        <f>E57/A56</f>
        <v>1.0025265285497726</v>
      </c>
      <c r="G57" s="40">
        <f>D57/E57*F57</f>
        <v>2.4570024570024574E-3</v>
      </c>
      <c r="H57" s="150">
        <f>6000*0.44</f>
        <v>2640</v>
      </c>
      <c r="I57" s="105">
        <f t="shared" si="21"/>
        <v>6.4864864864864877</v>
      </c>
    </row>
    <row r="58" spans="1:12" s="1" customFormat="1">
      <c r="A58" s="146"/>
      <c r="B58" s="5" t="s">
        <v>38</v>
      </c>
      <c r="C58" s="5" t="s">
        <v>17</v>
      </c>
      <c r="D58" s="5">
        <v>1</v>
      </c>
      <c r="E58" s="7">
        <f>248*8*(A56/1979)</f>
        <v>408.02829711975744</v>
      </c>
      <c r="F58" s="29">
        <f>E58/A56</f>
        <v>1.0025265285497726</v>
      </c>
      <c r="G58" s="40">
        <f t="shared" ref="G58:G69" si="22">D58/E58*F58</f>
        <v>2.4570024570024574E-3</v>
      </c>
      <c r="H58" s="150">
        <f>(4800+20982.72)*0.44</f>
        <v>11344.3968</v>
      </c>
      <c r="I58" s="105">
        <f t="shared" si="21"/>
        <v>27.873210810810818</v>
      </c>
    </row>
    <row r="59" spans="1:12" s="1" customFormat="1">
      <c r="A59" s="146"/>
      <c r="B59" s="5" t="s">
        <v>124</v>
      </c>
      <c r="C59" s="5" t="s">
        <v>17</v>
      </c>
      <c r="D59" s="5">
        <v>1</v>
      </c>
      <c r="E59" s="7">
        <f>248*8*(A56/1979)</f>
        <v>408.02829711975744</v>
      </c>
      <c r="F59" s="29">
        <f>E59/A56</f>
        <v>1.0025265285497726</v>
      </c>
      <c r="G59" s="40">
        <f t="shared" si="22"/>
        <v>2.4570024570024574E-3</v>
      </c>
      <c r="H59" s="150">
        <f>454291.36*0.44</f>
        <v>199888.19839999999</v>
      </c>
      <c r="I59" s="105">
        <f t="shared" si="21"/>
        <v>491.12579459459465</v>
      </c>
    </row>
    <row r="60" spans="1:12" s="1" customFormat="1">
      <c r="A60" s="146"/>
      <c r="B60" s="5" t="s">
        <v>56</v>
      </c>
      <c r="C60" s="5" t="s">
        <v>17</v>
      </c>
      <c r="D60" s="5">
        <v>1</v>
      </c>
      <c r="E60" s="7">
        <f>248*8*(A56/1979)</f>
        <v>408.02829711975744</v>
      </c>
      <c r="F60" s="29">
        <f>E60/A56</f>
        <v>1.0025265285497726</v>
      </c>
      <c r="G60" s="40">
        <f t="shared" si="22"/>
        <v>2.4570024570024574E-3</v>
      </c>
      <c r="H60" s="150">
        <f>16000*0.44</f>
        <v>7040</v>
      </c>
      <c r="I60" s="105">
        <f t="shared" si="21"/>
        <v>17.297297297297298</v>
      </c>
    </row>
    <row r="61" spans="1:12" s="1" customFormat="1">
      <c r="A61" s="146"/>
      <c r="B61" s="5" t="s">
        <v>41</v>
      </c>
      <c r="C61" s="5" t="s">
        <v>17</v>
      </c>
      <c r="D61" s="5">
        <v>1</v>
      </c>
      <c r="E61" s="7">
        <f>248*8*(A56/1979)</f>
        <v>408.02829711975744</v>
      </c>
      <c r="F61" s="29">
        <f>E61/A56</f>
        <v>1.0025265285497726</v>
      </c>
      <c r="G61" s="40">
        <f t="shared" si="22"/>
        <v>2.4570024570024574E-3</v>
      </c>
      <c r="H61" s="150">
        <f>27020*0.44</f>
        <v>11888.8</v>
      </c>
      <c r="I61" s="105">
        <f t="shared" si="21"/>
        <v>29.210810810810813</v>
      </c>
    </row>
    <row r="62" spans="1:12" s="1" customFormat="1">
      <c r="A62" s="125"/>
      <c r="B62" s="5" t="s">
        <v>63</v>
      </c>
      <c r="C62" s="5" t="s">
        <v>17</v>
      </c>
      <c r="D62" s="5">
        <v>1</v>
      </c>
      <c r="E62" s="7">
        <f>248*8*(A56/1979)</f>
        <v>408.02829711975744</v>
      </c>
      <c r="F62" s="29">
        <f>E62/A56</f>
        <v>1.0025265285497726</v>
      </c>
      <c r="G62" s="40">
        <f t="shared" si="22"/>
        <v>2.4570024570024574E-3</v>
      </c>
      <c r="H62" s="150">
        <f>30000*0.44</f>
        <v>13200</v>
      </c>
      <c r="I62" s="105">
        <f t="shared" si="21"/>
        <v>32.432432432432435</v>
      </c>
    </row>
    <row r="63" spans="1:12" s="1" customFormat="1">
      <c r="A63" s="125"/>
      <c r="B63" s="35" t="s">
        <v>55</v>
      </c>
      <c r="C63" s="5" t="s">
        <v>17</v>
      </c>
      <c r="D63" s="5">
        <v>1</v>
      </c>
      <c r="E63" s="7">
        <f>248*8*(A56/1979)</f>
        <v>408.02829711975744</v>
      </c>
      <c r="F63" s="29">
        <f>E63/A56</f>
        <v>1.0025265285497726</v>
      </c>
      <c r="G63" s="40">
        <f t="shared" si="22"/>
        <v>2.4570024570024574E-3</v>
      </c>
      <c r="H63" s="150">
        <f>25200*0.44</f>
        <v>11088</v>
      </c>
      <c r="I63" s="105">
        <f t="shared" si="21"/>
        <v>27.243243243243246</v>
      </c>
    </row>
    <row r="64" spans="1:12" s="1" customFormat="1">
      <c r="A64" s="125"/>
      <c r="B64" s="55" t="s">
        <v>84</v>
      </c>
      <c r="C64" s="5" t="s">
        <v>17</v>
      </c>
      <c r="D64" s="5">
        <v>1</v>
      </c>
      <c r="E64" s="7">
        <f>248*8*(A56/1979)</f>
        <v>408.02829711975744</v>
      </c>
      <c r="F64" s="29">
        <f>E64/A56</f>
        <v>1.0025265285497726</v>
      </c>
      <c r="G64" s="40">
        <f t="shared" si="22"/>
        <v>2.4570024570024574E-3</v>
      </c>
      <c r="H64" s="150">
        <f>12000*0.44</f>
        <v>5280</v>
      </c>
      <c r="I64" s="105">
        <f t="shared" si="21"/>
        <v>12.972972972972975</v>
      </c>
    </row>
    <row r="65" spans="1:12" s="1" customFormat="1" ht="30">
      <c r="A65" s="125"/>
      <c r="B65" s="55" t="s">
        <v>113</v>
      </c>
      <c r="C65" s="5" t="s">
        <v>17</v>
      </c>
      <c r="D65" s="5">
        <v>1</v>
      </c>
      <c r="E65" s="7">
        <f>248*8*(A56/1979)</f>
        <v>408.02829711975744</v>
      </c>
      <c r="F65" s="29">
        <f>E65/A56</f>
        <v>1.0025265285497726</v>
      </c>
      <c r="G65" s="40">
        <f t="shared" si="22"/>
        <v>2.4570024570024574E-3</v>
      </c>
      <c r="H65" s="150">
        <f>161394*0.44</f>
        <v>71013.36</v>
      </c>
      <c r="I65" s="105">
        <f t="shared" si="21"/>
        <v>174.48000000000002</v>
      </c>
    </row>
    <row r="66" spans="1:12" s="1" customFormat="1" ht="15.75" customHeight="1">
      <c r="A66" s="125"/>
      <c r="B66" s="55" t="s">
        <v>114</v>
      </c>
      <c r="C66" s="5" t="s">
        <v>17</v>
      </c>
      <c r="D66" s="5">
        <v>1</v>
      </c>
      <c r="E66" s="7">
        <f>248*8*(A56/1979)</f>
        <v>408.02829711975744</v>
      </c>
      <c r="F66" s="29">
        <f>E66/A56</f>
        <v>1.0025265285497726</v>
      </c>
      <c r="G66" s="40">
        <f t="shared" si="22"/>
        <v>2.4570024570024574E-3</v>
      </c>
      <c r="H66" s="150">
        <f>(22716+3964.8)*0.44</f>
        <v>11739.552</v>
      </c>
      <c r="I66" s="105">
        <f t="shared" si="21"/>
        <v>28.844108108108113</v>
      </c>
    </row>
    <row r="67" spans="1:12" s="1" customFormat="1">
      <c r="A67" s="125"/>
      <c r="B67" s="55" t="s">
        <v>39</v>
      </c>
      <c r="C67" s="5" t="s">
        <v>17</v>
      </c>
      <c r="D67" s="5">
        <v>1</v>
      </c>
      <c r="E67" s="7">
        <f>248*8*(A56/1979)</f>
        <v>408.02829711975744</v>
      </c>
      <c r="F67" s="29">
        <f>E67/A56</f>
        <v>1.0025265285497726</v>
      </c>
      <c r="G67" s="40">
        <f t="shared" si="22"/>
        <v>2.4570024570024574E-3</v>
      </c>
      <c r="H67" s="150">
        <f>5428.23*0.44</f>
        <v>2388.4211999999998</v>
      </c>
      <c r="I67" s="105">
        <f t="shared" si="21"/>
        <v>5.8683567567567572</v>
      </c>
    </row>
    <row r="68" spans="1:12" s="1" customFormat="1">
      <c r="A68" s="125"/>
      <c r="B68" s="55" t="s">
        <v>122</v>
      </c>
      <c r="C68" s="5" t="s">
        <v>17</v>
      </c>
      <c r="D68" s="5">
        <v>1</v>
      </c>
      <c r="E68" s="7">
        <f>248*8*(A56/1979)</f>
        <v>408.02829711975744</v>
      </c>
      <c r="F68" s="29">
        <f>E68/A56</f>
        <v>1.0025265285497726</v>
      </c>
      <c r="G68" s="40">
        <f t="shared" si="22"/>
        <v>2.4570024570024574E-3</v>
      </c>
      <c r="H68" s="150">
        <f>(6877.62+12660.85)*0.44</f>
        <v>8596.9268000000011</v>
      </c>
      <c r="I68" s="105">
        <f t="shared" si="21"/>
        <v>21.122670270270277</v>
      </c>
    </row>
    <row r="69" spans="1:12" s="1" customFormat="1" ht="13.7" customHeight="1">
      <c r="A69" s="125"/>
      <c r="B69" s="55" t="s">
        <v>115</v>
      </c>
      <c r="C69" s="5" t="s">
        <v>17</v>
      </c>
      <c r="D69" s="5">
        <v>1</v>
      </c>
      <c r="E69" s="7">
        <f>248*8*(A56/1979)</f>
        <v>408.02829711975744</v>
      </c>
      <c r="F69" s="29">
        <f>E69/A56</f>
        <v>1.0025265285497726</v>
      </c>
      <c r="G69" s="40">
        <f t="shared" si="22"/>
        <v>2.4570024570024574E-3</v>
      </c>
      <c r="H69" s="150">
        <f>3000*0.44</f>
        <v>1320</v>
      </c>
      <c r="I69" s="105">
        <f t="shared" si="21"/>
        <v>3.2432432432432439</v>
      </c>
    </row>
    <row r="70" spans="1:12" s="1" customFormat="1" ht="15.75" thickBot="1">
      <c r="A70" s="126"/>
      <c r="B70" s="18"/>
      <c r="C70" s="18"/>
      <c r="D70" s="18"/>
      <c r="E70" s="18"/>
      <c r="F70" s="18"/>
      <c r="G70" s="21"/>
      <c r="H70" s="42"/>
      <c r="I70" s="109">
        <f>SUM(I55:I69)</f>
        <v>962.69360000000006</v>
      </c>
      <c r="J70" s="145">
        <f>(56556+161394+21600+6000+4800+30000+25200+5428.23+12000+3964.8+16000+27020+6877.62+22716+20982.72+12660.85+3000+454291.36)*0.44</f>
        <v>391816.29519999999</v>
      </c>
      <c r="K70" s="142">
        <f>I70*A56</f>
        <v>391816.29520000005</v>
      </c>
      <c r="L70" s="57">
        <f>J70-K70</f>
        <v>0</v>
      </c>
    </row>
    <row r="71" spans="1:12">
      <c r="A71" s="122" t="s">
        <v>72</v>
      </c>
      <c r="B71" s="13" t="s">
        <v>36</v>
      </c>
      <c r="C71" s="13" t="s">
        <v>17</v>
      </c>
      <c r="D71" s="13">
        <v>1</v>
      </c>
      <c r="E71" s="15">
        <f>248*8*(A72/1979)</f>
        <v>404.01819100555832</v>
      </c>
      <c r="F71" s="28">
        <f>E71/A72</f>
        <v>1.0025265285497724</v>
      </c>
      <c r="G71" s="41">
        <f>D71/E71*F71</f>
        <v>2.4813895781637713E-3</v>
      </c>
      <c r="H71" s="149">
        <f>84831*0.41</f>
        <v>34780.71</v>
      </c>
      <c r="I71" s="104">
        <f>H71*G71</f>
        <v>86.30449131513646</v>
      </c>
    </row>
    <row r="72" spans="1:12" s="1" customFormat="1">
      <c r="A72" s="120">
        <f>ком.усл!A31</f>
        <v>403</v>
      </c>
      <c r="B72" s="5" t="s">
        <v>37</v>
      </c>
      <c r="C72" s="5" t="s">
        <v>17</v>
      </c>
      <c r="D72" s="5">
        <v>1</v>
      </c>
      <c r="E72" s="7">
        <f>248*8*(A72/1979)</f>
        <v>404.01819100555832</v>
      </c>
      <c r="F72" s="29">
        <f>E72/A72</f>
        <v>1.0025265285497724</v>
      </c>
      <c r="G72" s="40">
        <f>D72/E72*F72</f>
        <v>2.4813895781637713E-3</v>
      </c>
      <c r="H72" s="150">
        <f>31200*0.41</f>
        <v>12792</v>
      </c>
      <c r="I72" s="105">
        <f t="shared" ref="I72:I85" si="23">H72*G72</f>
        <v>31.741935483870961</v>
      </c>
    </row>
    <row r="73" spans="1:12" s="1" customFormat="1">
      <c r="A73" s="146"/>
      <c r="B73" s="5" t="s">
        <v>40</v>
      </c>
      <c r="C73" s="5" t="s">
        <v>17</v>
      </c>
      <c r="D73" s="5">
        <v>1</v>
      </c>
      <c r="E73" s="7">
        <f>248*8*(A72/1979)</f>
        <v>404.01819100555832</v>
      </c>
      <c r="F73" s="29">
        <f>E73/A72</f>
        <v>1.0025265285497724</v>
      </c>
      <c r="G73" s="40">
        <f>D73/E73*F73</f>
        <v>2.4813895781637713E-3</v>
      </c>
      <c r="H73" s="150">
        <f>31200*0.41</f>
        <v>12792</v>
      </c>
      <c r="I73" s="105">
        <f t="shared" si="23"/>
        <v>31.741935483870961</v>
      </c>
    </row>
    <row r="74" spans="1:12" s="1" customFormat="1">
      <c r="A74" s="146"/>
      <c r="B74" s="5" t="s">
        <v>38</v>
      </c>
      <c r="C74" s="5" t="s">
        <v>17</v>
      </c>
      <c r="D74" s="5">
        <v>1</v>
      </c>
      <c r="E74" s="7">
        <f>248*8*(A72/1979)</f>
        <v>404.01819100555832</v>
      </c>
      <c r="F74" s="29">
        <f>E74/A72</f>
        <v>1.0025265285497724</v>
      </c>
      <c r="G74" s="40">
        <f t="shared" ref="G74:G85" si="24">D74/E74*F74</f>
        <v>2.4813895781637713E-3</v>
      </c>
      <c r="H74" s="150">
        <f>20982.72*0.41</f>
        <v>8602.9151999999995</v>
      </c>
      <c r="I74" s="105">
        <f t="shared" si="23"/>
        <v>21.347184119106693</v>
      </c>
    </row>
    <row r="75" spans="1:12" s="1" customFormat="1">
      <c r="A75" s="146"/>
      <c r="B75" s="5" t="s">
        <v>123</v>
      </c>
      <c r="C75" s="5" t="s">
        <v>17</v>
      </c>
      <c r="D75" s="5">
        <v>1</v>
      </c>
      <c r="E75" s="7">
        <f>248*8*(A72/1979)</f>
        <v>404.01819100555832</v>
      </c>
      <c r="F75" s="29">
        <f>E75/A72</f>
        <v>1.0025265285497724</v>
      </c>
      <c r="G75" s="40">
        <f t="shared" si="24"/>
        <v>2.4813895781637713E-3</v>
      </c>
      <c r="H75" s="150">
        <f>18000*0.41</f>
        <v>7380</v>
      </c>
      <c r="I75" s="105">
        <f t="shared" si="23"/>
        <v>18.312655086848633</v>
      </c>
    </row>
    <row r="76" spans="1:12" s="1" customFormat="1">
      <c r="A76" s="146"/>
      <c r="B76" s="5" t="s">
        <v>56</v>
      </c>
      <c r="C76" s="5" t="s">
        <v>17</v>
      </c>
      <c r="D76" s="5">
        <v>1</v>
      </c>
      <c r="E76" s="7">
        <f>248*8*(A72/1979)</f>
        <v>404.01819100555832</v>
      </c>
      <c r="F76" s="29">
        <f>E76/A72</f>
        <v>1.0025265285497724</v>
      </c>
      <c r="G76" s="40">
        <f t="shared" si="24"/>
        <v>2.4813895781637713E-3</v>
      </c>
      <c r="H76" s="150">
        <f>14000*0.41</f>
        <v>5740</v>
      </c>
      <c r="I76" s="105">
        <f t="shared" si="23"/>
        <v>14.243176178660047</v>
      </c>
    </row>
    <row r="77" spans="1:12" s="1" customFormat="1">
      <c r="A77" s="146"/>
      <c r="B77" s="5" t="s">
        <v>41</v>
      </c>
      <c r="C77" s="5" t="s">
        <v>17</v>
      </c>
      <c r="D77" s="5">
        <v>1</v>
      </c>
      <c r="E77" s="7">
        <f>248*8*(A72/1979)</f>
        <v>404.01819100555832</v>
      </c>
      <c r="F77" s="29">
        <f>E77/A72</f>
        <v>1.0025265285497724</v>
      </c>
      <c r="G77" s="40">
        <f t="shared" si="24"/>
        <v>2.4813895781637713E-3</v>
      </c>
      <c r="H77" s="150">
        <f>17490*0.41</f>
        <v>7170.9</v>
      </c>
      <c r="I77" s="105">
        <f t="shared" si="23"/>
        <v>17.793796526054585</v>
      </c>
    </row>
    <row r="78" spans="1:12" s="1" customFormat="1">
      <c r="A78" s="146"/>
      <c r="B78" s="5" t="s">
        <v>63</v>
      </c>
      <c r="C78" s="5" t="s">
        <v>17</v>
      </c>
      <c r="D78" s="5">
        <v>1</v>
      </c>
      <c r="E78" s="7">
        <f>248*8*(A72/1979)</f>
        <v>404.01819100555832</v>
      </c>
      <c r="F78" s="29">
        <f>E78/A72</f>
        <v>1.0025265285497724</v>
      </c>
      <c r="G78" s="40">
        <f t="shared" si="24"/>
        <v>2.4813895781637713E-3</v>
      </c>
      <c r="H78" s="150">
        <f>30000*0.41</f>
        <v>12300</v>
      </c>
      <c r="I78" s="105">
        <f t="shared" si="23"/>
        <v>30.521091811414387</v>
      </c>
    </row>
    <row r="79" spans="1:12" s="1" customFormat="1">
      <c r="A79" s="146"/>
      <c r="B79" s="35" t="s">
        <v>55</v>
      </c>
      <c r="C79" s="5" t="s">
        <v>17</v>
      </c>
      <c r="D79" s="5">
        <v>1</v>
      </c>
      <c r="E79" s="7">
        <f>248*8*(A72/1979)</f>
        <v>404.01819100555832</v>
      </c>
      <c r="F79" s="29">
        <f>E79/A72</f>
        <v>1.0025265285497724</v>
      </c>
      <c r="G79" s="40">
        <f t="shared" si="24"/>
        <v>2.4813895781637713E-3</v>
      </c>
      <c r="H79" s="150">
        <f>50400*0.41</f>
        <v>20664</v>
      </c>
      <c r="I79" s="105">
        <f t="shared" si="23"/>
        <v>51.275434243176171</v>
      </c>
    </row>
    <row r="80" spans="1:12" s="1" customFormat="1">
      <c r="A80" s="146"/>
      <c r="B80" s="55" t="s">
        <v>84</v>
      </c>
      <c r="C80" s="5" t="s">
        <v>17</v>
      </c>
      <c r="D80" s="5">
        <v>1</v>
      </c>
      <c r="E80" s="7">
        <f>248*8*(A72/1979)</f>
        <v>404.01819100555832</v>
      </c>
      <c r="F80" s="29">
        <f>E80/A72</f>
        <v>1.0025265285497724</v>
      </c>
      <c r="G80" s="40">
        <f t="shared" si="24"/>
        <v>2.4813895781637713E-3</v>
      </c>
      <c r="H80" s="150">
        <f>12000*0.41</f>
        <v>4920</v>
      </c>
      <c r="I80" s="105">
        <f t="shared" si="23"/>
        <v>12.208436724565754</v>
      </c>
    </row>
    <row r="81" spans="1:12" s="1" customFormat="1" ht="30">
      <c r="A81" s="146"/>
      <c r="B81" s="55" t="s">
        <v>113</v>
      </c>
      <c r="C81" s="5" t="s">
        <v>17</v>
      </c>
      <c r="D81" s="5">
        <v>1</v>
      </c>
      <c r="E81" s="7">
        <f>248*8*(A72/1979)</f>
        <v>404.01819100555832</v>
      </c>
      <c r="F81" s="29">
        <f>E81/A72</f>
        <v>1.0025265285497724</v>
      </c>
      <c r="G81" s="40">
        <f t="shared" si="24"/>
        <v>2.4813895781637713E-3</v>
      </c>
      <c r="H81" s="150"/>
      <c r="I81" s="105">
        <f t="shared" si="23"/>
        <v>0</v>
      </c>
    </row>
    <row r="82" spans="1:12" s="1" customFormat="1">
      <c r="A82" s="146"/>
      <c r="B82" s="55" t="s">
        <v>114</v>
      </c>
      <c r="C82" s="5" t="s">
        <v>17</v>
      </c>
      <c r="D82" s="5">
        <v>1</v>
      </c>
      <c r="E82" s="7">
        <f>248*8*(A72/1979)</f>
        <v>404.01819100555832</v>
      </c>
      <c r="F82" s="29">
        <f>E82/A72</f>
        <v>1.0025265285497724</v>
      </c>
      <c r="G82" s="40">
        <f t="shared" si="24"/>
        <v>2.4813895781637713E-3</v>
      </c>
      <c r="H82" s="150">
        <f>15120*0.41</f>
        <v>6199.2</v>
      </c>
      <c r="I82" s="105">
        <f t="shared" si="23"/>
        <v>15.38263027295285</v>
      </c>
    </row>
    <row r="83" spans="1:12" s="1" customFormat="1">
      <c r="A83" s="125"/>
      <c r="B83" s="55" t="s">
        <v>39</v>
      </c>
      <c r="C83" s="5" t="s">
        <v>17</v>
      </c>
      <c r="D83" s="5">
        <v>1</v>
      </c>
      <c r="E83" s="7">
        <f>248*8*(A72/1979)</f>
        <v>404.01819100555832</v>
      </c>
      <c r="F83" s="29">
        <f>E83/A72</f>
        <v>1.0025265285497724</v>
      </c>
      <c r="G83" s="40">
        <f t="shared" si="24"/>
        <v>2.4813895781637713E-3</v>
      </c>
      <c r="H83" s="150">
        <f>15999*0.41</f>
        <v>6559.5899999999992</v>
      </c>
      <c r="I83" s="105">
        <f t="shared" si="23"/>
        <v>16.276898263027292</v>
      </c>
    </row>
    <row r="84" spans="1:12" s="1" customFormat="1">
      <c r="A84" s="125"/>
      <c r="B84" s="55" t="s">
        <v>122</v>
      </c>
      <c r="C84" s="5" t="s">
        <v>17</v>
      </c>
      <c r="D84" s="5">
        <v>1</v>
      </c>
      <c r="E84" s="7">
        <f>248*8*(A72/1979)</f>
        <v>404.01819100555832</v>
      </c>
      <c r="F84" s="29">
        <f>E84/A72</f>
        <v>1.0025265285497724</v>
      </c>
      <c r="G84" s="40">
        <f t="shared" si="24"/>
        <v>2.4813895781637713E-3</v>
      </c>
      <c r="H84" s="150">
        <f>(6877.22+12043.24)*0.41</f>
        <v>7757.3885999999993</v>
      </c>
      <c r="I84" s="105">
        <f t="shared" si="23"/>
        <v>19.249103225806447</v>
      </c>
    </row>
    <row r="85" spans="1:12" s="1" customFormat="1" ht="13.7" customHeight="1">
      <c r="A85" s="125"/>
      <c r="B85" s="55" t="s">
        <v>115</v>
      </c>
      <c r="C85" s="5" t="s">
        <v>17</v>
      </c>
      <c r="D85" s="5">
        <v>1</v>
      </c>
      <c r="E85" s="7">
        <f>248*8*(A72/1979)</f>
        <v>404.01819100555832</v>
      </c>
      <c r="F85" s="29">
        <f>E85/A72</f>
        <v>1.0025265285497724</v>
      </c>
      <c r="G85" s="40">
        <f t="shared" si="24"/>
        <v>2.4813895781637713E-3</v>
      </c>
      <c r="H85" s="150">
        <f>3000*0.41</f>
        <v>1230</v>
      </c>
      <c r="I85" s="105">
        <f t="shared" si="23"/>
        <v>3.0521091811414385</v>
      </c>
    </row>
    <row r="86" spans="1:12" s="1" customFormat="1" ht="15.75" thickBot="1">
      <c r="A86" s="126"/>
      <c r="B86" s="18"/>
      <c r="C86" s="18"/>
      <c r="D86" s="18"/>
      <c r="E86" s="18"/>
      <c r="F86" s="18"/>
      <c r="G86" s="21"/>
      <c r="H86" s="42"/>
      <c r="I86" s="109">
        <f>SUM(I71:I85)</f>
        <v>369.45087791563259</v>
      </c>
      <c r="J86" s="145">
        <f>(84831+31200+31200+30000+50400+15999+12000+15120+14000+17490+6877.22+18000+20982.72+12043.24+3000)*0.41</f>
        <v>148888.70379999996</v>
      </c>
      <c r="K86" s="142">
        <f>I86*A72</f>
        <v>148888.70379999993</v>
      </c>
      <c r="L86" s="57">
        <f>J86-K86</f>
        <v>0</v>
      </c>
    </row>
    <row r="87" spans="1:12">
      <c r="A87" s="122" t="s">
        <v>73</v>
      </c>
      <c r="B87" s="13" t="s">
        <v>36</v>
      </c>
      <c r="C87" s="13" t="s">
        <v>17</v>
      </c>
      <c r="D87" s="13">
        <v>1</v>
      </c>
      <c r="E87" s="15">
        <f>248*8*(A88/1979)</f>
        <v>267.67458312278927</v>
      </c>
      <c r="F87" s="28">
        <f>E87/A88</f>
        <v>1.0025265285497726</v>
      </c>
      <c r="G87" s="41">
        <f>D87/E87*F87</f>
        <v>3.7453183520599256E-3</v>
      </c>
      <c r="H87" s="149">
        <f>42415*0.43</f>
        <v>18238.45</v>
      </c>
      <c r="I87" s="104">
        <f>H87*G87</f>
        <v>68.308801498127352</v>
      </c>
    </row>
    <row r="88" spans="1:12" s="1" customFormat="1">
      <c r="A88" s="120">
        <f>ком.усл!A36</f>
        <v>267</v>
      </c>
      <c r="B88" s="5" t="s">
        <v>37</v>
      </c>
      <c r="C88" s="5" t="s">
        <v>17</v>
      </c>
      <c r="D88" s="5">
        <v>1</v>
      </c>
      <c r="E88" s="7">
        <f>248*8*(A88/1979)</f>
        <v>267.67458312278927</v>
      </c>
      <c r="F88" s="29">
        <f>E88/A88</f>
        <v>1.0025265285497726</v>
      </c>
      <c r="G88" s="40">
        <f>D88/E88*F88</f>
        <v>3.7453183520599256E-3</v>
      </c>
      <c r="H88" s="150">
        <f>32400*0.43</f>
        <v>13932</v>
      </c>
      <c r="I88" s="105">
        <f t="shared" ref="I88:I101" si="25">H88*G88</f>
        <v>52.17977528089888</v>
      </c>
    </row>
    <row r="89" spans="1:12" s="1" customFormat="1">
      <c r="A89" s="146"/>
      <c r="B89" s="5" t="s">
        <v>40</v>
      </c>
      <c r="C89" s="5" t="s">
        <v>17</v>
      </c>
      <c r="D89" s="5">
        <v>1</v>
      </c>
      <c r="E89" s="7">
        <f>248*8*(A88/1979)</f>
        <v>267.67458312278927</v>
      </c>
      <c r="F89" s="29">
        <f>E89/A88</f>
        <v>1.0025265285497726</v>
      </c>
      <c r="G89" s="40">
        <f>D89/E89*F89</f>
        <v>3.7453183520599256E-3</v>
      </c>
      <c r="H89" s="150">
        <f>6000*0.43</f>
        <v>2580</v>
      </c>
      <c r="I89" s="105">
        <f t="shared" si="25"/>
        <v>9.6629213483146081</v>
      </c>
    </row>
    <row r="90" spans="1:12" s="1" customFormat="1">
      <c r="A90" s="146"/>
      <c r="B90" s="5" t="s">
        <v>38</v>
      </c>
      <c r="C90" s="5" t="s">
        <v>17</v>
      </c>
      <c r="D90" s="5">
        <v>1</v>
      </c>
      <c r="E90" s="7">
        <f>248*8*(A88/1979)</f>
        <v>267.67458312278927</v>
      </c>
      <c r="F90" s="29">
        <f>E90/A88</f>
        <v>1.0025265285497726</v>
      </c>
      <c r="G90" s="40">
        <f t="shared" ref="G90:G101" si="26">D90/E90*F90</f>
        <v>3.7453183520599256E-3</v>
      </c>
      <c r="H90" s="150">
        <f>20982.72*0.43</f>
        <v>9022.5696000000007</v>
      </c>
      <c r="I90" s="105">
        <f t="shared" si="25"/>
        <v>33.792395505617982</v>
      </c>
    </row>
    <row r="91" spans="1:12" s="1" customFormat="1">
      <c r="A91" s="146"/>
      <c r="B91" s="5" t="s">
        <v>98</v>
      </c>
      <c r="C91" s="5" t="s">
        <v>17</v>
      </c>
      <c r="D91" s="5">
        <v>1</v>
      </c>
      <c r="E91" s="7">
        <f>248*8*(A88/1979)</f>
        <v>267.67458312278927</v>
      </c>
      <c r="F91" s="29">
        <f>E91/A88</f>
        <v>1.0025265285497726</v>
      </c>
      <c r="G91" s="40">
        <f t="shared" si="26"/>
        <v>3.7453183520599256E-3</v>
      </c>
      <c r="H91" s="150"/>
      <c r="I91" s="105">
        <f t="shared" si="25"/>
        <v>0</v>
      </c>
    </row>
    <row r="92" spans="1:12" s="1" customFormat="1">
      <c r="A92" s="146"/>
      <c r="B92" s="5" t="s">
        <v>56</v>
      </c>
      <c r="C92" s="5" t="s">
        <v>17</v>
      </c>
      <c r="D92" s="5">
        <v>1</v>
      </c>
      <c r="E92" s="7">
        <f>248*8*(A88/1979)</f>
        <v>267.67458312278927</v>
      </c>
      <c r="F92" s="29">
        <f>E92/A88</f>
        <v>1.0025265285497726</v>
      </c>
      <c r="G92" s="40">
        <f t="shared" si="26"/>
        <v>3.7453183520599256E-3</v>
      </c>
      <c r="H92" s="150">
        <f>10000*0.43</f>
        <v>4300</v>
      </c>
      <c r="I92" s="105">
        <f t="shared" si="25"/>
        <v>16.104868913857679</v>
      </c>
    </row>
    <row r="93" spans="1:12" s="1" customFormat="1">
      <c r="A93" s="146"/>
      <c r="B93" s="5" t="s">
        <v>41</v>
      </c>
      <c r="C93" s="5" t="s">
        <v>17</v>
      </c>
      <c r="D93" s="5">
        <v>1</v>
      </c>
      <c r="E93" s="7">
        <f>248*8*(A88/1979)</f>
        <v>267.67458312278927</v>
      </c>
      <c r="F93" s="29">
        <f>E93/A88</f>
        <v>1.0025265285497726</v>
      </c>
      <c r="G93" s="40">
        <f t="shared" si="26"/>
        <v>3.7453183520599256E-3</v>
      </c>
      <c r="H93" s="150">
        <f>10200*0.43</f>
        <v>4386</v>
      </c>
      <c r="I93" s="105">
        <f t="shared" si="25"/>
        <v>16.426966292134832</v>
      </c>
    </row>
    <row r="94" spans="1:12" s="1" customFormat="1">
      <c r="A94" s="146"/>
      <c r="B94" s="5" t="s">
        <v>63</v>
      </c>
      <c r="C94" s="5" t="s">
        <v>17</v>
      </c>
      <c r="D94" s="5">
        <v>1</v>
      </c>
      <c r="E94" s="7">
        <f>248*8*(A88/1979)</f>
        <v>267.67458312278927</v>
      </c>
      <c r="F94" s="29">
        <f>E94/A88</f>
        <v>1.0025265285497726</v>
      </c>
      <c r="G94" s="40">
        <f t="shared" si="26"/>
        <v>3.7453183520599256E-3</v>
      </c>
      <c r="H94" s="150">
        <f>30000*0.43</f>
        <v>12900</v>
      </c>
      <c r="I94" s="105">
        <f t="shared" si="25"/>
        <v>48.314606741573037</v>
      </c>
    </row>
    <row r="95" spans="1:12" s="1" customFormat="1">
      <c r="A95" s="146"/>
      <c r="B95" s="35" t="s">
        <v>55</v>
      </c>
      <c r="C95" s="5" t="s">
        <v>17</v>
      </c>
      <c r="D95" s="5">
        <v>1</v>
      </c>
      <c r="E95" s="7">
        <f>248*8*(A88/1979)</f>
        <v>267.67458312278927</v>
      </c>
      <c r="F95" s="29">
        <f>E95/A88</f>
        <v>1.0025265285497726</v>
      </c>
      <c r="G95" s="40">
        <f t="shared" si="26"/>
        <v>3.7453183520599256E-3</v>
      </c>
      <c r="H95" s="150">
        <f>25200*0.43</f>
        <v>10836</v>
      </c>
      <c r="I95" s="105">
        <f t="shared" si="25"/>
        <v>40.584269662921351</v>
      </c>
    </row>
    <row r="96" spans="1:12" s="1" customFormat="1">
      <c r="A96" s="146"/>
      <c r="B96" s="55" t="s">
        <v>84</v>
      </c>
      <c r="C96" s="5" t="s">
        <v>17</v>
      </c>
      <c r="D96" s="5">
        <v>1</v>
      </c>
      <c r="E96" s="7">
        <f>248*8*(A88/1979)</f>
        <v>267.67458312278927</v>
      </c>
      <c r="F96" s="29">
        <f>E96/A88</f>
        <v>1.0025265285497726</v>
      </c>
      <c r="G96" s="40">
        <f t="shared" si="26"/>
        <v>3.7453183520599256E-3</v>
      </c>
      <c r="H96" s="150">
        <f>12000*0.43</f>
        <v>5160</v>
      </c>
      <c r="I96" s="105">
        <f t="shared" si="25"/>
        <v>19.325842696629216</v>
      </c>
    </row>
    <row r="97" spans="1:12" s="1" customFormat="1" ht="30">
      <c r="A97" s="146"/>
      <c r="B97" s="55" t="s">
        <v>113</v>
      </c>
      <c r="C97" s="5" t="s">
        <v>17</v>
      </c>
      <c r="D97" s="5">
        <v>1</v>
      </c>
      <c r="E97" s="7">
        <f>248*8*(A88/1979)</f>
        <v>267.67458312278927</v>
      </c>
      <c r="F97" s="29">
        <f>E97/A88</f>
        <v>1.0025265285497726</v>
      </c>
      <c r="G97" s="40">
        <f t="shared" si="26"/>
        <v>3.7453183520599256E-3</v>
      </c>
      <c r="H97" s="150">
        <f>161394*0.43</f>
        <v>69399.42</v>
      </c>
      <c r="I97" s="105">
        <f t="shared" si="25"/>
        <v>259.92292134831462</v>
      </c>
    </row>
    <row r="98" spans="1:12" s="1" customFormat="1">
      <c r="A98" s="125"/>
      <c r="B98" s="55" t="s">
        <v>114</v>
      </c>
      <c r="C98" s="5" t="s">
        <v>17</v>
      </c>
      <c r="D98" s="5">
        <v>1</v>
      </c>
      <c r="E98" s="7">
        <f>248*8*(A88/1979)</f>
        <v>267.67458312278927</v>
      </c>
      <c r="F98" s="29">
        <f>E98/A88</f>
        <v>1.0025265285497726</v>
      </c>
      <c r="G98" s="40">
        <f t="shared" si="26"/>
        <v>3.7453183520599256E-3</v>
      </c>
      <c r="H98" s="150">
        <f>3445*0.43</f>
        <v>1481.35</v>
      </c>
      <c r="I98" s="105">
        <f t="shared" si="25"/>
        <v>5.54812734082397</v>
      </c>
    </row>
    <row r="99" spans="1:12" s="1" customFormat="1">
      <c r="A99" s="125"/>
      <c r="B99" s="55" t="s">
        <v>39</v>
      </c>
      <c r="C99" s="5" t="s">
        <v>17</v>
      </c>
      <c r="D99" s="5">
        <v>1</v>
      </c>
      <c r="E99" s="7">
        <f>248*8*(A88/1979)</f>
        <v>267.67458312278927</v>
      </c>
      <c r="F99" s="29">
        <f>E99/A88</f>
        <v>1.0025265285497726</v>
      </c>
      <c r="G99" s="40">
        <f t="shared" si="26"/>
        <v>3.7453183520599256E-3</v>
      </c>
      <c r="H99" s="150">
        <f>16774*0.43</f>
        <v>7212.82</v>
      </c>
      <c r="I99" s="105">
        <f t="shared" si="25"/>
        <v>27.01430711610487</v>
      </c>
    </row>
    <row r="100" spans="1:12" s="1" customFormat="1">
      <c r="A100" s="125"/>
      <c r="B100" s="55" t="s">
        <v>122</v>
      </c>
      <c r="C100" s="5" t="s">
        <v>17</v>
      </c>
      <c r="D100" s="5">
        <v>1</v>
      </c>
      <c r="E100" s="7">
        <f>248*8*(A88/1979)</f>
        <v>267.67458312278927</v>
      </c>
      <c r="F100" s="29">
        <f>E100/A88</f>
        <v>1.0025265285497726</v>
      </c>
      <c r="G100" s="40">
        <f t="shared" si="26"/>
        <v>3.7453183520599256E-3</v>
      </c>
      <c r="H100" s="150">
        <f>(5349.26+11693.36)*0.43</f>
        <v>7328.3266000000012</v>
      </c>
      <c r="I100" s="105">
        <f t="shared" si="25"/>
        <v>27.446916104868922</v>
      </c>
    </row>
    <row r="101" spans="1:12" s="1" customFormat="1" ht="13.7" customHeight="1">
      <c r="A101" s="125"/>
      <c r="B101" s="55" t="s">
        <v>115</v>
      </c>
      <c r="C101" s="5" t="s">
        <v>17</v>
      </c>
      <c r="D101" s="5">
        <v>1</v>
      </c>
      <c r="E101" s="7">
        <f>248*8*(A88/1979)</f>
        <v>267.67458312278927</v>
      </c>
      <c r="F101" s="29">
        <f>E101/A88</f>
        <v>1.0025265285497726</v>
      </c>
      <c r="G101" s="40">
        <f t="shared" si="26"/>
        <v>3.7453183520599256E-3</v>
      </c>
      <c r="H101" s="150">
        <f>2500*0.43</f>
        <v>1075</v>
      </c>
      <c r="I101" s="105">
        <f t="shared" si="25"/>
        <v>4.0262172284644198</v>
      </c>
    </row>
    <row r="102" spans="1:12" s="1" customFormat="1" ht="15.75" thickBot="1">
      <c r="A102" s="126"/>
      <c r="B102" s="18"/>
      <c r="C102" s="18"/>
      <c r="D102" s="18"/>
      <c r="E102" s="18"/>
      <c r="F102" s="18"/>
      <c r="G102" s="21"/>
      <c r="H102" s="42"/>
      <c r="I102" s="109">
        <f>SUM(I87:I101)</f>
        <v>628.65893707865177</v>
      </c>
      <c r="J102" s="145">
        <f>(42415+161394+32400+6000+30000+25200+16774+12000+3445+10000+10200+5349.26+20982.72+11693.36+2500)*0.43</f>
        <v>167851.9362</v>
      </c>
      <c r="K102" s="142">
        <f>I102*A88</f>
        <v>167851.93620000003</v>
      </c>
      <c r="L102" s="57">
        <f>J102-K102</f>
        <v>0</v>
      </c>
    </row>
    <row r="103" spans="1:12" ht="15.75" thickBot="1">
      <c r="I103" s="117"/>
    </row>
    <row r="104" spans="1:12">
      <c r="A104" s="122" t="s">
        <v>96</v>
      </c>
      <c r="B104" s="13" t="s">
        <v>36</v>
      </c>
      <c r="C104" s="13" t="s">
        <v>17</v>
      </c>
      <c r="D104" s="13">
        <v>1</v>
      </c>
      <c r="E104" s="15">
        <f>248*8*(A105/1979)</f>
        <v>413.04092976250632</v>
      </c>
      <c r="F104" s="28">
        <f>E104/A105</f>
        <v>1.0025265285497726</v>
      </c>
      <c r="G104" s="41">
        <f>D104/E104*F104</f>
        <v>2.4271844660194173E-3</v>
      </c>
      <c r="H104" s="149">
        <f>140963*0.41</f>
        <v>57794.829999999994</v>
      </c>
      <c r="I104" s="104">
        <f>H104*G104</f>
        <v>140.27871359223298</v>
      </c>
    </row>
    <row r="105" spans="1:12" s="1" customFormat="1">
      <c r="A105" s="120">
        <f>ком.усл!A41</f>
        <v>412</v>
      </c>
      <c r="B105" s="5" t="s">
        <v>37</v>
      </c>
      <c r="C105" s="5" t="s">
        <v>17</v>
      </c>
      <c r="D105" s="5">
        <v>1</v>
      </c>
      <c r="E105" s="7">
        <f>248*8*(A105/1979)</f>
        <v>413.04092976250632</v>
      </c>
      <c r="F105" s="29">
        <f>E105/A105</f>
        <v>1.0025265285497726</v>
      </c>
      <c r="G105" s="40">
        <f>D105/E105*F105</f>
        <v>2.4271844660194173E-3</v>
      </c>
      <c r="H105" s="150">
        <f>36000*0.41</f>
        <v>14760</v>
      </c>
      <c r="I105" s="105">
        <f t="shared" ref="I105:I118" si="27">H105*G105</f>
        <v>35.825242718446596</v>
      </c>
    </row>
    <row r="106" spans="1:12" s="1" customFormat="1">
      <c r="A106" s="146"/>
      <c r="B106" s="5" t="s">
        <v>40</v>
      </c>
      <c r="C106" s="5" t="s">
        <v>17</v>
      </c>
      <c r="D106" s="5">
        <v>1</v>
      </c>
      <c r="E106" s="7">
        <f>248*8*(A105/1979)</f>
        <v>413.04092976250632</v>
      </c>
      <c r="F106" s="29">
        <f>E106/A105</f>
        <v>1.0025265285497726</v>
      </c>
      <c r="G106" s="40">
        <f>D106/E106*F106</f>
        <v>2.4271844660194173E-3</v>
      </c>
      <c r="H106" s="150"/>
      <c r="I106" s="105">
        <f t="shared" si="27"/>
        <v>0</v>
      </c>
    </row>
    <row r="107" spans="1:12" s="1" customFormat="1">
      <c r="A107" s="146"/>
      <c r="B107" s="5" t="s">
        <v>38</v>
      </c>
      <c r="C107" s="5" t="s">
        <v>17</v>
      </c>
      <c r="D107" s="5">
        <v>1</v>
      </c>
      <c r="E107" s="7">
        <f>248*8*(A105/1979)</f>
        <v>413.04092976250632</v>
      </c>
      <c r="F107" s="29">
        <f>E107/A105</f>
        <v>1.0025265285497726</v>
      </c>
      <c r="G107" s="40">
        <f t="shared" ref="G107:G118" si="28">D107/E107*F107</f>
        <v>2.4271844660194173E-3</v>
      </c>
      <c r="H107" s="150">
        <f>41965.44*0.41</f>
        <v>17205.830399999999</v>
      </c>
      <c r="I107" s="105">
        <f t="shared" si="27"/>
        <v>41.761724271844656</v>
      </c>
    </row>
    <row r="108" spans="1:12" s="1" customFormat="1">
      <c r="A108" s="146"/>
      <c r="B108" s="5" t="s">
        <v>123</v>
      </c>
      <c r="C108" s="5" t="s">
        <v>17</v>
      </c>
      <c r="D108" s="5">
        <v>1</v>
      </c>
      <c r="E108" s="7">
        <f>248*8*(A105/1979)</f>
        <v>413.04092976250632</v>
      </c>
      <c r="F108" s="29">
        <f>E108/A105</f>
        <v>1.0025265285497726</v>
      </c>
      <c r="G108" s="40">
        <f t="shared" si="28"/>
        <v>2.4271844660194173E-3</v>
      </c>
      <c r="H108" s="150">
        <f>22700*0.41</f>
        <v>9307</v>
      </c>
      <c r="I108" s="105">
        <f t="shared" si="27"/>
        <v>22.589805825242717</v>
      </c>
    </row>
    <row r="109" spans="1:12" s="1" customFormat="1">
      <c r="A109" s="146"/>
      <c r="B109" s="5" t="s">
        <v>56</v>
      </c>
      <c r="C109" s="5" t="s">
        <v>17</v>
      </c>
      <c r="D109" s="5">
        <v>1</v>
      </c>
      <c r="E109" s="7">
        <f>248*8*(A105/1979)</f>
        <v>413.04092976250632</v>
      </c>
      <c r="F109" s="29">
        <f>E109/A105</f>
        <v>1.0025265285497726</v>
      </c>
      <c r="G109" s="40">
        <f t="shared" si="28"/>
        <v>2.4271844660194173E-3</v>
      </c>
      <c r="H109" s="150">
        <f>14000*0.41</f>
        <v>5740</v>
      </c>
      <c r="I109" s="105">
        <f t="shared" si="27"/>
        <v>13.932038834951456</v>
      </c>
    </row>
    <row r="110" spans="1:12" s="1" customFormat="1">
      <c r="A110" s="146"/>
      <c r="B110" s="5" t="s">
        <v>41</v>
      </c>
      <c r="C110" s="5" t="s">
        <v>17</v>
      </c>
      <c r="D110" s="5">
        <v>1</v>
      </c>
      <c r="E110" s="7">
        <f>248*8*(A105/1979)</f>
        <v>413.04092976250632</v>
      </c>
      <c r="F110" s="29">
        <f>E110/A105</f>
        <v>1.0025265285497726</v>
      </c>
      <c r="G110" s="40">
        <f t="shared" si="28"/>
        <v>2.4271844660194173E-3</v>
      </c>
      <c r="H110" s="150">
        <f>20955*0.41</f>
        <v>8591.5499999999993</v>
      </c>
      <c r="I110" s="105">
        <f t="shared" si="27"/>
        <v>20.853276699029124</v>
      </c>
    </row>
    <row r="111" spans="1:12" s="1" customFormat="1">
      <c r="A111" s="146"/>
      <c r="B111" s="5" t="s">
        <v>63</v>
      </c>
      <c r="C111" s="5" t="s">
        <v>17</v>
      </c>
      <c r="D111" s="5">
        <v>1</v>
      </c>
      <c r="E111" s="7">
        <f>248*8*(A105/1979)</f>
        <v>413.04092976250632</v>
      </c>
      <c r="F111" s="29">
        <f>E111/A105</f>
        <v>1.0025265285497726</v>
      </c>
      <c r="G111" s="40">
        <f t="shared" si="28"/>
        <v>2.4271844660194173E-3</v>
      </c>
      <c r="H111" s="150">
        <f>60000*0.41</f>
        <v>24600</v>
      </c>
      <c r="I111" s="105">
        <f t="shared" si="27"/>
        <v>59.708737864077662</v>
      </c>
    </row>
    <row r="112" spans="1:12" s="1" customFormat="1">
      <c r="A112" s="146"/>
      <c r="B112" s="35" t="s">
        <v>55</v>
      </c>
      <c r="C112" s="5" t="s">
        <v>17</v>
      </c>
      <c r="D112" s="5">
        <v>1</v>
      </c>
      <c r="E112" s="7">
        <f>248*8*(A105/1979)</f>
        <v>413.04092976250632</v>
      </c>
      <c r="F112" s="29">
        <f>E112/A105</f>
        <v>1.0025265285497726</v>
      </c>
      <c r="G112" s="40">
        <f t="shared" si="28"/>
        <v>2.4271844660194173E-3</v>
      </c>
      <c r="H112" s="150">
        <f>43200*0.41</f>
        <v>17712</v>
      </c>
      <c r="I112" s="105">
        <f t="shared" si="27"/>
        <v>42.990291262135919</v>
      </c>
    </row>
    <row r="113" spans="1:12" s="1" customFormat="1">
      <c r="A113" s="146"/>
      <c r="B113" s="55" t="s">
        <v>84</v>
      </c>
      <c r="C113" s="5" t="s">
        <v>17</v>
      </c>
      <c r="D113" s="5">
        <v>1</v>
      </c>
      <c r="E113" s="7">
        <f>248*8*(A105/1979)</f>
        <v>413.04092976250632</v>
      </c>
      <c r="F113" s="29">
        <f>E113/A105</f>
        <v>1.0025265285497726</v>
      </c>
      <c r="G113" s="40">
        <f t="shared" si="28"/>
        <v>2.4271844660194173E-3</v>
      </c>
      <c r="H113" s="150">
        <f>16800*0.41</f>
        <v>6888</v>
      </c>
      <c r="I113" s="105">
        <f t="shared" si="27"/>
        <v>16.718446601941746</v>
      </c>
    </row>
    <row r="114" spans="1:12" s="1" customFormat="1" ht="30">
      <c r="A114" s="146"/>
      <c r="B114" s="55" t="s">
        <v>113</v>
      </c>
      <c r="C114" s="5" t="s">
        <v>17</v>
      </c>
      <c r="D114" s="5">
        <v>1</v>
      </c>
      <c r="E114" s="7">
        <f>248*8*(A105/1979)</f>
        <v>413.04092976250632</v>
      </c>
      <c r="F114" s="29">
        <f>E114/A105</f>
        <v>1.0025265285497726</v>
      </c>
      <c r="G114" s="40">
        <f t="shared" si="28"/>
        <v>2.4271844660194173E-3</v>
      </c>
      <c r="H114" s="150"/>
      <c r="I114" s="105">
        <f t="shared" si="27"/>
        <v>0</v>
      </c>
    </row>
    <row r="115" spans="1:12" s="1" customFormat="1">
      <c r="A115" s="146"/>
      <c r="B115" s="55" t="s">
        <v>114</v>
      </c>
      <c r="C115" s="5" t="s">
        <v>17</v>
      </c>
      <c r="D115" s="5">
        <v>1</v>
      </c>
      <c r="E115" s="7">
        <f>248*8*(A105/1979)</f>
        <v>413.04092976250632</v>
      </c>
      <c r="F115" s="29">
        <f>E115/A105</f>
        <v>1.0025265285497726</v>
      </c>
      <c r="G115" s="40">
        <f t="shared" si="28"/>
        <v>2.4271844660194173E-3</v>
      </c>
      <c r="H115" s="150"/>
      <c r="I115" s="105">
        <f t="shared" si="27"/>
        <v>0</v>
      </c>
    </row>
    <row r="116" spans="1:12" s="1" customFormat="1">
      <c r="A116" s="125"/>
      <c r="B116" s="55" t="s">
        <v>39</v>
      </c>
      <c r="C116" s="5" t="s">
        <v>17</v>
      </c>
      <c r="D116" s="5">
        <v>1</v>
      </c>
      <c r="E116" s="7">
        <f>248*8*(A105/1979)</f>
        <v>413.04092976250632</v>
      </c>
      <c r="F116" s="29">
        <f>E116/A105</f>
        <v>1.0025265285497726</v>
      </c>
      <c r="G116" s="40">
        <f t="shared" si="28"/>
        <v>2.4271844660194173E-3</v>
      </c>
      <c r="H116" s="150">
        <f>25800.73*0.41</f>
        <v>10578.299299999999</v>
      </c>
      <c r="I116" s="105">
        <f t="shared" si="27"/>
        <v>25.675483737864074</v>
      </c>
    </row>
    <row r="117" spans="1:12" s="1" customFormat="1">
      <c r="A117" s="125"/>
      <c r="B117" s="55" t="s">
        <v>122</v>
      </c>
      <c r="C117" s="5" t="s">
        <v>17</v>
      </c>
      <c r="D117" s="5">
        <v>1</v>
      </c>
      <c r="E117" s="7">
        <f>248*8*(A105/1979)</f>
        <v>413.04092976250632</v>
      </c>
      <c r="F117" s="29">
        <f>E117/A105</f>
        <v>1.0025265285497726</v>
      </c>
      <c r="G117" s="40">
        <f t="shared" si="28"/>
        <v>2.4271844660194173E-3</v>
      </c>
      <c r="H117" s="150">
        <f>(6877.62+13277.94)*0.41</f>
        <v>8263.7795999999998</v>
      </c>
      <c r="I117" s="105">
        <f t="shared" si="27"/>
        <v>20.057717475728154</v>
      </c>
    </row>
    <row r="118" spans="1:12" s="1" customFormat="1" ht="13.7" customHeight="1">
      <c r="A118" s="125"/>
      <c r="B118" s="55" t="s">
        <v>115</v>
      </c>
      <c r="C118" s="5" t="s">
        <v>17</v>
      </c>
      <c r="D118" s="5">
        <v>1</v>
      </c>
      <c r="E118" s="7">
        <f>248*8*(A105/1979)</f>
        <v>413.04092976250632</v>
      </c>
      <c r="F118" s="29">
        <f>E118/A105</f>
        <v>1.0025265285497726</v>
      </c>
      <c r="G118" s="40">
        <f t="shared" si="28"/>
        <v>2.4271844660194173E-3</v>
      </c>
      <c r="H118" s="150">
        <f>6000*0.41</f>
        <v>2460</v>
      </c>
      <c r="I118" s="105">
        <f t="shared" si="27"/>
        <v>5.9708737864077666</v>
      </c>
    </row>
    <row r="119" spans="1:12" s="1" customFormat="1" ht="15.75" thickBot="1">
      <c r="A119" s="126"/>
      <c r="B119" s="18"/>
      <c r="C119" s="18"/>
      <c r="D119" s="18"/>
      <c r="E119" s="18"/>
      <c r="F119" s="18"/>
      <c r="G119" s="21"/>
      <c r="H119" s="42"/>
      <c r="I119" s="109">
        <f>SUM(I104:I118)</f>
        <v>446.3623526699028</v>
      </c>
      <c r="J119" s="145">
        <f>(140963+36000+60000+43200+25800.73+16800+14000+20955+6877.62+22700+41965.44+13277.94+6000)*0.41</f>
        <v>183901.28929999997</v>
      </c>
      <c r="K119" s="142">
        <f>I119*A105</f>
        <v>183901.28929999995</v>
      </c>
      <c r="L119" s="57">
        <f>J119-K119</f>
        <v>0</v>
      </c>
    </row>
    <row r="120" spans="1:12" ht="15.75" thickBot="1">
      <c r="E120" s="52"/>
      <c r="I120" s="117"/>
    </row>
    <row r="121" spans="1:12">
      <c r="A121" s="122" t="s">
        <v>75</v>
      </c>
      <c r="B121" s="13" t="s">
        <v>36</v>
      </c>
      <c r="C121" s="13" t="s">
        <v>17</v>
      </c>
      <c r="D121" s="13">
        <v>1</v>
      </c>
      <c r="E121" s="15">
        <f>248*8*(A122/1979)</f>
        <v>137.34613441131884</v>
      </c>
      <c r="F121" s="28">
        <f>E121/A122</f>
        <v>1.0025265285497726</v>
      </c>
      <c r="G121" s="41">
        <f>D121/E121*F121</f>
        <v>7.2992700729927014E-3</v>
      </c>
      <c r="H121" s="149">
        <f>21207*0.47</f>
        <v>9967.2899999999991</v>
      </c>
      <c r="I121" s="104">
        <f>H121*G121</f>
        <v>72.753941605839415</v>
      </c>
    </row>
    <row r="122" spans="1:12" s="1" customFormat="1">
      <c r="A122" s="120">
        <f>ком.усл!A47</f>
        <v>137</v>
      </c>
      <c r="B122" s="5" t="s">
        <v>37</v>
      </c>
      <c r="C122" s="5" t="s">
        <v>17</v>
      </c>
      <c r="D122" s="5">
        <v>1</v>
      </c>
      <c r="E122" s="7">
        <f>248*8*(A122/1979)</f>
        <v>137.34613441131884</v>
      </c>
      <c r="F122" s="29">
        <f>E122/A122</f>
        <v>1.0025265285497726</v>
      </c>
      <c r="G122" s="40">
        <f>D122/E122*F122</f>
        <v>7.2992700729927014E-3</v>
      </c>
      <c r="H122" s="150">
        <f>18000*0.47</f>
        <v>8460</v>
      </c>
      <c r="I122" s="105">
        <f t="shared" ref="I122:I135" si="29">H122*G122</f>
        <v>61.751824817518255</v>
      </c>
    </row>
    <row r="123" spans="1:12" s="1" customFormat="1">
      <c r="A123" s="146"/>
      <c r="B123" s="5" t="s">
        <v>40</v>
      </c>
      <c r="C123" s="5" t="s">
        <v>17</v>
      </c>
      <c r="D123" s="5">
        <v>1</v>
      </c>
      <c r="E123" s="7">
        <f>248*8*(A122/1979)</f>
        <v>137.34613441131884</v>
      </c>
      <c r="F123" s="29">
        <f>E123/A122</f>
        <v>1.0025265285497726</v>
      </c>
      <c r="G123" s="40">
        <f>D123/E123*F123</f>
        <v>7.2992700729927014E-3</v>
      </c>
      <c r="H123" s="150">
        <f>6000*0.47</f>
        <v>2820</v>
      </c>
      <c r="I123" s="105">
        <f t="shared" si="29"/>
        <v>20.583941605839417</v>
      </c>
    </row>
    <row r="124" spans="1:12" s="1" customFormat="1">
      <c r="A124" s="146"/>
      <c r="B124" s="5" t="s">
        <v>38</v>
      </c>
      <c r="C124" s="5" t="s">
        <v>17</v>
      </c>
      <c r="D124" s="5">
        <v>1</v>
      </c>
      <c r="E124" s="7">
        <f>248*8*(A122/1979)</f>
        <v>137.34613441131884</v>
      </c>
      <c r="F124" s="29">
        <f>E124/A122</f>
        <v>1.0025265285497726</v>
      </c>
      <c r="G124" s="40">
        <f t="shared" ref="G124:G135" si="30">D124/E124*F124</f>
        <v>7.2992700729927014E-3</v>
      </c>
      <c r="H124" s="150">
        <f>20982.72*0.47</f>
        <v>9861.8783999999996</v>
      </c>
      <c r="I124" s="105">
        <f t="shared" si="29"/>
        <v>71.984513868613135</v>
      </c>
    </row>
    <row r="125" spans="1:12" s="1" customFormat="1">
      <c r="A125" s="146"/>
      <c r="B125" s="5" t="s">
        <v>98</v>
      </c>
      <c r="C125" s="5" t="s">
        <v>17</v>
      </c>
      <c r="D125" s="5">
        <v>1</v>
      </c>
      <c r="E125" s="7">
        <f>248*8*(A122/1979)</f>
        <v>137.34613441131884</v>
      </c>
      <c r="F125" s="29">
        <f>E125/A122</f>
        <v>1.0025265285497726</v>
      </c>
      <c r="G125" s="40">
        <f t="shared" si="30"/>
        <v>7.2992700729927014E-3</v>
      </c>
      <c r="H125" s="150"/>
      <c r="I125" s="105">
        <f t="shared" si="29"/>
        <v>0</v>
      </c>
    </row>
    <row r="126" spans="1:12" s="1" customFormat="1">
      <c r="A126" s="146"/>
      <c r="B126" s="5" t="s">
        <v>56</v>
      </c>
      <c r="C126" s="5" t="s">
        <v>17</v>
      </c>
      <c r="D126" s="5">
        <v>1</v>
      </c>
      <c r="E126" s="7">
        <f>248*8*(A122/1979)</f>
        <v>137.34613441131884</v>
      </c>
      <c r="F126" s="29">
        <f>E126/A122</f>
        <v>1.0025265285497726</v>
      </c>
      <c r="G126" s="40">
        <f t="shared" si="30"/>
        <v>7.2992700729927014E-3</v>
      </c>
      <c r="H126" s="150">
        <f>5500*0.47</f>
        <v>2585</v>
      </c>
      <c r="I126" s="105">
        <f t="shared" si="29"/>
        <v>18.868613138686133</v>
      </c>
    </row>
    <row r="127" spans="1:12" s="1" customFormat="1">
      <c r="A127" s="146"/>
      <c r="B127" s="5" t="s">
        <v>41</v>
      </c>
      <c r="C127" s="5" t="s">
        <v>17</v>
      </c>
      <c r="D127" s="5">
        <v>1</v>
      </c>
      <c r="E127" s="7">
        <f>248*8*(A122/1979)</f>
        <v>137.34613441131884</v>
      </c>
      <c r="F127" s="29">
        <f>E127/A122</f>
        <v>1.0025265285497726</v>
      </c>
      <c r="G127" s="40">
        <f t="shared" si="30"/>
        <v>7.2992700729927014E-3</v>
      </c>
      <c r="H127" s="150">
        <f>10200*0.47</f>
        <v>4794</v>
      </c>
      <c r="I127" s="105">
        <f t="shared" si="29"/>
        <v>34.992700729927009</v>
      </c>
    </row>
    <row r="128" spans="1:12" s="1" customFormat="1">
      <c r="A128" s="146"/>
      <c r="B128" s="5" t="s">
        <v>63</v>
      </c>
      <c r="C128" s="5" t="s">
        <v>17</v>
      </c>
      <c r="D128" s="5">
        <v>1</v>
      </c>
      <c r="E128" s="7">
        <f>248*8*(A122/1979)</f>
        <v>137.34613441131884</v>
      </c>
      <c r="F128" s="29">
        <f>E128/A122</f>
        <v>1.0025265285497726</v>
      </c>
      <c r="G128" s="40">
        <f t="shared" si="30"/>
        <v>7.2992700729927014E-3</v>
      </c>
      <c r="H128" s="150">
        <f>30000*0.47</f>
        <v>14100</v>
      </c>
      <c r="I128" s="105">
        <f t="shared" si="29"/>
        <v>102.91970802919708</v>
      </c>
    </row>
    <row r="129" spans="1:12" s="1" customFormat="1">
      <c r="A129" s="146"/>
      <c r="B129" s="35" t="s">
        <v>55</v>
      </c>
      <c r="C129" s="5" t="s">
        <v>17</v>
      </c>
      <c r="D129" s="5">
        <v>1</v>
      </c>
      <c r="E129" s="7">
        <f>248*8*(A122/1979)</f>
        <v>137.34613441131884</v>
      </c>
      <c r="F129" s="29">
        <f>E129/A122</f>
        <v>1.0025265285497726</v>
      </c>
      <c r="G129" s="40">
        <f t="shared" si="30"/>
        <v>7.2992700729927014E-3</v>
      </c>
      <c r="H129" s="150">
        <f>18900*0.47</f>
        <v>8883</v>
      </c>
      <c r="I129" s="105">
        <f t="shared" si="29"/>
        <v>64.839416058394164</v>
      </c>
    </row>
    <row r="130" spans="1:12" s="1" customFormat="1">
      <c r="A130" s="146"/>
      <c r="B130" s="55" t="s">
        <v>84</v>
      </c>
      <c r="C130" s="5" t="s">
        <v>17</v>
      </c>
      <c r="D130" s="5">
        <v>1</v>
      </c>
      <c r="E130" s="7">
        <f>248*8*(A122/1979)</f>
        <v>137.34613441131884</v>
      </c>
      <c r="F130" s="29">
        <f>E130/A122</f>
        <v>1.0025265285497726</v>
      </c>
      <c r="G130" s="40">
        <f t="shared" si="30"/>
        <v>7.2992700729927014E-3</v>
      </c>
      <c r="H130" s="150">
        <f>12000*0.47</f>
        <v>5640</v>
      </c>
      <c r="I130" s="105">
        <f t="shared" si="29"/>
        <v>41.167883211678834</v>
      </c>
    </row>
    <row r="131" spans="1:12" s="1" customFormat="1" ht="30">
      <c r="A131" s="146"/>
      <c r="B131" s="55" t="s">
        <v>113</v>
      </c>
      <c r="C131" s="5" t="s">
        <v>17</v>
      </c>
      <c r="D131" s="5">
        <v>1</v>
      </c>
      <c r="E131" s="7">
        <f>248*8*(A122/1979)</f>
        <v>137.34613441131884</v>
      </c>
      <c r="F131" s="29">
        <f>E131/A122</f>
        <v>1.0025265285497726</v>
      </c>
      <c r="G131" s="40">
        <f t="shared" si="30"/>
        <v>7.2992700729927014E-3</v>
      </c>
      <c r="H131" s="150"/>
      <c r="I131" s="105">
        <f t="shared" si="29"/>
        <v>0</v>
      </c>
    </row>
    <row r="132" spans="1:12" s="1" customFormat="1">
      <c r="A132" s="146"/>
      <c r="B132" s="55" t="s">
        <v>114</v>
      </c>
      <c r="C132" s="5" t="s">
        <v>17</v>
      </c>
      <c r="D132" s="5">
        <v>1</v>
      </c>
      <c r="E132" s="7">
        <f>248*8*(A122/1979)</f>
        <v>137.34613441131884</v>
      </c>
      <c r="F132" s="29">
        <f>E132/A122</f>
        <v>1.0025265285497726</v>
      </c>
      <c r="G132" s="40">
        <f t="shared" si="30"/>
        <v>7.2992700729927014E-3</v>
      </c>
      <c r="H132" s="150">
        <f>7400*0.47</f>
        <v>3478</v>
      </c>
      <c r="I132" s="105">
        <f t="shared" si="29"/>
        <v>25.386861313868614</v>
      </c>
    </row>
    <row r="133" spans="1:12" s="1" customFormat="1">
      <c r="A133" s="125"/>
      <c r="B133" s="55" t="s">
        <v>39</v>
      </c>
      <c r="C133" s="5" t="s">
        <v>17</v>
      </c>
      <c r="D133" s="5">
        <v>1</v>
      </c>
      <c r="E133" s="7">
        <f>248*8*(A122/1979)</f>
        <v>137.34613441131884</v>
      </c>
      <c r="F133" s="29">
        <f>E133/A122</f>
        <v>1.0025265285497726</v>
      </c>
      <c r="G133" s="40">
        <f t="shared" si="30"/>
        <v>7.2992700729927014E-3</v>
      </c>
      <c r="H133" s="150">
        <f>11562.2*0.47</f>
        <v>5434.2340000000004</v>
      </c>
      <c r="I133" s="105">
        <f t="shared" si="29"/>
        <v>39.665941605839421</v>
      </c>
    </row>
    <row r="134" spans="1:12" s="1" customFormat="1">
      <c r="A134" s="125"/>
      <c r="B134" s="55" t="s">
        <v>122</v>
      </c>
      <c r="C134" s="5" t="s">
        <v>17</v>
      </c>
      <c r="D134" s="5">
        <v>1</v>
      </c>
      <c r="E134" s="7">
        <f>248*8*(A122/1979)</f>
        <v>137.34613441131884</v>
      </c>
      <c r="F134" s="29">
        <f>E134/A122</f>
        <v>1.0025265285497726</v>
      </c>
      <c r="G134" s="40">
        <f t="shared" si="30"/>
        <v>7.2992700729927014E-3</v>
      </c>
      <c r="H134" s="150">
        <f>(2292.54+8452.84)*0.47</f>
        <v>5050.3285999999998</v>
      </c>
      <c r="I134" s="105">
        <f t="shared" si="29"/>
        <v>36.863712408759127</v>
      </c>
    </row>
    <row r="135" spans="1:12" s="1" customFormat="1" ht="13.7" customHeight="1">
      <c r="A135" s="125"/>
      <c r="B135" s="55" t="s">
        <v>115</v>
      </c>
      <c r="C135" s="5" t="s">
        <v>17</v>
      </c>
      <c r="D135" s="5">
        <v>1</v>
      </c>
      <c r="E135" s="7">
        <f>248*8*(A122/1979)</f>
        <v>137.34613441131884</v>
      </c>
      <c r="F135" s="29">
        <f>E135/A122</f>
        <v>1.0025265285497726</v>
      </c>
      <c r="G135" s="40">
        <f t="shared" si="30"/>
        <v>7.2992700729927014E-3</v>
      </c>
      <c r="H135" s="150">
        <f>3000*0.47</f>
        <v>1410</v>
      </c>
      <c r="I135" s="105">
        <f t="shared" si="29"/>
        <v>10.291970802919709</v>
      </c>
    </row>
    <row r="136" spans="1:12" s="1" customFormat="1" ht="15.75" thickBot="1">
      <c r="A136" s="126"/>
      <c r="B136" s="18"/>
      <c r="C136" s="18"/>
      <c r="D136" s="18"/>
      <c r="E136" s="18"/>
      <c r="F136" s="18"/>
      <c r="G136" s="21"/>
      <c r="H136" s="42"/>
      <c r="I136" s="109">
        <f>SUM(I121:I135)</f>
        <v>602.07102919708041</v>
      </c>
      <c r="J136" s="145">
        <f>(21207+18000+6000+30000+18900+11562.2+12000+7400+5500+10200+2292.54+20982.72+8452.84+3000)*0.47</f>
        <v>82483.731</v>
      </c>
      <c r="K136" s="142">
        <f>I136*A122</f>
        <v>82483.731000000014</v>
      </c>
      <c r="L136" s="57">
        <f>J136-K136</f>
        <v>0</v>
      </c>
    </row>
    <row r="137" spans="1:12">
      <c r="A137" s="122" t="s">
        <v>76</v>
      </c>
      <c r="B137" s="13" t="s">
        <v>36</v>
      </c>
      <c r="C137" s="13" t="s">
        <v>17</v>
      </c>
      <c r="D137" s="13">
        <v>1</v>
      </c>
      <c r="E137" s="15">
        <f>248*8*(A138/1979)</f>
        <v>112.28297119757453</v>
      </c>
      <c r="F137" s="28">
        <f>E137/A138</f>
        <v>1.0025265285497726</v>
      </c>
      <c r="G137" s="41">
        <f>D137/E137*F137</f>
        <v>8.9285714285714298E-3</v>
      </c>
      <c r="H137" s="149">
        <f>21217*0.46</f>
        <v>9759.82</v>
      </c>
      <c r="I137" s="104">
        <f>H137*G137</f>
        <v>87.141250000000014</v>
      </c>
    </row>
    <row r="138" spans="1:12" s="1" customFormat="1">
      <c r="A138" s="120">
        <f>ком.усл!A52</f>
        <v>112</v>
      </c>
      <c r="B138" s="5" t="s">
        <v>37</v>
      </c>
      <c r="C138" s="5" t="s">
        <v>17</v>
      </c>
      <c r="D138" s="5">
        <v>1</v>
      </c>
      <c r="E138" s="7">
        <f>248*8*(A138/1979)</f>
        <v>112.28297119757453</v>
      </c>
      <c r="F138" s="29">
        <f>E138/A138</f>
        <v>1.0025265285497726</v>
      </c>
      <c r="G138" s="40">
        <f>D138/E138*F138</f>
        <v>8.9285714285714298E-3</v>
      </c>
      <c r="H138" s="150">
        <f>19200*0.46</f>
        <v>8832</v>
      </c>
      <c r="I138" s="105">
        <f t="shared" ref="I138:I151" si="31">H138*G138</f>
        <v>78.857142857142861</v>
      </c>
    </row>
    <row r="139" spans="1:12" s="1" customFormat="1">
      <c r="A139" s="146"/>
      <c r="B139" s="5" t="s">
        <v>40</v>
      </c>
      <c r="C139" s="5" t="s">
        <v>17</v>
      </c>
      <c r="D139" s="5">
        <v>1</v>
      </c>
      <c r="E139" s="7">
        <f>248*8*(A138/1979)</f>
        <v>112.28297119757453</v>
      </c>
      <c r="F139" s="29">
        <f>E139/A138</f>
        <v>1.0025265285497726</v>
      </c>
      <c r="G139" s="40">
        <f>D139/E139*F139</f>
        <v>8.9285714285714298E-3</v>
      </c>
      <c r="H139" s="150">
        <f>6000*0.46</f>
        <v>2760</v>
      </c>
      <c r="I139" s="105">
        <f t="shared" si="31"/>
        <v>24.642857142857146</v>
      </c>
    </row>
    <row r="140" spans="1:12" s="1" customFormat="1">
      <c r="A140" s="146"/>
      <c r="B140" s="5" t="s">
        <v>38</v>
      </c>
      <c r="C140" s="5" t="s">
        <v>17</v>
      </c>
      <c r="D140" s="5">
        <v>1</v>
      </c>
      <c r="E140" s="7">
        <f>248*8*(A138/1979)</f>
        <v>112.28297119757453</v>
      </c>
      <c r="F140" s="29">
        <f>E140/A138</f>
        <v>1.0025265285497726</v>
      </c>
      <c r="G140" s="40">
        <f t="shared" ref="G140:G151" si="32">D140/E140*F140</f>
        <v>8.9285714285714298E-3</v>
      </c>
      <c r="H140" s="150">
        <f>(6000+20982.72)*0.46</f>
        <v>12412.051200000002</v>
      </c>
      <c r="I140" s="105">
        <f t="shared" si="31"/>
        <v>110.82188571428574</v>
      </c>
    </row>
    <row r="141" spans="1:12" s="1" customFormat="1">
      <c r="A141" s="146"/>
      <c r="B141" s="5" t="s">
        <v>98</v>
      </c>
      <c r="C141" s="5" t="s">
        <v>17</v>
      </c>
      <c r="D141" s="5">
        <v>1</v>
      </c>
      <c r="E141" s="7">
        <f>248*8*(A138/1979)</f>
        <v>112.28297119757453</v>
      </c>
      <c r="F141" s="29">
        <f>E141/A138</f>
        <v>1.0025265285497726</v>
      </c>
      <c r="G141" s="40">
        <f t="shared" si="32"/>
        <v>8.9285714285714298E-3</v>
      </c>
      <c r="H141" s="150"/>
      <c r="I141" s="105">
        <f t="shared" si="31"/>
        <v>0</v>
      </c>
    </row>
    <row r="142" spans="1:12" s="1" customFormat="1">
      <c r="A142" s="146"/>
      <c r="B142" s="5" t="s">
        <v>56</v>
      </c>
      <c r="C142" s="5" t="s">
        <v>17</v>
      </c>
      <c r="D142" s="5">
        <v>1</v>
      </c>
      <c r="E142" s="7">
        <f>248*8*(A138/1979)</f>
        <v>112.28297119757453</v>
      </c>
      <c r="F142" s="29">
        <f>E142/A138</f>
        <v>1.0025265285497726</v>
      </c>
      <c r="G142" s="40">
        <f t="shared" si="32"/>
        <v>8.9285714285714298E-3</v>
      </c>
      <c r="H142" s="150">
        <f>16000*0.46</f>
        <v>7360</v>
      </c>
      <c r="I142" s="105">
        <f t="shared" si="31"/>
        <v>65.714285714285722</v>
      </c>
    </row>
    <row r="143" spans="1:12" s="1" customFormat="1">
      <c r="A143" s="146"/>
      <c r="B143" s="5" t="s">
        <v>41</v>
      </c>
      <c r="C143" s="5" t="s">
        <v>17</v>
      </c>
      <c r="D143" s="5">
        <v>1</v>
      </c>
      <c r="E143" s="7">
        <f>248*8*(A138/1979)</f>
        <v>112.28297119757453</v>
      </c>
      <c r="F143" s="29">
        <f>E143/A138</f>
        <v>1.0025265285497726</v>
      </c>
      <c r="G143" s="40">
        <f t="shared" si="32"/>
        <v>8.9285714285714298E-3</v>
      </c>
      <c r="H143" s="150">
        <f>19590*0.46</f>
        <v>9011.4</v>
      </c>
      <c r="I143" s="105">
        <f t="shared" si="31"/>
        <v>80.458928571428572</v>
      </c>
    </row>
    <row r="144" spans="1:12" s="1" customFormat="1">
      <c r="A144" s="146"/>
      <c r="B144" s="5" t="s">
        <v>63</v>
      </c>
      <c r="C144" s="5" t="s">
        <v>17</v>
      </c>
      <c r="D144" s="5">
        <v>1</v>
      </c>
      <c r="E144" s="7">
        <f>248*8*(A138/1979)</f>
        <v>112.28297119757453</v>
      </c>
      <c r="F144" s="29">
        <f>E144/A138</f>
        <v>1.0025265285497726</v>
      </c>
      <c r="G144" s="40">
        <f t="shared" si="32"/>
        <v>8.9285714285714298E-3</v>
      </c>
      <c r="H144" s="150">
        <f>30000*0.46</f>
        <v>13800</v>
      </c>
      <c r="I144" s="105">
        <f t="shared" si="31"/>
        <v>123.21428571428574</v>
      </c>
    </row>
    <row r="145" spans="1:20" s="1" customFormat="1">
      <c r="A145" s="146"/>
      <c r="B145" s="35" t="s">
        <v>55</v>
      </c>
      <c r="C145" s="5" t="s">
        <v>17</v>
      </c>
      <c r="D145" s="5">
        <v>1</v>
      </c>
      <c r="E145" s="7">
        <f>248*8*(A138/1979)</f>
        <v>112.28297119757453</v>
      </c>
      <c r="F145" s="29">
        <f>E145/A138</f>
        <v>1.0025265285497726</v>
      </c>
      <c r="G145" s="40">
        <f t="shared" si="32"/>
        <v>8.9285714285714298E-3</v>
      </c>
      <c r="H145" s="150">
        <f>26400*0.46</f>
        <v>12144</v>
      </c>
      <c r="I145" s="105">
        <f t="shared" si="31"/>
        <v>108.42857142857144</v>
      </c>
    </row>
    <row r="146" spans="1:20" s="1" customFormat="1">
      <c r="A146" s="146"/>
      <c r="B146" s="55" t="s">
        <v>84</v>
      </c>
      <c r="C146" s="5" t="s">
        <v>17</v>
      </c>
      <c r="D146" s="5">
        <v>1</v>
      </c>
      <c r="E146" s="7">
        <f>248*8*(A138/1979)</f>
        <v>112.28297119757453</v>
      </c>
      <c r="F146" s="29">
        <f>E146/A138</f>
        <v>1.0025265285497726</v>
      </c>
      <c r="G146" s="40">
        <f>D146/E146*F146</f>
        <v>8.9285714285714298E-3</v>
      </c>
      <c r="H146" s="150">
        <f>12000*0.46</f>
        <v>5520</v>
      </c>
      <c r="I146" s="105">
        <f t="shared" si="31"/>
        <v>49.285714285714292</v>
      </c>
    </row>
    <row r="147" spans="1:20" s="1" customFormat="1" ht="30">
      <c r="A147" s="146"/>
      <c r="B147" s="55" t="s">
        <v>113</v>
      </c>
      <c r="C147" s="5" t="s">
        <v>17</v>
      </c>
      <c r="D147" s="5">
        <v>1</v>
      </c>
      <c r="E147" s="7">
        <f>248*8*(A138/1979)</f>
        <v>112.28297119757453</v>
      </c>
      <c r="F147" s="29">
        <f>E147/A138</f>
        <v>1.0025265285497726</v>
      </c>
      <c r="G147" s="40">
        <f t="shared" si="32"/>
        <v>8.9285714285714298E-3</v>
      </c>
      <c r="H147" s="150"/>
      <c r="I147" s="105">
        <f t="shared" si="31"/>
        <v>0</v>
      </c>
    </row>
    <row r="148" spans="1:20" s="1" customFormat="1">
      <c r="A148" s="125"/>
      <c r="B148" s="55" t="s">
        <v>114</v>
      </c>
      <c r="C148" s="5" t="s">
        <v>17</v>
      </c>
      <c r="D148" s="5">
        <v>1</v>
      </c>
      <c r="E148" s="7">
        <f>248*8*(A138/1979)</f>
        <v>112.28297119757453</v>
      </c>
      <c r="F148" s="29">
        <f>E148/A138</f>
        <v>1.0025265285497726</v>
      </c>
      <c r="G148" s="40">
        <f t="shared" si="32"/>
        <v>8.9285714285714298E-3</v>
      </c>
      <c r="H148" s="150">
        <f>2990*0.46</f>
        <v>1375.4</v>
      </c>
      <c r="I148" s="105">
        <f t="shared" si="31"/>
        <v>12.280357142857145</v>
      </c>
    </row>
    <row r="149" spans="1:20" s="1" customFormat="1">
      <c r="A149" s="125"/>
      <c r="B149" s="55" t="s">
        <v>39</v>
      </c>
      <c r="C149" s="5" t="s">
        <v>17</v>
      </c>
      <c r="D149" s="5">
        <v>1</v>
      </c>
      <c r="E149" s="7">
        <f>248*8*(A138/1979)</f>
        <v>112.28297119757453</v>
      </c>
      <c r="F149" s="29">
        <f>E149/A138</f>
        <v>1.0025265285497726</v>
      </c>
      <c r="G149" s="40">
        <f t="shared" si="32"/>
        <v>8.9285714285714298E-3</v>
      </c>
      <c r="H149" s="150">
        <f>15575*0.46</f>
        <v>7164.5</v>
      </c>
      <c r="I149" s="105">
        <f t="shared" si="31"/>
        <v>63.968750000000007</v>
      </c>
    </row>
    <row r="150" spans="1:20" s="1" customFormat="1">
      <c r="A150" s="125"/>
      <c r="B150" s="55" t="s">
        <v>122</v>
      </c>
      <c r="C150" s="5" t="s">
        <v>17</v>
      </c>
      <c r="D150" s="5">
        <v>1</v>
      </c>
      <c r="E150" s="7">
        <f>248*8*(A138/1979)</f>
        <v>112.28297119757453</v>
      </c>
      <c r="F150" s="29">
        <f>E150/A138</f>
        <v>1.0025265285497726</v>
      </c>
      <c r="G150" s="40">
        <f t="shared" si="32"/>
        <v>8.9285714285714298E-3</v>
      </c>
      <c r="H150" s="150">
        <f>(2292.54+12155.03)*0.46</f>
        <v>6645.8822</v>
      </c>
      <c r="I150" s="105">
        <f t="shared" si="31"/>
        <v>59.338233928571434</v>
      </c>
    </row>
    <row r="151" spans="1:20" s="1" customFormat="1" ht="13.7" customHeight="1">
      <c r="A151" s="125"/>
      <c r="B151" s="55" t="s">
        <v>115</v>
      </c>
      <c r="C151" s="5" t="s">
        <v>17</v>
      </c>
      <c r="D151" s="5">
        <v>1</v>
      </c>
      <c r="E151" s="7">
        <f>248*8*(A138/1979)</f>
        <v>112.28297119757453</v>
      </c>
      <c r="F151" s="29">
        <f>E151/A138</f>
        <v>1.0025265285497726</v>
      </c>
      <c r="G151" s="40">
        <f t="shared" si="32"/>
        <v>8.9285714285714298E-3</v>
      </c>
      <c r="H151" s="150">
        <f>3000*0.46</f>
        <v>1380</v>
      </c>
      <c r="I151" s="105">
        <f t="shared" si="31"/>
        <v>12.321428571428573</v>
      </c>
    </row>
    <row r="152" spans="1:20" s="1" customFormat="1" ht="15.75" thickBot="1">
      <c r="A152" s="126"/>
      <c r="B152" s="18"/>
      <c r="C152" s="18"/>
      <c r="D152" s="18"/>
      <c r="E152" s="18"/>
      <c r="F152" s="18"/>
      <c r="G152" s="21"/>
      <c r="H152" s="42"/>
      <c r="I152" s="109">
        <f>SUM(I137:I151)</f>
        <v>876.47369107142868</v>
      </c>
      <c r="J152" s="145">
        <f>(21217+19200+6000+6000+30000+26400+15575+12000+16000+19590+2292.54+2990+20982.72+12155.03+3000)*0.46</f>
        <v>98165.053400000004</v>
      </c>
      <c r="K152" s="142">
        <f>I152*A138</f>
        <v>98165.053400000004</v>
      </c>
      <c r="L152" s="57">
        <f>J152-K152</f>
        <v>0</v>
      </c>
    </row>
    <row r="153" spans="1:20">
      <c r="I153" s="81"/>
    </row>
    <row r="154" spans="1:20" ht="19.5" thickBot="1">
      <c r="A154" s="128" t="s">
        <v>78</v>
      </c>
      <c r="H154"/>
      <c r="I154" s="81"/>
      <c r="S154" s="1"/>
      <c r="T154" s="1"/>
    </row>
    <row r="155" spans="1:20" ht="105">
      <c r="A155" s="130" t="s">
        <v>2</v>
      </c>
      <c r="B155" s="23" t="s">
        <v>15</v>
      </c>
      <c r="C155" s="23" t="s">
        <v>14</v>
      </c>
      <c r="D155" s="23" t="s">
        <v>16</v>
      </c>
      <c r="E155" s="23" t="s">
        <v>27</v>
      </c>
      <c r="F155" s="23" t="s">
        <v>54</v>
      </c>
      <c r="G155" s="23" t="s">
        <v>29</v>
      </c>
      <c r="H155" s="23" t="s">
        <v>30</v>
      </c>
      <c r="I155" s="90" t="s">
        <v>11</v>
      </c>
      <c r="J155" s="2" t="s">
        <v>34</v>
      </c>
      <c r="K155" s="2" t="s">
        <v>33</v>
      </c>
    </row>
    <row r="156" spans="1:20" ht="15.75" thickBot="1">
      <c r="A156" s="134">
        <v>1</v>
      </c>
      <c r="B156" s="10">
        <v>2</v>
      </c>
      <c r="C156" s="10">
        <v>3</v>
      </c>
      <c r="D156" s="10">
        <v>4</v>
      </c>
      <c r="E156" s="10">
        <v>5</v>
      </c>
      <c r="F156" s="10">
        <v>6</v>
      </c>
      <c r="G156" s="10" t="s">
        <v>31</v>
      </c>
      <c r="H156" s="9">
        <v>8</v>
      </c>
      <c r="I156" s="91" t="s">
        <v>32</v>
      </c>
    </row>
    <row r="157" spans="1:20">
      <c r="A157" s="122" t="s">
        <v>64</v>
      </c>
      <c r="B157" s="13" t="s">
        <v>36</v>
      </c>
      <c r="C157" s="13" t="s">
        <v>17</v>
      </c>
      <c r="D157" s="13">
        <v>1</v>
      </c>
      <c r="E157" s="15">
        <f>248*8*(A158/1979)</f>
        <v>221.55836280949973</v>
      </c>
      <c r="F157" s="28">
        <f>E157/A158</f>
        <v>1.0025265285497724</v>
      </c>
      <c r="G157" s="41">
        <f>D157/E157*F157</f>
        <v>4.5248868778280538E-3</v>
      </c>
      <c r="H157" s="149">
        <f>56554*0.49</f>
        <v>27711.46</v>
      </c>
      <c r="I157" s="104">
        <f>H157*G157</f>
        <v>125.39122171945699</v>
      </c>
    </row>
    <row r="158" spans="1:20" s="1" customFormat="1">
      <c r="A158" s="120">
        <f>ком.усл!A62</f>
        <v>221</v>
      </c>
      <c r="B158" s="5" t="s">
        <v>37</v>
      </c>
      <c r="C158" s="5" t="s">
        <v>17</v>
      </c>
      <c r="D158" s="5">
        <v>1</v>
      </c>
      <c r="E158" s="7">
        <f>248*8*(A158/1979)</f>
        <v>221.55836280949973</v>
      </c>
      <c r="F158" s="29">
        <f>E158/A158</f>
        <v>1.0025265285497724</v>
      </c>
      <c r="G158" s="40">
        <f>D158/E158*F158</f>
        <v>4.5248868778280538E-3</v>
      </c>
      <c r="H158" s="150">
        <f>19200*0.49</f>
        <v>9408</v>
      </c>
      <c r="I158" s="105">
        <f t="shared" ref="I158:I171" si="33">H158*G158</f>
        <v>42.570135746606333</v>
      </c>
    </row>
    <row r="159" spans="1:20" s="1" customFormat="1">
      <c r="A159" s="146"/>
      <c r="B159" s="5" t="s">
        <v>40</v>
      </c>
      <c r="C159" s="5" t="s">
        <v>17</v>
      </c>
      <c r="D159" s="5">
        <v>1</v>
      </c>
      <c r="E159" s="7">
        <f>248*8*(A158/1979)</f>
        <v>221.55836280949973</v>
      </c>
      <c r="F159" s="29">
        <f>E159/A158</f>
        <v>1.0025265285497724</v>
      </c>
      <c r="G159" s="40">
        <f>D159/E159*F159</f>
        <v>4.5248868778280538E-3</v>
      </c>
      <c r="H159" s="150">
        <f>12000*0.49</f>
        <v>5880</v>
      </c>
      <c r="I159" s="105">
        <f t="shared" si="33"/>
        <v>26.606334841628957</v>
      </c>
    </row>
    <row r="160" spans="1:20" s="1" customFormat="1">
      <c r="A160" s="146"/>
      <c r="B160" s="5" t="s">
        <v>38</v>
      </c>
      <c r="C160" s="5" t="s">
        <v>17</v>
      </c>
      <c r="D160" s="5">
        <v>1</v>
      </c>
      <c r="E160" s="7">
        <f>248*8*(A158/1979)</f>
        <v>221.55836280949973</v>
      </c>
      <c r="F160" s="29">
        <f>E160/A158</f>
        <v>1.0025265285497724</v>
      </c>
      <c r="G160" s="40">
        <f t="shared" ref="G160:G171" si="34">D160/E160*F160</f>
        <v>4.5248868778280538E-3</v>
      </c>
      <c r="H160" s="150">
        <f>(5760+20982.72)*0.49</f>
        <v>13103.9328</v>
      </c>
      <c r="I160" s="105">
        <f t="shared" si="33"/>
        <v>59.293813574660632</v>
      </c>
    </row>
    <row r="161" spans="1:12" s="1" customFormat="1">
      <c r="A161" s="146"/>
      <c r="B161" s="5" t="s">
        <v>98</v>
      </c>
      <c r="C161" s="5" t="s">
        <v>17</v>
      </c>
      <c r="D161" s="5">
        <v>1</v>
      </c>
      <c r="E161" s="7">
        <f>248*8*(A158/1979)</f>
        <v>221.55836280949973</v>
      </c>
      <c r="F161" s="29">
        <f>E161/A158</f>
        <v>1.0025265285497724</v>
      </c>
      <c r="G161" s="40">
        <f t="shared" si="34"/>
        <v>4.5248868778280538E-3</v>
      </c>
      <c r="H161" s="150"/>
      <c r="I161" s="105">
        <f t="shared" si="33"/>
        <v>0</v>
      </c>
    </row>
    <row r="162" spans="1:12" s="1" customFormat="1">
      <c r="A162" s="146"/>
      <c r="B162" s="5" t="s">
        <v>56</v>
      </c>
      <c r="C162" s="5" t="s">
        <v>17</v>
      </c>
      <c r="D162" s="5">
        <v>1</v>
      </c>
      <c r="E162" s="7">
        <f>248*8*(A158/1979)</f>
        <v>221.55836280949973</v>
      </c>
      <c r="F162" s="29">
        <f>E162/A158</f>
        <v>1.0025265285497724</v>
      </c>
      <c r="G162" s="40">
        <f t="shared" si="34"/>
        <v>4.5248868778280538E-3</v>
      </c>
      <c r="H162" s="150">
        <f>14000*0.49</f>
        <v>6860</v>
      </c>
      <c r="I162" s="105">
        <f t="shared" si="33"/>
        <v>31.040723981900449</v>
      </c>
    </row>
    <row r="163" spans="1:12" s="1" customFormat="1">
      <c r="A163" s="146"/>
      <c r="B163" s="5" t="s">
        <v>41</v>
      </c>
      <c r="C163" s="5" t="s">
        <v>17</v>
      </c>
      <c r="D163" s="5">
        <v>1</v>
      </c>
      <c r="E163" s="7">
        <f>248*8*(A158/1979)</f>
        <v>221.55836280949973</v>
      </c>
      <c r="F163" s="29">
        <f>E163/A158</f>
        <v>1.0025265285497724</v>
      </c>
      <c r="G163" s="40">
        <f t="shared" si="34"/>
        <v>4.5248868778280538E-3</v>
      </c>
      <c r="H163" s="150">
        <f>29287*0.49</f>
        <v>14350.63</v>
      </c>
      <c r="I163" s="105">
        <f t="shared" si="33"/>
        <v>64.934977375565595</v>
      </c>
    </row>
    <row r="164" spans="1:12" s="1" customFormat="1">
      <c r="A164" s="146"/>
      <c r="B164" s="5" t="s">
        <v>63</v>
      </c>
      <c r="C164" s="5" t="s">
        <v>17</v>
      </c>
      <c r="D164" s="5">
        <v>1</v>
      </c>
      <c r="E164" s="7">
        <f>248*8*(A158/1979)</f>
        <v>221.55836280949973</v>
      </c>
      <c r="F164" s="29">
        <f>E164/A158</f>
        <v>1.0025265285497724</v>
      </c>
      <c r="G164" s="40">
        <f t="shared" si="34"/>
        <v>4.5248868778280538E-3</v>
      </c>
      <c r="H164" s="150">
        <f>30000*0.49</f>
        <v>14700</v>
      </c>
      <c r="I164" s="105">
        <f t="shared" si="33"/>
        <v>66.515837104072389</v>
      </c>
    </row>
    <row r="165" spans="1:12" s="1" customFormat="1">
      <c r="A165" s="146"/>
      <c r="B165" s="35" t="s">
        <v>55</v>
      </c>
      <c r="C165" s="5" t="s">
        <v>17</v>
      </c>
      <c r="D165" s="5">
        <v>1</v>
      </c>
      <c r="E165" s="7">
        <f>248*8*(A158/1979)</f>
        <v>221.55836280949973</v>
      </c>
      <c r="F165" s="29">
        <f>E165/A158</f>
        <v>1.0025265285497724</v>
      </c>
      <c r="G165" s="40">
        <f t="shared" si="34"/>
        <v>4.5248868778280538E-3</v>
      </c>
      <c r="H165" s="150">
        <f>50400*0.49</f>
        <v>24696</v>
      </c>
      <c r="I165" s="105">
        <f t="shared" si="33"/>
        <v>111.74660633484162</v>
      </c>
    </row>
    <row r="166" spans="1:12" s="1" customFormat="1">
      <c r="A166" s="125"/>
      <c r="B166" s="55" t="s">
        <v>84</v>
      </c>
      <c r="C166" s="5" t="s">
        <v>17</v>
      </c>
      <c r="D166" s="5">
        <v>1</v>
      </c>
      <c r="E166" s="7">
        <f>248*8*(A158/1979)</f>
        <v>221.55836280949973</v>
      </c>
      <c r="F166" s="29">
        <f>E166/A158</f>
        <v>1.0025265285497724</v>
      </c>
      <c r="G166" s="40">
        <f t="shared" si="34"/>
        <v>4.5248868778280538E-3</v>
      </c>
      <c r="H166" s="150">
        <f>12000*0.49</f>
        <v>5880</v>
      </c>
      <c r="I166" s="105">
        <f t="shared" si="33"/>
        <v>26.606334841628957</v>
      </c>
    </row>
    <row r="167" spans="1:12" s="1" customFormat="1" ht="30">
      <c r="A167" s="125"/>
      <c r="B167" s="55" t="s">
        <v>113</v>
      </c>
      <c r="C167" s="5" t="s">
        <v>17</v>
      </c>
      <c r="D167" s="5">
        <v>1</v>
      </c>
      <c r="E167" s="7">
        <f>248*8*(A158/1979)</f>
        <v>221.55836280949973</v>
      </c>
      <c r="F167" s="29">
        <f>E167/A158</f>
        <v>1.0025265285497724</v>
      </c>
      <c r="G167" s="40">
        <f t="shared" si="34"/>
        <v>4.5248868778280538E-3</v>
      </c>
      <c r="H167" s="150">
        <f>161394*0.49</f>
        <v>79083.06</v>
      </c>
      <c r="I167" s="105">
        <f t="shared" si="33"/>
        <v>357.84190045248863</v>
      </c>
    </row>
    <row r="168" spans="1:12" s="1" customFormat="1">
      <c r="A168" s="125"/>
      <c r="B168" s="55" t="s">
        <v>114</v>
      </c>
      <c r="C168" s="5" t="s">
        <v>17</v>
      </c>
      <c r="D168" s="5">
        <v>1</v>
      </c>
      <c r="E168" s="7">
        <f>248*8*(A158/1979)</f>
        <v>221.55836280949973</v>
      </c>
      <c r="F168" s="29">
        <f>E168/A158</f>
        <v>1.0025265285497724</v>
      </c>
      <c r="G168" s="40">
        <f t="shared" si="34"/>
        <v>4.5248868778280538E-3</v>
      </c>
      <c r="H168" s="150">
        <f>(4220+7000)*0.49</f>
        <v>5497.8</v>
      </c>
      <c r="I168" s="105">
        <f t="shared" si="33"/>
        <v>24.876923076923074</v>
      </c>
    </row>
    <row r="169" spans="1:12" s="1" customFormat="1">
      <c r="A169" s="125"/>
      <c r="B169" s="55" t="s">
        <v>39</v>
      </c>
      <c r="C169" s="5" t="s">
        <v>17</v>
      </c>
      <c r="D169" s="5">
        <v>1</v>
      </c>
      <c r="E169" s="7">
        <f>248*8*(A158/1979)</f>
        <v>221.55836280949973</v>
      </c>
      <c r="F169" s="29">
        <f>E169/A158</f>
        <v>1.0025265285497724</v>
      </c>
      <c r="G169" s="40">
        <f t="shared" si="34"/>
        <v>4.5248868778280538E-3</v>
      </c>
      <c r="H169" s="150">
        <f>9700*0.49</f>
        <v>4753</v>
      </c>
      <c r="I169" s="105">
        <f t="shared" si="33"/>
        <v>21.50678733031674</v>
      </c>
    </row>
    <row r="170" spans="1:12" s="1" customFormat="1">
      <c r="A170" s="125"/>
      <c r="B170" s="55" t="s">
        <v>122</v>
      </c>
      <c r="C170" s="5" t="s">
        <v>17</v>
      </c>
      <c r="D170" s="5">
        <v>1</v>
      </c>
      <c r="E170" s="7">
        <f>248*8*(A158/1979)</f>
        <v>221.55836280949973</v>
      </c>
      <c r="F170" s="29">
        <f>E170/A158</f>
        <v>1.0025265285497724</v>
      </c>
      <c r="G170" s="40">
        <f t="shared" si="34"/>
        <v>4.5248868778280538E-3</v>
      </c>
      <c r="H170" s="150">
        <f>(10373.9+4585.08)*0.49</f>
        <v>7329.9002</v>
      </c>
      <c r="I170" s="105">
        <f t="shared" si="33"/>
        <v>33.166969230769226</v>
      </c>
    </row>
    <row r="171" spans="1:12" s="1" customFormat="1" ht="13.7" customHeight="1">
      <c r="A171" s="125"/>
      <c r="B171" s="55" t="s">
        <v>115</v>
      </c>
      <c r="C171" s="5" t="s">
        <v>17</v>
      </c>
      <c r="D171" s="5">
        <v>1</v>
      </c>
      <c r="E171" s="7">
        <f>248*8*(A158/1979)</f>
        <v>221.55836280949973</v>
      </c>
      <c r="F171" s="29">
        <f>E171/A158</f>
        <v>1.0025265285497724</v>
      </c>
      <c r="G171" s="40">
        <f t="shared" si="34"/>
        <v>4.5248868778280538E-3</v>
      </c>
      <c r="H171" s="150">
        <f>3000*0.49</f>
        <v>1470</v>
      </c>
      <c r="I171" s="105">
        <f t="shared" si="33"/>
        <v>6.6515837104072393</v>
      </c>
    </row>
    <row r="172" spans="1:12" s="1" customFormat="1" ht="15.75" thickBot="1">
      <c r="A172" s="126"/>
      <c r="B172" s="18"/>
      <c r="C172" s="18"/>
      <c r="D172" s="18"/>
      <c r="E172" s="18"/>
      <c r="F172" s="18"/>
      <c r="G172" s="21"/>
      <c r="H172" s="42"/>
      <c r="I172" s="109">
        <f>SUM(I157:I171)</f>
        <v>998.7501493212668</v>
      </c>
      <c r="J172" s="145">
        <f>(56554+161394+19200+12000+5760+30000+50400+9700+12000+4220+14000+29287+4585.08+7000+20982.72+10373.9+3000)*0.49</f>
        <v>220723.78300000002</v>
      </c>
      <c r="K172" s="142">
        <f>I172*A158</f>
        <v>220723.78299999997</v>
      </c>
      <c r="L172" s="57">
        <f>J172-K172</f>
        <v>0</v>
      </c>
    </row>
    <row r="173" spans="1:12">
      <c r="A173" s="122" t="s">
        <v>69</v>
      </c>
      <c r="B173" s="13" t="s">
        <v>36</v>
      </c>
      <c r="C173" s="13" t="s">
        <v>17</v>
      </c>
      <c r="D173" s="13">
        <v>1</v>
      </c>
      <c r="E173" s="15">
        <f>248*8*(A174/1979)</f>
        <v>328.82870136432547</v>
      </c>
      <c r="F173" s="28">
        <f>E173/A174</f>
        <v>1.0025265285497729</v>
      </c>
      <c r="G173" s="41">
        <f>D173/E173*F173</f>
        <v>3.0487804878048786E-3</v>
      </c>
      <c r="H173" s="149">
        <f>87660*0.49</f>
        <v>42953.4</v>
      </c>
      <c r="I173" s="104">
        <f>H173*G173</f>
        <v>130.95548780487809</v>
      </c>
    </row>
    <row r="174" spans="1:12" s="1" customFormat="1">
      <c r="A174" s="120">
        <f>ком.усл!A67</f>
        <v>328</v>
      </c>
      <c r="B174" s="5" t="s">
        <v>37</v>
      </c>
      <c r="C174" s="5" t="s">
        <v>17</v>
      </c>
      <c r="D174" s="5">
        <v>1</v>
      </c>
      <c r="E174" s="7">
        <f>248*8*(A174/1979)</f>
        <v>328.82870136432547</v>
      </c>
      <c r="F174" s="29">
        <f>E174/A174</f>
        <v>1.0025265285497729</v>
      </c>
      <c r="G174" s="40">
        <f>D174/E174*F174</f>
        <v>3.0487804878048786E-3</v>
      </c>
      <c r="H174" s="150">
        <f>38400*0.49</f>
        <v>18816</v>
      </c>
      <c r="I174" s="105">
        <f t="shared" ref="I174:I184" si="35">H174*G174</f>
        <v>57.365853658536594</v>
      </c>
    </row>
    <row r="175" spans="1:12" s="1" customFormat="1">
      <c r="A175" s="146"/>
      <c r="B175" s="5" t="s">
        <v>40</v>
      </c>
      <c r="C175" s="5" t="s">
        <v>17</v>
      </c>
      <c r="D175" s="5">
        <v>1</v>
      </c>
      <c r="E175" s="7">
        <f>248*8*(A174/1979)</f>
        <v>328.82870136432547</v>
      </c>
      <c r="F175" s="29">
        <f>E175/A174</f>
        <v>1.0025265285497729</v>
      </c>
      <c r="G175" s="40">
        <f>D175/E175*F175</f>
        <v>3.0487804878048786E-3</v>
      </c>
      <c r="H175" s="150"/>
      <c r="I175" s="105">
        <f t="shared" si="35"/>
        <v>0</v>
      </c>
    </row>
    <row r="176" spans="1:12" s="1" customFormat="1">
      <c r="A176" s="146"/>
      <c r="B176" s="5" t="s">
        <v>38</v>
      </c>
      <c r="C176" s="5" t="s">
        <v>17</v>
      </c>
      <c r="D176" s="5">
        <v>1</v>
      </c>
      <c r="E176" s="7">
        <f>248*8*(A174/1979)</f>
        <v>328.82870136432547</v>
      </c>
      <c r="F176" s="29">
        <f>E176/A174</f>
        <v>1.0025265285497729</v>
      </c>
      <c r="G176" s="40">
        <f t="shared" ref="G176:G187" si="36">D176/E176*F176</f>
        <v>3.0487804878048786E-3</v>
      </c>
      <c r="H176" s="150">
        <f>41965.56*0.49</f>
        <v>20563.124399999997</v>
      </c>
      <c r="I176" s="105">
        <f t="shared" si="35"/>
        <v>62.692452439024393</v>
      </c>
    </row>
    <row r="177" spans="1:12" s="1" customFormat="1">
      <c r="A177" s="146"/>
      <c r="B177" s="5" t="s">
        <v>123</v>
      </c>
      <c r="C177" s="5" t="s">
        <v>17</v>
      </c>
      <c r="D177" s="5">
        <v>1</v>
      </c>
      <c r="E177" s="7">
        <f>248*8*(A174/1979)</f>
        <v>328.82870136432547</v>
      </c>
      <c r="F177" s="29">
        <f>E177/A174</f>
        <v>1.0025265285497729</v>
      </c>
      <c r="G177" s="40">
        <f t="shared" si="36"/>
        <v>3.0487804878048786E-3</v>
      </c>
      <c r="H177" s="150">
        <f>3084*0.49</f>
        <v>1511.16</v>
      </c>
      <c r="I177" s="105">
        <f t="shared" si="35"/>
        <v>4.6071951219512206</v>
      </c>
    </row>
    <row r="178" spans="1:12" s="1" customFormat="1">
      <c r="A178" s="146"/>
      <c r="B178" s="5" t="s">
        <v>56</v>
      </c>
      <c r="C178" s="5" t="s">
        <v>17</v>
      </c>
      <c r="D178" s="5">
        <v>1</v>
      </c>
      <c r="E178" s="7">
        <f>248*8*(A174/1979)</f>
        <v>328.82870136432547</v>
      </c>
      <c r="F178" s="29">
        <f>E178/A174</f>
        <v>1.0025265285497729</v>
      </c>
      <c r="G178" s="40">
        <f t="shared" si="36"/>
        <v>3.0487804878048786E-3</v>
      </c>
      <c r="H178" s="150">
        <f>13900*0.49</f>
        <v>6811</v>
      </c>
      <c r="I178" s="105">
        <f t="shared" si="35"/>
        <v>20.765243902439028</v>
      </c>
    </row>
    <row r="179" spans="1:12" s="1" customFormat="1">
      <c r="A179" s="146"/>
      <c r="B179" s="5" t="s">
        <v>41</v>
      </c>
      <c r="C179" s="5" t="s">
        <v>17</v>
      </c>
      <c r="D179" s="5">
        <v>1</v>
      </c>
      <c r="E179" s="7">
        <f>248*8*(A174/1979)</f>
        <v>328.82870136432547</v>
      </c>
      <c r="F179" s="29">
        <f>E179/A174</f>
        <v>1.0025265285497729</v>
      </c>
      <c r="G179" s="40">
        <f t="shared" si="36"/>
        <v>3.0487804878048786E-3</v>
      </c>
      <c r="H179" s="150">
        <f>31710*0.49</f>
        <v>15537.9</v>
      </c>
      <c r="I179" s="105">
        <f t="shared" si="35"/>
        <v>47.371646341463425</v>
      </c>
    </row>
    <row r="180" spans="1:12" s="1" customFormat="1">
      <c r="A180" s="146"/>
      <c r="B180" s="5" t="s">
        <v>63</v>
      </c>
      <c r="C180" s="5" t="s">
        <v>17</v>
      </c>
      <c r="D180" s="5">
        <v>1</v>
      </c>
      <c r="E180" s="7">
        <f>248*8*(A174/1979)</f>
        <v>328.82870136432547</v>
      </c>
      <c r="F180" s="29">
        <f>E180/A174</f>
        <v>1.0025265285497729</v>
      </c>
      <c r="G180" s="40">
        <f t="shared" si="36"/>
        <v>3.0487804878048786E-3</v>
      </c>
      <c r="H180" s="150">
        <f>60000*0.49</f>
        <v>29400</v>
      </c>
      <c r="I180" s="105">
        <f t="shared" si="35"/>
        <v>89.634146341463435</v>
      </c>
    </row>
    <row r="181" spans="1:12" s="1" customFormat="1">
      <c r="A181" s="146"/>
      <c r="B181" s="35" t="s">
        <v>55</v>
      </c>
      <c r="C181" s="5" t="s">
        <v>17</v>
      </c>
      <c r="D181" s="5">
        <v>1</v>
      </c>
      <c r="E181" s="7">
        <f>248*8*(A174/1979)</f>
        <v>328.82870136432547</v>
      </c>
      <c r="F181" s="29">
        <f>E181/A174</f>
        <v>1.0025265285497729</v>
      </c>
      <c r="G181" s="40">
        <f t="shared" si="36"/>
        <v>3.0487804878048786E-3</v>
      </c>
      <c r="H181" s="150">
        <f>50400*0.49</f>
        <v>24696</v>
      </c>
      <c r="I181" s="105">
        <f t="shared" si="35"/>
        <v>75.292682926829286</v>
      </c>
    </row>
    <row r="182" spans="1:12" s="1" customFormat="1">
      <c r="A182" s="146"/>
      <c r="B182" s="55" t="s">
        <v>84</v>
      </c>
      <c r="C182" s="5" t="s">
        <v>17</v>
      </c>
      <c r="D182" s="5">
        <v>1</v>
      </c>
      <c r="E182" s="7">
        <f>248*8*(A174/1979)</f>
        <v>328.82870136432547</v>
      </c>
      <c r="F182" s="29">
        <f>E182/A174</f>
        <v>1.0025265285497729</v>
      </c>
      <c r="G182" s="40">
        <f t="shared" si="36"/>
        <v>3.0487804878048786E-3</v>
      </c>
      <c r="H182" s="150">
        <f>16800*0.49</f>
        <v>8232</v>
      </c>
      <c r="I182" s="105">
        <f t="shared" si="35"/>
        <v>25.09756097560976</v>
      </c>
    </row>
    <row r="183" spans="1:12" s="1" customFormat="1" ht="30">
      <c r="A183" s="146"/>
      <c r="B183" s="55" t="s">
        <v>113</v>
      </c>
      <c r="C183" s="5" t="s">
        <v>17</v>
      </c>
      <c r="D183" s="5">
        <v>1</v>
      </c>
      <c r="E183" s="7">
        <f>248*8*(A174/1979)</f>
        <v>328.82870136432547</v>
      </c>
      <c r="F183" s="29">
        <f>E183/A174</f>
        <v>1.0025265285497729</v>
      </c>
      <c r="G183" s="40">
        <f t="shared" si="36"/>
        <v>3.0487804878048786E-3</v>
      </c>
      <c r="H183" s="150"/>
      <c r="I183" s="105">
        <f t="shared" si="35"/>
        <v>0</v>
      </c>
    </row>
    <row r="184" spans="1:12" s="1" customFormat="1">
      <c r="A184" s="146"/>
      <c r="B184" s="55" t="s">
        <v>114</v>
      </c>
      <c r="C184" s="5" t="s">
        <v>17</v>
      </c>
      <c r="D184" s="5">
        <v>1</v>
      </c>
      <c r="E184" s="7">
        <f>248*8*(A174/1979)</f>
        <v>328.82870136432547</v>
      </c>
      <c r="F184" s="29">
        <f>E184/A174</f>
        <v>1.0025265285497729</v>
      </c>
      <c r="G184" s="40">
        <f t="shared" si="36"/>
        <v>3.0487804878048786E-3</v>
      </c>
      <c r="H184" s="150">
        <f>(129600+12000)*0.49</f>
        <v>69384</v>
      </c>
      <c r="I184" s="105">
        <f t="shared" si="35"/>
        <v>211.53658536585368</v>
      </c>
    </row>
    <row r="185" spans="1:12" s="1" customFormat="1">
      <c r="A185" s="125"/>
      <c r="B185" s="55" t="s">
        <v>39</v>
      </c>
      <c r="C185" s="5" t="s">
        <v>17</v>
      </c>
      <c r="D185" s="5">
        <v>1</v>
      </c>
      <c r="E185" s="7">
        <f>248*8*(A174/1979)</f>
        <v>328.82870136432547</v>
      </c>
      <c r="F185" s="29">
        <f>E185/A174</f>
        <v>1.0025265285497729</v>
      </c>
      <c r="G185" s="40">
        <f t="shared" si="36"/>
        <v>3.0487804878048786E-3</v>
      </c>
      <c r="H185" s="150">
        <f>14748*0.49</f>
        <v>7226.5199999999995</v>
      </c>
      <c r="I185" s="105">
        <f>H185*G185</f>
        <v>22.03207317073171</v>
      </c>
    </row>
    <row r="186" spans="1:12" s="1" customFormat="1">
      <c r="A186" s="125"/>
      <c r="B186" s="55" t="s">
        <v>122</v>
      </c>
      <c r="C186" s="5" t="s">
        <v>17</v>
      </c>
      <c r="D186" s="5">
        <v>1</v>
      </c>
      <c r="E186" s="7">
        <f>248*8*(A174/1979)</f>
        <v>328.82870136432547</v>
      </c>
      <c r="F186" s="29">
        <f>E186/A174</f>
        <v>1.0025265285497729</v>
      </c>
      <c r="G186" s="40">
        <f t="shared" si="36"/>
        <v>3.0487804878048786E-3</v>
      </c>
      <c r="H186" s="150">
        <f>(4585.08+10557.49)*0.49</f>
        <v>7419.8593000000001</v>
      </c>
      <c r="I186" s="105">
        <f t="shared" ref="I186:I187" si="37">H186*G186</f>
        <v>22.621522256097567</v>
      </c>
    </row>
    <row r="187" spans="1:12" s="1" customFormat="1" ht="13.7" customHeight="1">
      <c r="A187" s="125"/>
      <c r="B187" s="55" t="s">
        <v>115</v>
      </c>
      <c r="C187" s="5" t="s">
        <v>17</v>
      </c>
      <c r="D187" s="5">
        <v>1</v>
      </c>
      <c r="E187" s="7">
        <f>248*8*(A174/1979)</f>
        <v>328.82870136432547</v>
      </c>
      <c r="F187" s="29">
        <f>E187/A174</f>
        <v>1.0025265285497729</v>
      </c>
      <c r="G187" s="40">
        <f t="shared" si="36"/>
        <v>3.0487804878048786E-3</v>
      </c>
      <c r="H187" s="150">
        <f>3300*0.49</f>
        <v>1617</v>
      </c>
      <c r="I187" s="105">
        <f t="shared" si="37"/>
        <v>4.9298780487804885</v>
      </c>
    </row>
    <row r="188" spans="1:12" s="1" customFormat="1" ht="15.75" thickBot="1">
      <c r="A188" s="126"/>
      <c r="B188" s="18"/>
      <c r="C188" s="18"/>
      <c r="D188" s="18"/>
      <c r="E188" s="18"/>
      <c r="F188" s="18"/>
      <c r="G188" s="21"/>
      <c r="H188" s="42"/>
      <c r="I188" s="109">
        <f>SUM(I173:I187)</f>
        <v>774.9023283536585</v>
      </c>
      <c r="J188" s="145">
        <f>(87660+38400+60000+50400+14748+16800+13900+31710+4585.08+3084+129600+12000+41965.56+10557.49+3300)*0.49</f>
        <v>254167.96369999999</v>
      </c>
      <c r="K188" s="142">
        <f>I188*A174</f>
        <v>254167.96369999999</v>
      </c>
      <c r="L188" s="57">
        <f>J188-K188</f>
        <v>0</v>
      </c>
    </row>
    <row r="189" spans="1:12">
      <c r="A189" s="122" t="s">
        <v>70</v>
      </c>
      <c r="B189" s="13" t="s">
        <v>36</v>
      </c>
      <c r="C189" s="13" t="s">
        <v>17</v>
      </c>
      <c r="D189" s="13">
        <v>1</v>
      </c>
      <c r="E189" s="15">
        <f>248*8*(A190/1979)</f>
        <v>285.72006063668522</v>
      </c>
      <c r="F189" s="28">
        <f>E189/A190</f>
        <v>1.0025265285497726</v>
      </c>
      <c r="G189" s="41">
        <f>D189/E189*F189</f>
        <v>3.508771929824561E-3</v>
      </c>
      <c r="H189" s="149">
        <f>81014*0.49</f>
        <v>39696.86</v>
      </c>
      <c r="I189" s="104">
        <f>H189*G189</f>
        <v>139.28722807017542</v>
      </c>
    </row>
    <row r="190" spans="1:12" s="1" customFormat="1">
      <c r="A190" s="120">
        <f>ком.усл!A72</f>
        <v>285</v>
      </c>
      <c r="B190" s="5" t="s">
        <v>37</v>
      </c>
      <c r="C190" s="5" t="s">
        <v>17</v>
      </c>
      <c r="D190" s="5">
        <v>1</v>
      </c>
      <c r="E190" s="7">
        <f>248*8*(A190/1979)</f>
        <v>285.72006063668522</v>
      </c>
      <c r="F190" s="29">
        <f>E190/A190</f>
        <v>1.0025265285497726</v>
      </c>
      <c r="G190" s="40">
        <f>D190/E190*F190</f>
        <v>3.508771929824561E-3</v>
      </c>
      <c r="H190" s="150">
        <f>75600*0.49</f>
        <v>37044</v>
      </c>
      <c r="I190" s="105">
        <f t="shared" ref="I190:I203" si="38">H190*G190</f>
        <v>129.97894736842105</v>
      </c>
    </row>
    <row r="191" spans="1:12" s="1" customFormat="1">
      <c r="A191" s="146"/>
      <c r="B191" s="5" t="s">
        <v>40</v>
      </c>
      <c r="C191" s="5" t="s">
        <v>17</v>
      </c>
      <c r="D191" s="5">
        <v>1</v>
      </c>
      <c r="E191" s="7">
        <f>248*8*(A190/1979)</f>
        <v>285.72006063668522</v>
      </c>
      <c r="F191" s="29">
        <f>E191/A190</f>
        <v>1.0025265285497726</v>
      </c>
      <c r="G191" s="40">
        <f>D191/E191*F191</f>
        <v>3.508771929824561E-3</v>
      </c>
      <c r="H191" s="150">
        <f>79200*0.49</f>
        <v>38808</v>
      </c>
      <c r="I191" s="105">
        <f t="shared" si="38"/>
        <v>136.16842105263157</v>
      </c>
    </row>
    <row r="192" spans="1:12" s="1" customFormat="1">
      <c r="A192" s="146"/>
      <c r="B192" s="5" t="s">
        <v>38</v>
      </c>
      <c r="C192" s="5" t="s">
        <v>17</v>
      </c>
      <c r="D192" s="5">
        <v>1</v>
      </c>
      <c r="E192" s="7">
        <f>248*8*(A190/1979)</f>
        <v>285.72006063668522</v>
      </c>
      <c r="F192" s="29">
        <f>E192/A190</f>
        <v>1.0025265285497726</v>
      </c>
      <c r="G192" s="40">
        <f t="shared" ref="G192:G203" si="39">D192/E192*F192</f>
        <v>3.508771929824561E-3</v>
      </c>
      <c r="H192" s="150">
        <f>62948.16*0.49</f>
        <v>30844.598400000003</v>
      </c>
      <c r="I192" s="105">
        <f t="shared" si="38"/>
        <v>108.22666105263157</v>
      </c>
    </row>
    <row r="193" spans="1:12" s="1" customFormat="1">
      <c r="A193" s="146"/>
      <c r="B193" s="5" t="s">
        <v>123</v>
      </c>
      <c r="C193" s="5" t="s">
        <v>17</v>
      </c>
      <c r="D193" s="5">
        <v>1</v>
      </c>
      <c r="E193" s="7">
        <f>248*8*(A190/1979)</f>
        <v>285.72006063668522</v>
      </c>
      <c r="F193" s="29">
        <f>E193/A190</f>
        <v>1.0025265285497726</v>
      </c>
      <c r="G193" s="40">
        <f t="shared" si="39"/>
        <v>3.508771929824561E-3</v>
      </c>
      <c r="H193" s="150">
        <f>4640*0.49</f>
        <v>2273.6</v>
      </c>
      <c r="I193" s="105">
        <f t="shared" si="38"/>
        <v>7.9775438596491215</v>
      </c>
    </row>
    <row r="194" spans="1:12" s="1" customFormat="1">
      <c r="A194" s="146"/>
      <c r="B194" s="5" t="s">
        <v>56</v>
      </c>
      <c r="C194" s="5" t="s">
        <v>17</v>
      </c>
      <c r="D194" s="5">
        <v>1</v>
      </c>
      <c r="E194" s="7">
        <f>248*8*(A190/1979)</f>
        <v>285.72006063668522</v>
      </c>
      <c r="F194" s="29">
        <f>E194/A190</f>
        <v>1.0025265285497726</v>
      </c>
      <c r="G194" s="40">
        <f t="shared" si="39"/>
        <v>3.508771929824561E-3</v>
      </c>
      <c r="H194" s="150">
        <f>30000*0.49</f>
        <v>14700</v>
      </c>
      <c r="I194" s="105">
        <f t="shared" si="38"/>
        <v>51.578947368421048</v>
      </c>
    </row>
    <row r="195" spans="1:12" s="1" customFormat="1">
      <c r="A195" s="146"/>
      <c r="B195" s="5" t="s">
        <v>41</v>
      </c>
      <c r="C195" s="5" t="s">
        <v>17</v>
      </c>
      <c r="D195" s="5">
        <v>1</v>
      </c>
      <c r="E195" s="7">
        <f>248*8*(A190/1979)</f>
        <v>285.72006063668522</v>
      </c>
      <c r="F195" s="29">
        <f>E195/A190</f>
        <v>1.0025265285497726</v>
      </c>
      <c r="G195" s="40">
        <f t="shared" si="39"/>
        <v>3.508771929824561E-3</v>
      </c>
      <c r="H195" s="150">
        <f>43730*0.49</f>
        <v>21427.7</v>
      </c>
      <c r="I195" s="105">
        <f t="shared" si="38"/>
        <v>75.184912280701752</v>
      </c>
    </row>
    <row r="196" spans="1:12" s="1" customFormat="1">
      <c r="A196" s="146"/>
      <c r="B196" s="5" t="s">
        <v>63</v>
      </c>
      <c r="C196" s="5" t="s">
        <v>17</v>
      </c>
      <c r="D196" s="5">
        <v>1</v>
      </c>
      <c r="E196" s="7">
        <f>248*8*(A190/1979)</f>
        <v>285.72006063668522</v>
      </c>
      <c r="F196" s="29">
        <f>E196/A190</f>
        <v>1.0025265285497726</v>
      </c>
      <c r="G196" s="40">
        <f t="shared" si="39"/>
        <v>3.508771929824561E-3</v>
      </c>
      <c r="H196" s="150">
        <f>90000*0.49</f>
        <v>44100</v>
      </c>
      <c r="I196" s="105">
        <f t="shared" si="38"/>
        <v>154.73684210526315</v>
      </c>
    </row>
    <row r="197" spans="1:12" s="1" customFormat="1">
      <c r="A197" s="146"/>
      <c r="B197" s="35" t="s">
        <v>55</v>
      </c>
      <c r="C197" s="5" t="s">
        <v>17</v>
      </c>
      <c r="D197" s="5">
        <v>1</v>
      </c>
      <c r="E197" s="7">
        <f>248*8*(A190/1979)</f>
        <v>285.72006063668522</v>
      </c>
      <c r="F197" s="29">
        <f>E197/A190</f>
        <v>1.0025265285497726</v>
      </c>
      <c r="G197" s="40">
        <f t="shared" si="39"/>
        <v>3.508771929824561E-3</v>
      </c>
      <c r="H197" s="150">
        <f>25200*0.49</f>
        <v>12348</v>
      </c>
      <c r="I197" s="105">
        <f t="shared" si="38"/>
        <v>43.326315789473682</v>
      </c>
    </row>
    <row r="198" spans="1:12" s="1" customFormat="1">
      <c r="A198" s="146"/>
      <c r="B198" s="55" t="s">
        <v>84</v>
      </c>
      <c r="C198" s="5" t="s">
        <v>17</v>
      </c>
      <c r="D198" s="5">
        <v>1</v>
      </c>
      <c r="E198" s="7">
        <f>248*8*(A190/1979)</f>
        <v>285.72006063668522</v>
      </c>
      <c r="F198" s="29">
        <f>E198/A190</f>
        <v>1.0025265285497726</v>
      </c>
      <c r="G198" s="40">
        <f t="shared" si="39"/>
        <v>3.508771929824561E-3</v>
      </c>
      <c r="H198" s="150">
        <f>54000*0.49</f>
        <v>26460</v>
      </c>
      <c r="I198" s="105">
        <f t="shared" si="38"/>
        <v>92.84210526315789</v>
      </c>
    </row>
    <row r="199" spans="1:12" s="1" customFormat="1" ht="30">
      <c r="A199" s="146"/>
      <c r="B199" s="55" t="s">
        <v>113</v>
      </c>
      <c r="C199" s="5" t="s">
        <v>17</v>
      </c>
      <c r="D199" s="5">
        <v>1</v>
      </c>
      <c r="E199" s="7">
        <f>248*8*(A190/1979)</f>
        <v>285.72006063668522</v>
      </c>
      <c r="F199" s="29">
        <f>E199/A190</f>
        <v>1.0025265285497726</v>
      </c>
      <c r="G199" s="40">
        <f t="shared" si="39"/>
        <v>3.508771929824561E-3</v>
      </c>
      <c r="H199" s="150"/>
      <c r="I199" s="105">
        <f t="shared" si="38"/>
        <v>0</v>
      </c>
    </row>
    <row r="200" spans="1:12" s="1" customFormat="1">
      <c r="A200" s="125"/>
      <c r="B200" s="55" t="s">
        <v>114</v>
      </c>
      <c r="C200" s="5" t="s">
        <v>17</v>
      </c>
      <c r="D200" s="5">
        <v>1</v>
      </c>
      <c r="E200" s="7">
        <f>248*8*(A190/1979)</f>
        <v>285.72006063668522</v>
      </c>
      <c r="F200" s="29">
        <f>E200/A190</f>
        <v>1.0025265285497726</v>
      </c>
      <c r="G200" s="40">
        <f t="shared" si="39"/>
        <v>3.508771929824561E-3</v>
      </c>
      <c r="H200" s="150">
        <f>(18000+81990+12000)*0.49</f>
        <v>54875.1</v>
      </c>
      <c r="I200" s="105">
        <f t="shared" si="38"/>
        <v>192.54421052631577</v>
      </c>
    </row>
    <row r="201" spans="1:12" s="1" customFormat="1">
      <c r="A201" s="125"/>
      <c r="B201" s="55" t="s">
        <v>39</v>
      </c>
      <c r="C201" s="5" t="s">
        <v>17</v>
      </c>
      <c r="D201" s="5">
        <v>1</v>
      </c>
      <c r="E201" s="7">
        <f>248*8*(A190/1979)</f>
        <v>285.72006063668522</v>
      </c>
      <c r="F201" s="29">
        <f>E201/A190</f>
        <v>1.0025265285497726</v>
      </c>
      <c r="G201" s="40">
        <f t="shared" si="39"/>
        <v>3.508771929824561E-3</v>
      </c>
      <c r="H201" s="150">
        <f>27082*0.49</f>
        <v>13270.18</v>
      </c>
      <c r="I201" s="105">
        <f t="shared" si="38"/>
        <v>46.562035087719295</v>
      </c>
    </row>
    <row r="202" spans="1:12" s="1" customFormat="1">
      <c r="A202" s="125"/>
      <c r="B202" s="55" t="s">
        <v>122</v>
      </c>
      <c r="C202" s="5" t="s">
        <v>17</v>
      </c>
      <c r="D202" s="5">
        <v>1</v>
      </c>
      <c r="E202" s="7">
        <f>248*8*(A190/1979)</f>
        <v>285.72006063668522</v>
      </c>
      <c r="F202" s="29">
        <f>E202/A190</f>
        <v>1.0025265285497726</v>
      </c>
      <c r="G202" s="40">
        <f t="shared" si="39"/>
        <v>3.508771929824561E-3</v>
      </c>
      <c r="H202" s="150">
        <f>(4585.08+13220.63)*0.49</f>
        <v>8724.7978999999996</v>
      </c>
      <c r="I202" s="105">
        <f t="shared" si="38"/>
        <v>30.613325964912278</v>
      </c>
    </row>
    <row r="203" spans="1:12" s="1" customFormat="1" ht="13.7" customHeight="1">
      <c r="A203" s="125"/>
      <c r="B203" s="55" t="s">
        <v>115</v>
      </c>
      <c r="C203" s="5" t="s">
        <v>17</v>
      </c>
      <c r="D203" s="5">
        <v>1</v>
      </c>
      <c r="E203" s="7">
        <f>248*8*(A190/1979)</f>
        <v>285.72006063668522</v>
      </c>
      <c r="F203" s="29">
        <f>E203/A190</f>
        <v>1.0025265285497726</v>
      </c>
      <c r="G203" s="40">
        <f t="shared" si="39"/>
        <v>3.508771929824561E-3</v>
      </c>
      <c r="H203" s="150">
        <f>6000*0.49</f>
        <v>2940</v>
      </c>
      <c r="I203" s="105">
        <f t="shared" si="38"/>
        <v>10.315789473684209</v>
      </c>
    </row>
    <row r="204" spans="1:12" s="1" customFormat="1" ht="15.75" thickBot="1">
      <c r="A204" s="126"/>
      <c r="B204" s="18"/>
      <c r="C204" s="18"/>
      <c r="D204" s="18"/>
      <c r="E204" s="18"/>
      <c r="F204" s="18"/>
      <c r="G204" s="21"/>
      <c r="H204" s="42"/>
      <c r="I204" s="109">
        <f>SUM(I189:I203)</f>
        <v>1219.3432852631579</v>
      </c>
      <c r="J204" s="145">
        <f>(81014+75600+79200+90000+25200+27082+54000+18000+30000+43730+4585.08+4640+81990+12000+62948.16+13220.63+6000)*0.49</f>
        <v>347512.83629999997</v>
      </c>
      <c r="K204" s="142">
        <f>I204*A190</f>
        <v>347512.83630000002</v>
      </c>
      <c r="L204" s="57">
        <f>J204-K204</f>
        <v>0</v>
      </c>
    </row>
    <row r="205" spans="1:12">
      <c r="A205" s="122" t="s">
        <v>71</v>
      </c>
      <c r="B205" s="13" t="s">
        <v>36</v>
      </c>
      <c r="C205" s="13" t="s">
        <v>17</v>
      </c>
      <c r="D205" s="13">
        <v>1</v>
      </c>
      <c r="E205" s="15">
        <f>248*8*(A206/1979)</f>
        <v>419.05608893380497</v>
      </c>
      <c r="F205" s="28">
        <f>E205/A206</f>
        <v>1.0025265285497726</v>
      </c>
      <c r="G205" s="41">
        <f>D205/E205*F205</f>
        <v>2.3923444976076554E-3</v>
      </c>
      <c r="H205" s="149">
        <f>56556*0.45</f>
        <v>25450.2</v>
      </c>
      <c r="I205" s="104">
        <f>H205*G205</f>
        <v>60.885645933014352</v>
      </c>
    </row>
    <row r="206" spans="1:12" s="1" customFormat="1">
      <c r="A206" s="120">
        <f>ком.усл!A77</f>
        <v>418</v>
      </c>
      <c r="B206" s="5" t="s">
        <v>37</v>
      </c>
      <c r="C206" s="5" t="s">
        <v>17</v>
      </c>
      <c r="D206" s="5">
        <v>1</v>
      </c>
      <c r="E206" s="7">
        <f>248*8*(A206/1979)</f>
        <v>419.05608893380497</v>
      </c>
      <c r="F206" s="29">
        <f>E206/A206</f>
        <v>1.0025265285497726</v>
      </c>
      <c r="G206" s="40">
        <f>D206/E206*F206</f>
        <v>2.3923444976076554E-3</v>
      </c>
      <c r="H206" s="150">
        <f>21600*0.45</f>
        <v>9720</v>
      </c>
      <c r="I206" s="105">
        <f t="shared" ref="I206:I219" si="40">H206*G206</f>
        <v>23.253588516746412</v>
      </c>
    </row>
    <row r="207" spans="1:12" s="1" customFormat="1">
      <c r="A207" s="146"/>
      <c r="B207" s="5" t="s">
        <v>40</v>
      </c>
      <c r="C207" s="5" t="s">
        <v>17</v>
      </c>
      <c r="D207" s="5">
        <v>1</v>
      </c>
      <c r="E207" s="7">
        <f>248*8*(A206/1979)</f>
        <v>419.05608893380497</v>
      </c>
      <c r="F207" s="29">
        <f>E207/A206</f>
        <v>1.0025265285497726</v>
      </c>
      <c r="G207" s="40">
        <f>D207/E207*F207</f>
        <v>2.3923444976076554E-3</v>
      </c>
      <c r="H207" s="150">
        <f>6000*0.45</f>
        <v>2700</v>
      </c>
      <c r="I207" s="105">
        <f t="shared" si="40"/>
        <v>6.4593301435406696</v>
      </c>
    </row>
    <row r="208" spans="1:12" s="1" customFormat="1">
      <c r="A208" s="146"/>
      <c r="B208" s="5" t="s">
        <v>38</v>
      </c>
      <c r="C208" s="5" t="s">
        <v>17</v>
      </c>
      <c r="D208" s="5">
        <v>1</v>
      </c>
      <c r="E208" s="7">
        <f>248*8*(A206/1979)</f>
        <v>419.05608893380497</v>
      </c>
      <c r="F208" s="29">
        <f>E208/A206</f>
        <v>1.0025265285497726</v>
      </c>
      <c r="G208" s="40">
        <f t="shared" ref="G208:G219" si="41">D208/E208*F208</f>
        <v>2.3923444976076554E-3</v>
      </c>
      <c r="H208" s="150">
        <f>(4800+20982.72)*0.45</f>
        <v>11602.224</v>
      </c>
      <c r="I208" s="105">
        <f t="shared" si="40"/>
        <v>27.756516746411481</v>
      </c>
    </row>
    <row r="209" spans="1:12" s="1" customFormat="1">
      <c r="A209" s="146"/>
      <c r="B209" s="5" t="s">
        <v>124</v>
      </c>
      <c r="C209" s="5" t="s">
        <v>17</v>
      </c>
      <c r="D209" s="5">
        <v>1</v>
      </c>
      <c r="E209" s="7">
        <f>248*8*(A206/1979)</f>
        <v>419.05608893380497</v>
      </c>
      <c r="F209" s="29">
        <f>E209/A206</f>
        <v>1.0025265285497726</v>
      </c>
      <c r="G209" s="40">
        <f t="shared" si="41"/>
        <v>2.3923444976076554E-3</v>
      </c>
      <c r="H209" s="150">
        <f>454291.36*0.45</f>
        <v>204431.11199999999</v>
      </c>
      <c r="I209" s="105">
        <f t="shared" si="40"/>
        <v>489.06964593301433</v>
      </c>
    </row>
    <row r="210" spans="1:12" s="1" customFormat="1">
      <c r="A210" s="146"/>
      <c r="B210" s="5" t="s">
        <v>56</v>
      </c>
      <c r="C210" s="5" t="s">
        <v>17</v>
      </c>
      <c r="D210" s="5">
        <v>1</v>
      </c>
      <c r="E210" s="7">
        <f>248*8*(A206/1979)</f>
        <v>419.05608893380497</v>
      </c>
      <c r="F210" s="29">
        <f>E210/A206</f>
        <v>1.0025265285497726</v>
      </c>
      <c r="G210" s="40">
        <f t="shared" si="41"/>
        <v>2.3923444976076554E-3</v>
      </c>
      <c r="H210" s="150">
        <f>16000*0.45</f>
        <v>7200</v>
      </c>
      <c r="I210" s="105">
        <f t="shared" si="40"/>
        <v>17.224880382775119</v>
      </c>
    </row>
    <row r="211" spans="1:12" s="1" customFormat="1">
      <c r="A211" s="146"/>
      <c r="B211" s="5" t="s">
        <v>41</v>
      </c>
      <c r="C211" s="5" t="s">
        <v>17</v>
      </c>
      <c r="D211" s="5">
        <v>1</v>
      </c>
      <c r="E211" s="7">
        <f>248*8*(A206/1979)</f>
        <v>419.05608893380497</v>
      </c>
      <c r="F211" s="29">
        <f>E211/A206</f>
        <v>1.0025265285497726</v>
      </c>
      <c r="G211" s="40">
        <f t="shared" si="41"/>
        <v>2.3923444976076554E-3</v>
      </c>
      <c r="H211" s="150">
        <f>27020*0.45</f>
        <v>12159</v>
      </c>
      <c r="I211" s="105">
        <f t="shared" si="40"/>
        <v>29.088516746411482</v>
      </c>
    </row>
    <row r="212" spans="1:12" s="1" customFormat="1">
      <c r="A212" s="146"/>
      <c r="B212" s="5" t="s">
        <v>63</v>
      </c>
      <c r="C212" s="5" t="s">
        <v>17</v>
      </c>
      <c r="D212" s="5">
        <v>1</v>
      </c>
      <c r="E212" s="7">
        <f>248*8*(A206/1979)</f>
        <v>419.05608893380497</v>
      </c>
      <c r="F212" s="29">
        <f>E212/A206</f>
        <v>1.0025265285497726</v>
      </c>
      <c r="G212" s="40">
        <f t="shared" si="41"/>
        <v>2.3923444976076554E-3</v>
      </c>
      <c r="H212" s="150">
        <f>30000*0.45</f>
        <v>13500</v>
      </c>
      <c r="I212" s="105">
        <f t="shared" si="40"/>
        <v>32.296650717703351</v>
      </c>
    </row>
    <row r="213" spans="1:12" s="1" customFormat="1">
      <c r="A213" s="125"/>
      <c r="B213" s="35" t="s">
        <v>55</v>
      </c>
      <c r="C213" s="5" t="s">
        <v>17</v>
      </c>
      <c r="D213" s="5">
        <v>1</v>
      </c>
      <c r="E213" s="7">
        <f>248*8*(A206/1979)</f>
        <v>419.05608893380497</v>
      </c>
      <c r="F213" s="29">
        <f>E213/A206</f>
        <v>1.0025265285497726</v>
      </c>
      <c r="G213" s="40">
        <f t="shared" si="41"/>
        <v>2.3923444976076554E-3</v>
      </c>
      <c r="H213" s="150">
        <f>25200*0.45</f>
        <v>11340</v>
      </c>
      <c r="I213" s="105">
        <f t="shared" si="40"/>
        <v>27.129186602870814</v>
      </c>
    </row>
    <row r="214" spans="1:12" s="1" customFormat="1">
      <c r="A214" s="125"/>
      <c r="B214" s="55" t="s">
        <v>84</v>
      </c>
      <c r="C214" s="5" t="s">
        <v>17</v>
      </c>
      <c r="D214" s="5">
        <v>1</v>
      </c>
      <c r="E214" s="7">
        <f>248*8*(A206/1979)</f>
        <v>419.05608893380497</v>
      </c>
      <c r="F214" s="29">
        <f>E214/A206</f>
        <v>1.0025265285497726</v>
      </c>
      <c r="G214" s="40">
        <f t="shared" si="41"/>
        <v>2.3923444976076554E-3</v>
      </c>
      <c r="H214" s="150">
        <f>12000*0.45</f>
        <v>5400</v>
      </c>
      <c r="I214" s="105">
        <f t="shared" si="40"/>
        <v>12.918660287081339</v>
      </c>
    </row>
    <row r="215" spans="1:12" s="1" customFormat="1" ht="30">
      <c r="A215" s="125"/>
      <c r="B215" s="55" t="s">
        <v>113</v>
      </c>
      <c r="C215" s="5" t="s">
        <v>17</v>
      </c>
      <c r="D215" s="5">
        <v>1</v>
      </c>
      <c r="E215" s="7">
        <f>248*8*(A206/1979)</f>
        <v>419.05608893380497</v>
      </c>
      <c r="F215" s="29">
        <f>E215/A206</f>
        <v>1.0025265285497726</v>
      </c>
      <c r="G215" s="40">
        <f t="shared" si="41"/>
        <v>2.3923444976076554E-3</v>
      </c>
      <c r="H215" s="150">
        <f>161394*0.45</f>
        <v>72627.3</v>
      </c>
      <c r="I215" s="105">
        <f t="shared" si="40"/>
        <v>173.74952153110047</v>
      </c>
    </row>
    <row r="216" spans="1:12" s="1" customFormat="1" ht="15.75" customHeight="1">
      <c r="A216" s="125"/>
      <c r="B216" s="55" t="s">
        <v>114</v>
      </c>
      <c r="C216" s="5" t="s">
        <v>17</v>
      </c>
      <c r="D216" s="5">
        <v>1</v>
      </c>
      <c r="E216" s="7">
        <f>248*8*(A206/1979)</f>
        <v>419.05608893380497</v>
      </c>
      <c r="F216" s="29">
        <f>E216/A206</f>
        <v>1.0025265285497726</v>
      </c>
      <c r="G216" s="40">
        <f t="shared" si="41"/>
        <v>2.3923444976076554E-3</v>
      </c>
      <c r="H216" s="150">
        <f>(22716+3964.8)*0.45</f>
        <v>12006.36</v>
      </c>
      <c r="I216" s="105">
        <f t="shared" si="40"/>
        <v>28.723349282296653</v>
      </c>
    </row>
    <row r="217" spans="1:12" s="1" customFormat="1">
      <c r="A217" s="125"/>
      <c r="B217" s="55" t="s">
        <v>39</v>
      </c>
      <c r="C217" s="5" t="s">
        <v>17</v>
      </c>
      <c r="D217" s="5">
        <v>1</v>
      </c>
      <c r="E217" s="7">
        <f>248*8*(A206/1979)</f>
        <v>419.05608893380497</v>
      </c>
      <c r="F217" s="29">
        <f>E217/A206</f>
        <v>1.0025265285497726</v>
      </c>
      <c r="G217" s="40">
        <f t="shared" si="41"/>
        <v>2.3923444976076554E-3</v>
      </c>
      <c r="H217" s="150">
        <f>5428.23*0.45</f>
        <v>2442.7035000000001</v>
      </c>
      <c r="I217" s="105">
        <f t="shared" si="40"/>
        <v>5.8437882775119618</v>
      </c>
    </row>
    <row r="218" spans="1:12" s="1" customFormat="1">
      <c r="A218" s="125"/>
      <c r="B218" s="55" t="s">
        <v>122</v>
      </c>
      <c r="C218" s="5" t="s">
        <v>17</v>
      </c>
      <c r="D218" s="5">
        <v>1</v>
      </c>
      <c r="E218" s="7">
        <f>248*8*(A206/1979)</f>
        <v>419.05608893380497</v>
      </c>
      <c r="F218" s="29">
        <f>E218/A206</f>
        <v>1.0025265285497726</v>
      </c>
      <c r="G218" s="40">
        <f t="shared" si="41"/>
        <v>2.3923444976076554E-3</v>
      </c>
      <c r="H218" s="150">
        <f>(6877.62+12660.85)*0.45</f>
        <v>8792.3115000000016</v>
      </c>
      <c r="I218" s="105">
        <f t="shared" si="40"/>
        <v>21.034238038277515</v>
      </c>
    </row>
    <row r="219" spans="1:12" s="1" customFormat="1" ht="13.7" customHeight="1">
      <c r="A219" s="125"/>
      <c r="B219" s="55" t="s">
        <v>115</v>
      </c>
      <c r="C219" s="5" t="s">
        <v>17</v>
      </c>
      <c r="D219" s="5">
        <v>1</v>
      </c>
      <c r="E219" s="7">
        <f>248*8*(A206/1979)</f>
        <v>419.05608893380497</v>
      </c>
      <c r="F219" s="29">
        <f>E219/A206</f>
        <v>1.0025265285497726</v>
      </c>
      <c r="G219" s="40">
        <f t="shared" si="41"/>
        <v>2.3923444976076554E-3</v>
      </c>
      <c r="H219" s="150">
        <f>3000*0.45</f>
        <v>1350</v>
      </c>
      <c r="I219" s="105">
        <f t="shared" si="40"/>
        <v>3.2296650717703348</v>
      </c>
    </row>
    <row r="220" spans="1:12" s="1" customFormat="1" ht="15.75" thickBot="1">
      <c r="A220" s="126"/>
      <c r="B220" s="18"/>
      <c r="C220" s="18"/>
      <c r="D220" s="18"/>
      <c r="E220" s="18"/>
      <c r="F220" s="18"/>
      <c r="G220" s="21"/>
      <c r="H220" s="42"/>
      <c r="I220" s="109">
        <f>SUM(I205:I219)</f>
        <v>958.66318421052642</v>
      </c>
      <c r="J220" s="145">
        <f>(56556+161394+21600+6000+4800+30000+25200+5428.23+12000+3964.8+16000+27020+6877.62+22716+20982.72+12660.85+3000+454291.36)*0.45</f>
        <v>400721.21100000001</v>
      </c>
      <c r="K220" s="142">
        <f>I220*A206</f>
        <v>400721.21100000007</v>
      </c>
      <c r="L220" s="57">
        <f>J220-K220</f>
        <v>0</v>
      </c>
    </row>
    <row r="221" spans="1:12">
      <c r="A221" s="122" t="s">
        <v>72</v>
      </c>
      <c r="B221" s="13" t="s">
        <v>36</v>
      </c>
      <c r="C221" s="13" t="s">
        <v>17</v>
      </c>
      <c r="D221" s="13">
        <v>1</v>
      </c>
      <c r="E221" s="15">
        <f>248*8*(A222/1979)</f>
        <v>482.21526023244064</v>
      </c>
      <c r="F221" s="28">
        <f>E221/A222</f>
        <v>1.0025265285497726</v>
      </c>
      <c r="G221" s="41">
        <f>D221/E221*F221</f>
        <v>2.0790020790020791E-3</v>
      </c>
      <c r="H221" s="149">
        <f>84831*0.49</f>
        <v>41567.19</v>
      </c>
      <c r="I221" s="104">
        <f>H221*G221</f>
        <v>86.418274428274444</v>
      </c>
    </row>
    <row r="222" spans="1:12" s="1" customFormat="1">
      <c r="A222" s="120">
        <f>ком.усл!A82</f>
        <v>481</v>
      </c>
      <c r="B222" s="5" t="s">
        <v>37</v>
      </c>
      <c r="C222" s="5" t="s">
        <v>17</v>
      </c>
      <c r="D222" s="5">
        <v>1</v>
      </c>
      <c r="E222" s="7">
        <f>248*8*(A222/1979)</f>
        <v>482.21526023244064</v>
      </c>
      <c r="F222" s="29">
        <f>E222/A222</f>
        <v>1.0025265285497726</v>
      </c>
      <c r="G222" s="40">
        <f>D222/E222*F222</f>
        <v>2.0790020790020791E-3</v>
      </c>
      <c r="H222" s="150">
        <f>31200*0.49</f>
        <v>15288</v>
      </c>
      <c r="I222" s="105">
        <f t="shared" ref="I222:I235" si="42">H222*G222</f>
        <v>31.783783783783786</v>
      </c>
    </row>
    <row r="223" spans="1:12" s="1" customFormat="1">
      <c r="A223" s="146"/>
      <c r="B223" s="5" t="s">
        <v>40</v>
      </c>
      <c r="C223" s="5" t="s">
        <v>17</v>
      </c>
      <c r="D223" s="5">
        <v>1</v>
      </c>
      <c r="E223" s="7">
        <f>248*8*(A222/1979)</f>
        <v>482.21526023244064</v>
      </c>
      <c r="F223" s="29">
        <f>E223/A222</f>
        <v>1.0025265285497726</v>
      </c>
      <c r="G223" s="40">
        <f>D223/E223*F223</f>
        <v>2.0790020790020791E-3</v>
      </c>
      <c r="H223" s="150">
        <f>31200*0.49</f>
        <v>15288</v>
      </c>
      <c r="I223" s="105">
        <f t="shared" si="42"/>
        <v>31.783783783783786</v>
      </c>
    </row>
    <row r="224" spans="1:12" s="1" customFormat="1">
      <c r="A224" s="146"/>
      <c r="B224" s="5" t="s">
        <v>38</v>
      </c>
      <c r="C224" s="5" t="s">
        <v>17</v>
      </c>
      <c r="D224" s="5">
        <v>1</v>
      </c>
      <c r="E224" s="7">
        <f>248*8*(A222/1979)</f>
        <v>482.21526023244064</v>
      </c>
      <c r="F224" s="29">
        <f>E224/A222</f>
        <v>1.0025265285497726</v>
      </c>
      <c r="G224" s="40">
        <f t="shared" ref="G224:G235" si="43">D224/E224*F224</f>
        <v>2.0790020790020791E-3</v>
      </c>
      <c r="H224" s="150">
        <f>20982.72*0.49</f>
        <v>10281.532800000001</v>
      </c>
      <c r="I224" s="105">
        <f t="shared" si="42"/>
        <v>21.37532806652807</v>
      </c>
    </row>
    <row r="225" spans="1:12" s="1" customFormat="1">
      <c r="A225" s="146"/>
      <c r="B225" s="5" t="s">
        <v>123</v>
      </c>
      <c r="C225" s="5" t="s">
        <v>17</v>
      </c>
      <c r="D225" s="5">
        <v>1</v>
      </c>
      <c r="E225" s="7">
        <f>248*8*(A222/1979)</f>
        <v>482.21526023244064</v>
      </c>
      <c r="F225" s="29">
        <f>E225/A222</f>
        <v>1.0025265285497726</v>
      </c>
      <c r="G225" s="40">
        <f t="shared" si="43"/>
        <v>2.0790020790020791E-3</v>
      </c>
      <c r="H225" s="150">
        <f>18000*0.49</f>
        <v>8820</v>
      </c>
      <c r="I225" s="105">
        <f t="shared" si="42"/>
        <v>18.336798336798338</v>
      </c>
    </row>
    <row r="226" spans="1:12" s="1" customFormat="1">
      <c r="A226" s="146"/>
      <c r="B226" s="5" t="s">
        <v>56</v>
      </c>
      <c r="C226" s="5" t="s">
        <v>17</v>
      </c>
      <c r="D226" s="5">
        <v>1</v>
      </c>
      <c r="E226" s="7">
        <f>248*8*(A222/1979)</f>
        <v>482.21526023244064</v>
      </c>
      <c r="F226" s="29">
        <f>E226/A222</f>
        <v>1.0025265285497726</v>
      </c>
      <c r="G226" s="40">
        <f t="shared" si="43"/>
        <v>2.0790020790020791E-3</v>
      </c>
      <c r="H226" s="150">
        <f>14000*0.49</f>
        <v>6860</v>
      </c>
      <c r="I226" s="105">
        <f t="shared" si="42"/>
        <v>14.261954261954262</v>
      </c>
    </row>
    <row r="227" spans="1:12" s="1" customFormat="1">
      <c r="A227" s="146"/>
      <c r="B227" s="5" t="s">
        <v>41</v>
      </c>
      <c r="C227" s="5" t="s">
        <v>17</v>
      </c>
      <c r="D227" s="5">
        <v>1</v>
      </c>
      <c r="E227" s="7">
        <f>248*8*(A222/1979)</f>
        <v>482.21526023244064</v>
      </c>
      <c r="F227" s="29">
        <f>E227/A222</f>
        <v>1.0025265285497726</v>
      </c>
      <c r="G227" s="40">
        <f t="shared" si="43"/>
        <v>2.0790020790020791E-3</v>
      </c>
      <c r="H227" s="150">
        <f>17490*0.49</f>
        <v>8570.1</v>
      </c>
      <c r="I227" s="105">
        <f t="shared" si="42"/>
        <v>17.817255717255719</v>
      </c>
    </row>
    <row r="228" spans="1:12" s="1" customFormat="1">
      <c r="A228" s="146"/>
      <c r="B228" s="5" t="s">
        <v>63</v>
      </c>
      <c r="C228" s="5" t="s">
        <v>17</v>
      </c>
      <c r="D228" s="5">
        <v>1</v>
      </c>
      <c r="E228" s="7">
        <f>248*8*(A222/1979)</f>
        <v>482.21526023244064</v>
      </c>
      <c r="F228" s="29">
        <f>E228/A222</f>
        <v>1.0025265285497726</v>
      </c>
      <c r="G228" s="40">
        <f t="shared" si="43"/>
        <v>2.0790020790020791E-3</v>
      </c>
      <c r="H228" s="150">
        <f>30000*0.49</f>
        <v>14700</v>
      </c>
      <c r="I228" s="105">
        <f t="shared" si="42"/>
        <v>30.561330561330564</v>
      </c>
    </row>
    <row r="229" spans="1:12" s="1" customFormat="1">
      <c r="A229" s="146"/>
      <c r="B229" s="35" t="s">
        <v>55</v>
      </c>
      <c r="C229" s="5" t="s">
        <v>17</v>
      </c>
      <c r="D229" s="5">
        <v>1</v>
      </c>
      <c r="E229" s="7">
        <f>248*8*(A222/1979)</f>
        <v>482.21526023244064</v>
      </c>
      <c r="F229" s="29">
        <f>E229/A222</f>
        <v>1.0025265285497726</v>
      </c>
      <c r="G229" s="40">
        <f t="shared" si="43"/>
        <v>2.0790020790020791E-3</v>
      </c>
      <c r="H229" s="150">
        <f>50400*0.49</f>
        <v>24696</v>
      </c>
      <c r="I229" s="105">
        <f t="shared" si="42"/>
        <v>51.343035343035346</v>
      </c>
    </row>
    <row r="230" spans="1:12" s="1" customFormat="1">
      <c r="A230" s="146"/>
      <c r="B230" s="55" t="s">
        <v>84</v>
      </c>
      <c r="C230" s="5" t="s">
        <v>17</v>
      </c>
      <c r="D230" s="5">
        <v>1</v>
      </c>
      <c r="E230" s="7">
        <f>248*8*(A222/1979)</f>
        <v>482.21526023244064</v>
      </c>
      <c r="F230" s="29">
        <f>E230/A222</f>
        <v>1.0025265285497726</v>
      </c>
      <c r="G230" s="40">
        <f t="shared" si="43"/>
        <v>2.0790020790020791E-3</v>
      </c>
      <c r="H230" s="150">
        <f>12000*0.49</f>
        <v>5880</v>
      </c>
      <c r="I230" s="105">
        <f t="shared" si="42"/>
        <v>12.224532224532226</v>
      </c>
    </row>
    <row r="231" spans="1:12" s="1" customFormat="1" ht="30">
      <c r="A231" s="146"/>
      <c r="B231" s="55" t="s">
        <v>113</v>
      </c>
      <c r="C231" s="5" t="s">
        <v>17</v>
      </c>
      <c r="D231" s="5">
        <v>1</v>
      </c>
      <c r="E231" s="7">
        <f>248*8*(A222/1979)</f>
        <v>482.21526023244064</v>
      </c>
      <c r="F231" s="29">
        <f>E231/A222</f>
        <v>1.0025265285497726</v>
      </c>
      <c r="G231" s="40">
        <f t="shared" si="43"/>
        <v>2.0790020790020791E-3</v>
      </c>
      <c r="H231" s="150"/>
      <c r="I231" s="105">
        <f t="shared" si="42"/>
        <v>0</v>
      </c>
    </row>
    <row r="232" spans="1:12" s="1" customFormat="1">
      <c r="A232" s="146"/>
      <c r="B232" s="55" t="s">
        <v>114</v>
      </c>
      <c r="C232" s="5" t="s">
        <v>17</v>
      </c>
      <c r="D232" s="5">
        <v>1</v>
      </c>
      <c r="E232" s="7">
        <f>248*8*(A222/1979)</f>
        <v>482.21526023244064</v>
      </c>
      <c r="F232" s="29">
        <f>E232/A222</f>
        <v>1.0025265285497726</v>
      </c>
      <c r="G232" s="40">
        <f t="shared" si="43"/>
        <v>2.0790020790020791E-3</v>
      </c>
      <c r="H232" s="150">
        <f>15120*0.49</f>
        <v>7408.8</v>
      </c>
      <c r="I232" s="105">
        <f t="shared" si="42"/>
        <v>15.402910602910604</v>
      </c>
    </row>
    <row r="233" spans="1:12" s="1" customFormat="1">
      <c r="A233" s="125"/>
      <c r="B233" s="55" t="s">
        <v>39</v>
      </c>
      <c r="C233" s="5" t="s">
        <v>17</v>
      </c>
      <c r="D233" s="5">
        <v>1</v>
      </c>
      <c r="E233" s="7">
        <f>248*8*(A222/1979)</f>
        <v>482.21526023244064</v>
      </c>
      <c r="F233" s="29">
        <f>E233/A222</f>
        <v>1.0025265285497726</v>
      </c>
      <c r="G233" s="40">
        <f t="shared" si="43"/>
        <v>2.0790020790020791E-3</v>
      </c>
      <c r="H233" s="150">
        <f>15999*0.49</f>
        <v>7839.51</v>
      </c>
      <c r="I233" s="105">
        <f t="shared" si="42"/>
        <v>16.29835758835759</v>
      </c>
    </row>
    <row r="234" spans="1:12" s="1" customFormat="1">
      <c r="A234" s="125"/>
      <c r="B234" s="55" t="s">
        <v>122</v>
      </c>
      <c r="C234" s="5" t="s">
        <v>17</v>
      </c>
      <c r="D234" s="5">
        <v>1</v>
      </c>
      <c r="E234" s="7">
        <f>248*8*(A222/1979)</f>
        <v>482.21526023244064</v>
      </c>
      <c r="F234" s="29">
        <f>E234/A222</f>
        <v>1.0025265285497726</v>
      </c>
      <c r="G234" s="40">
        <f t="shared" si="43"/>
        <v>2.0790020790020791E-3</v>
      </c>
      <c r="H234" s="150">
        <f>(6877.22+12043.24)*0.49</f>
        <v>9271.0253999999986</v>
      </c>
      <c r="I234" s="105">
        <f t="shared" si="42"/>
        <v>19.274481081081078</v>
      </c>
    </row>
    <row r="235" spans="1:12" s="1" customFormat="1" ht="13.7" customHeight="1">
      <c r="A235" s="125"/>
      <c r="B235" s="55" t="s">
        <v>115</v>
      </c>
      <c r="C235" s="5" t="s">
        <v>17</v>
      </c>
      <c r="D235" s="5">
        <v>1</v>
      </c>
      <c r="E235" s="7">
        <f>248*8*(A222/1979)</f>
        <v>482.21526023244064</v>
      </c>
      <c r="F235" s="29">
        <f>E235/A222</f>
        <v>1.0025265285497726</v>
      </c>
      <c r="G235" s="40">
        <f t="shared" si="43"/>
        <v>2.0790020790020791E-3</v>
      </c>
      <c r="H235" s="150">
        <f>3000*0.49</f>
        <v>1470</v>
      </c>
      <c r="I235" s="105">
        <f t="shared" si="42"/>
        <v>3.0561330561330564</v>
      </c>
    </row>
    <row r="236" spans="1:12" s="1" customFormat="1" ht="15.75" thickBot="1">
      <c r="A236" s="126"/>
      <c r="B236" s="18"/>
      <c r="C236" s="18"/>
      <c r="D236" s="18"/>
      <c r="E236" s="18"/>
      <c r="F236" s="18"/>
      <c r="G236" s="21"/>
      <c r="H236" s="42"/>
      <c r="I236" s="109">
        <f>SUM(I221:I235)</f>
        <v>369.93795883575888</v>
      </c>
      <c r="J236" s="145">
        <f>(84831+31200+31200+30000+50400+15999+12000+15120+14000+17490+6877.22+18000+20982.72+12043.24+3000)*0.49</f>
        <v>177940.15819999998</v>
      </c>
      <c r="K236" s="142">
        <f>I236*A222</f>
        <v>177940.15820000003</v>
      </c>
      <c r="L236" s="57">
        <f>J236-K236</f>
        <v>0</v>
      </c>
    </row>
    <row r="237" spans="1:12">
      <c r="A237" s="122" t="s">
        <v>73</v>
      </c>
      <c r="B237" s="13" t="s">
        <v>36</v>
      </c>
      <c r="C237" s="13" t="s">
        <v>17</v>
      </c>
      <c r="D237" s="13">
        <v>1</v>
      </c>
      <c r="E237" s="15">
        <f>248*8*(A238/1979)</f>
        <v>302.76301162203129</v>
      </c>
      <c r="F237" s="28">
        <f>E237/A238</f>
        <v>1.0025265285497724</v>
      </c>
      <c r="G237" s="41">
        <f>D237/E237*F237</f>
        <v>3.3112582781456954E-3</v>
      </c>
      <c r="H237" s="149">
        <f>42415*0.49</f>
        <v>20783.349999999999</v>
      </c>
      <c r="I237" s="104">
        <f>H237*G237</f>
        <v>68.819039735099338</v>
      </c>
    </row>
    <row r="238" spans="1:12" s="1" customFormat="1">
      <c r="A238" s="120">
        <f>ком.усл!A87</f>
        <v>302</v>
      </c>
      <c r="B238" s="5" t="s">
        <v>37</v>
      </c>
      <c r="C238" s="5" t="s">
        <v>17</v>
      </c>
      <c r="D238" s="5">
        <v>1</v>
      </c>
      <c r="E238" s="7">
        <f>248*8*(A238/1979)</f>
        <v>302.76301162203129</v>
      </c>
      <c r="F238" s="29">
        <f>E238/A238</f>
        <v>1.0025265285497724</v>
      </c>
      <c r="G238" s="40">
        <f>D238/E238*F238</f>
        <v>3.3112582781456954E-3</v>
      </c>
      <c r="H238" s="150">
        <f>32400*0.49</f>
        <v>15876</v>
      </c>
      <c r="I238" s="105">
        <f t="shared" ref="I238:I251" si="44">H238*G238</f>
        <v>52.569536423841058</v>
      </c>
    </row>
    <row r="239" spans="1:12" s="1" customFormat="1">
      <c r="A239" s="146"/>
      <c r="B239" s="5" t="s">
        <v>40</v>
      </c>
      <c r="C239" s="5" t="s">
        <v>17</v>
      </c>
      <c r="D239" s="5">
        <v>1</v>
      </c>
      <c r="E239" s="7">
        <f>248*8*(A238/1979)</f>
        <v>302.76301162203129</v>
      </c>
      <c r="F239" s="29">
        <f>E239/A238</f>
        <v>1.0025265285497724</v>
      </c>
      <c r="G239" s="40">
        <f>D239/E239*F239</f>
        <v>3.3112582781456954E-3</v>
      </c>
      <c r="H239" s="150">
        <f>6000*0.49</f>
        <v>2940</v>
      </c>
      <c r="I239" s="105">
        <f t="shared" si="44"/>
        <v>9.7350993377483448</v>
      </c>
    </row>
    <row r="240" spans="1:12" s="1" customFormat="1">
      <c r="A240" s="146"/>
      <c r="B240" s="5" t="s">
        <v>38</v>
      </c>
      <c r="C240" s="5" t="s">
        <v>17</v>
      </c>
      <c r="D240" s="5">
        <v>1</v>
      </c>
      <c r="E240" s="7">
        <f>248*8*(A238/1979)</f>
        <v>302.76301162203129</v>
      </c>
      <c r="F240" s="29">
        <f>E240/A238</f>
        <v>1.0025265285497724</v>
      </c>
      <c r="G240" s="40">
        <f t="shared" ref="G240:G251" si="45">D240/E240*F240</f>
        <v>3.3112582781456954E-3</v>
      </c>
      <c r="H240" s="150">
        <f>20982.72*0.49</f>
        <v>10281.532800000001</v>
      </c>
      <c r="I240" s="105">
        <f t="shared" si="44"/>
        <v>34.044810596026494</v>
      </c>
    </row>
    <row r="241" spans="1:12" s="1" customFormat="1">
      <c r="A241" s="146"/>
      <c r="B241" s="5" t="s">
        <v>98</v>
      </c>
      <c r="C241" s="5" t="s">
        <v>17</v>
      </c>
      <c r="D241" s="5">
        <v>1</v>
      </c>
      <c r="E241" s="7">
        <f>248*8*(A238/1979)</f>
        <v>302.76301162203129</v>
      </c>
      <c r="F241" s="29">
        <f>E241/A238</f>
        <v>1.0025265285497724</v>
      </c>
      <c r="G241" s="40">
        <f t="shared" si="45"/>
        <v>3.3112582781456954E-3</v>
      </c>
      <c r="H241" s="150"/>
      <c r="I241" s="105">
        <f t="shared" si="44"/>
        <v>0</v>
      </c>
    </row>
    <row r="242" spans="1:12" s="1" customFormat="1">
      <c r="A242" s="146"/>
      <c r="B242" s="5" t="s">
        <v>56</v>
      </c>
      <c r="C242" s="5" t="s">
        <v>17</v>
      </c>
      <c r="D242" s="5">
        <v>1</v>
      </c>
      <c r="E242" s="7">
        <f>248*8*(A238/1979)</f>
        <v>302.76301162203129</v>
      </c>
      <c r="F242" s="29">
        <f>E242/A238</f>
        <v>1.0025265285497724</v>
      </c>
      <c r="G242" s="40">
        <f t="shared" si="45"/>
        <v>3.3112582781456954E-3</v>
      </c>
      <c r="H242" s="150">
        <f>10000*0.49</f>
        <v>4900</v>
      </c>
      <c r="I242" s="105">
        <f t="shared" si="44"/>
        <v>16.225165562913908</v>
      </c>
    </row>
    <row r="243" spans="1:12" s="1" customFormat="1">
      <c r="A243" s="146"/>
      <c r="B243" s="5" t="s">
        <v>41</v>
      </c>
      <c r="C243" s="5" t="s">
        <v>17</v>
      </c>
      <c r="D243" s="5">
        <v>1</v>
      </c>
      <c r="E243" s="7">
        <f>248*8*(A238/1979)</f>
        <v>302.76301162203129</v>
      </c>
      <c r="F243" s="29">
        <f>E243/A238</f>
        <v>1.0025265285497724</v>
      </c>
      <c r="G243" s="40">
        <f t="shared" si="45"/>
        <v>3.3112582781456954E-3</v>
      </c>
      <c r="H243" s="150">
        <f>10200*0.49</f>
        <v>4998</v>
      </c>
      <c r="I243" s="105">
        <f t="shared" si="44"/>
        <v>16.549668874172184</v>
      </c>
    </row>
    <row r="244" spans="1:12" s="1" customFormat="1">
      <c r="A244" s="146"/>
      <c r="B244" s="5" t="s">
        <v>63</v>
      </c>
      <c r="C244" s="5" t="s">
        <v>17</v>
      </c>
      <c r="D244" s="5">
        <v>1</v>
      </c>
      <c r="E244" s="7">
        <f>248*8*(A238/1979)</f>
        <v>302.76301162203129</v>
      </c>
      <c r="F244" s="29">
        <f>E244/A238</f>
        <v>1.0025265285497724</v>
      </c>
      <c r="G244" s="40">
        <f t="shared" si="45"/>
        <v>3.3112582781456954E-3</v>
      </c>
      <c r="H244" s="150">
        <f>30000*0.49</f>
        <v>14700</v>
      </c>
      <c r="I244" s="105">
        <f t="shared" si="44"/>
        <v>48.675496688741724</v>
      </c>
    </row>
    <row r="245" spans="1:12" s="1" customFormat="1">
      <c r="A245" s="146"/>
      <c r="B245" s="35" t="s">
        <v>55</v>
      </c>
      <c r="C245" s="5" t="s">
        <v>17</v>
      </c>
      <c r="D245" s="5">
        <v>1</v>
      </c>
      <c r="E245" s="7">
        <f>248*8*(A238/1979)</f>
        <v>302.76301162203129</v>
      </c>
      <c r="F245" s="29">
        <f>E245/A238</f>
        <v>1.0025265285497724</v>
      </c>
      <c r="G245" s="40">
        <f t="shared" si="45"/>
        <v>3.3112582781456954E-3</v>
      </c>
      <c r="H245" s="150">
        <f>25200*0.49</f>
        <v>12348</v>
      </c>
      <c r="I245" s="105">
        <f t="shared" si="44"/>
        <v>40.88741721854305</v>
      </c>
    </row>
    <row r="246" spans="1:12" s="1" customFormat="1">
      <c r="A246" s="146"/>
      <c r="B246" s="55" t="s">
        <v>84</v>
      </c>
      <c r="C246" s="5" t="s">
        <v>17</v>
      </c>
      <c r="D246" s="5">
        <v>1</v>
      </c>
      <c r="E246" s="7">
        <f>248*8*(A238/1979)</f>
        <v>302.76301162203129</v>
      </c>
      <c r="F246" s="29">
        <f>E246/A238</f>
        <v>1.0025265285497724</v>
      </c>
      <c r="G246" s="40">
        <f t="shared" si="45"/>
        <v>3.3112582781456954E-3</v>
      </c>
      <c r="H246" s="150">
        <f>12000*0.49</f>
        <v>5880</v>
      </c>
      <c r="I246" s="105">
        <f t="shared" si="44"/>
        <v>19.47019867549669</v>
      </c>
    </row>
    <row r="247" spans="1:12" s="1" customFormat="1" ht="30">
      <c r="A247" s="146"/>
      <c r="B247" s="55" t="s">
        <v>113</v>
      </c>
      <c r="C247" s="5" t="s">
        <v>17</v>
      </c>
      <c r="D247" s="5">
        <v>1</v>
      </c>
      <c r="E247" s="7">
        <f>248*8*(A238/1979)</f>
        <v>302.76301162203129</v>
      </c>
      <c r="F247" s="29">
        <f>E247/A238</f>
        <v>1.0025265285497724</v>
      </c>
      <c r="G247" s="40">
        <f t="shared" si="45"/>
        <v>3.3112582781456954E-3</v>
      </c>
      <c r="H247" s="150">
        <f>161394*0.49</f>
        <v>79083.06</v>
      </c>
      <c r="I247" s="105">
        <f t="shared" si="44"/>
        <v>261.86443708609272</v>
      </c>
    </row>
    <row r="248" spans="1:12" s="1" customFormat="1">
      <c r="A248" s="125"/>
      <c r="B248" s="55" t="s">
        <v>114</v>
      </c>
      <c r="C248" s="5" t="s">
        <v>17</v>
      </c>
      <c r="D248" s="5">
        <v>1</v>
      </c>
      <c r="E248" s="7">
        <f>248*8*(A238/1979)</f>
        <v>302.76301162203129</v>
      </c>
      <c r="F248" s="29">
        <f>E248/A238</f>
        <v>1.0025265285497724</v>
      </c>
      <c r="G248" s="40">
        <f t="shared" si="45"/>
        <v>3.3112582781456954E-3</v>
      </c>
      <c r="H248" s="150">
        <f>3445*0.49</f>
        <v>1688.05</v>
      </c>
      <c r="I248" s="105">
        <f t="shared" si="44"/>
        <v>5.5895695364238405</v>
      </c>
    </row>
    <row r="249" spans="1:12" s="1" customFormat="1">
      <c r="A249" s="125"/>
      <c r="B249" s="55" t="s">
        <v>39</v>
      </c>
      <c r="C249" s="5" t="s">
        <v>17</v>
      </c>
      <c r="D249" s="5">
        <v>1</v>
      </c>
      <c r="E249" s="7">
        <f>248*8*(A238/1979)</f>
        <v>302.76301162203129</v>
      </c>
      <c r="F249" s="29">
        <f>E249/A238</f>
        <v>1.0025265285497724</v>
      </c>
      <c r="G249" s="40">
        <f t="shared" si="45"/>
        <v>3.3112582781456954E-3</v>
      </c>
      <c r="H249" s="150">
        <f>16774*0.49</f>
        <v>8219.26</v>
      </c>
      <c r="I249" s="105">
        <f t="shared" si="44"/>
        <v>27.216092715231788</v>
      </c>
    </row>
    <row r="250" spans="1:12" s="1" customFormat="1">
      <c r="A250" s="125"/>
      <c r="B250" s="55" t="s">
        <v>122</v>
      </c>
      <c r="C250" s="5" t="s">
        <v>17</v>
      </c>
      <c r="D250" s="5">
        <v>1</v>
      </c>
      <c r="E250" s="7">
        <f>248*8*(A238/1979)</f>
        <v>302.76301162203129</v>
      </c>
      <c r="F250" s="29">
        <f>E250/A238</f>
        <v>1.0025265285497724</v>
      </c>
      <c r="G250" s="40">
        <f t="shared" si="45"/>
        <v>3.3112582781456954E-3</v>
      </c>
      <c r="H250" s="150">
        <f>(5349.26+11693.36)*0.49</f>
        <v>8350.8838000000014</v>
      </c>
      <c r="I250" s="105">
        <f t="shared" si="44"/>
        <v>27.651933112582785</v>
      </c>
    </row>
    <row r="251" spans="1:12" s="1" customFormat="1" ht="13.7" customHeight="1">
      <c r="A251" s="125"/>
      <c r="B251" s="55" t="s">
        <v>115</v>
      </c>
      <c r="C251" s="5" t="s">
        <v>17</v>
      </c>
      <c r="D251" s="5">
        <v>1</v>
      </c>
      <c r="E251" s="7">
        <f>248*8*(A238/1979)</f>
        <v>302.76301162203129</v>
      </c>
      <c r="F251" s="29">
        <f>E251/A238</f>
        <v>1.0025265285497724</v>
      </c>
      <c r="G251" s="40">
        <f t="shared" si="45"/>
        <v>3.3112582781456954E-3</v>
      </c>
      <c r="H251" s="150">
        <f>2500*0.49</f>
        <v>1225</v>
      </c>
      <c r="I251" s="105">
        <f t="shared" si="44"/>
        <v>4.056291390728477</v>
      </c>
    </row>
    <row r="252" spans="1:12" s="1" customFormat="1" ht="15.75" thickBot="1">
      <c r="A252" s="126"/>
      <c r="B252" s="18"/>
      <c r="C252" s="18"/>
      <c r="D252" s="18"/>
      <c r="E252" s="18"/>
      <c r="F252" s="18"/>
      <c r="G252" s="21"/>
      <c r="H252" s="42"/>
      <c r="I252" s="109">
        <f>SUM(I237:I251)</f>
        <v>633.35475695364232</v>
      </c>
      <c r="J252" s="145">
        <f>(42415+161394+32400+6000+30000+25200+16774+12000+3445+10000+10200+5349.26+20982.72+11693.36+2500)*0.49</f>
        <v>191273.13659999997</v>
      </c>
      <c r="K252" s="142">
        <f>I252*A238</f>
        <v>191273.13659999997</v>
      </c>
      <c r="L252" s="57">
        <f>J252-K252</f>
        <v>0</v>
      </c>
    </row>
    <row r="253" spans="1:12" ht="15.75" thickBot="1">
      <c r="I253" s="117"/>
    </row>
    <row r="254" spans="1:12">
      <c r="A254" s="122" t="s">
        <v>96</v>
      </c>
      <c r="B254" s="13" t="s">
        <v>36</v>
      </c>
      <c r="C254" s="13" t="s">
        <v>17</v>
      </c>
      <c r="D254" s="13">
        <v>1</v>
      </c>
      <c r="E254" s="15">
        <f>248*8*(A255/1979)</f>
        <v>465.17230924709452</v>
      </c>
      <c r="F254" s="28">
        <f>E254/A255</f>
        <v>1.0025265285497726</v>
      </c>
      <c r="G254" s="41">
        <f>D254/E254*F254</f>
        <v>2.1551724137931034E-3</v>
      </c>
      <c r="H254" s="149">
        <f>140963*0.47</f>
        <v>66252.61</v>
      </c>
      <c r="I254" s="104">
        <f>H254*G254</f>
        <v>142.78579741379309</v>
      </c>
    </row>
    <row r="255" spans="1:12" s="1" customFormat="1">
      <c r="A255" s="120">
        <f>ком.усл!A92</f>
        <v>464</v>
      </c>
      <c r="B255" s="5" t="s">
        <v>37</v>
      </c>
      <c r="C255" s="5" t="s">
        <v>17</v>
      </c>
      <c r="D255" s="5">
        <v>1</v>
      </c>
      <c r="E255" s="7">
        <f>248*8*(A255/1979)</f>
        <v>465.17230924709452</v>
      </c>
      <c r="F255" s="29">
        <f>E255/A255</f>
        <v>1.0025265285497726</v>
      </c>
      <c r="G255" s="40">
        <f>D255/E255*F255</f>
        <v>2.1551724137931034E-3</v>
      </c>
      <c r="H255" s="150">
        <f>36000*0.47</f>
        <v>16920</v>
      </c>
      <c r="I255" s="105">
        <f t="shared" ref="I255:I268" si="46">H255*G255</f>
        <v>36.46551724137931</v>
      </c>
    </row>
    <row r="256" spans="1:12" s="1" customFormat="1">
      <c r="A256" s="146"/>
      <c r="B256" s="5" t="s">
        <v>40</v>
      </c>
      <c r="C256" s="5" t="s">
        <v>17</v>
      </c>
      <c r="D256" s="5">
        <v>1</v>
      </c>
      <c r="E256" s="7">
        <f>248*8*(A255/1979)</f>
        <v>465.17230924709452</v>
      </c>
      <c r="F256" s="29">
        <f>E256/A255</f>
        <v>1.0025265285497726</v>
      </c>
      <c r="G256" s="40">
        <f>D256/E256*F256</f>
        <v>2.1551724137931034E-3</v>
      </c>
      <c r="H256" s="150"/>
      <c r="I256" s="105">
        <f t="shared" si="46"/>
        <v>0</v>
      </c>
    </row>
    <row r="257" spans="1:12" s="1" customFormat="1">
      <c r="A257" s="146"/>
      <c r="B257" s="5" t="s">
        <v>38</v>
      </c>
      <c r="C257" s="5" t="s">
        <v>17</v>
      </c>
      <c r="D257" s="5">
        <v>1</v>
      </c>
      <c r="E257" s="7">
        <f>248*8*(A255/1979)</f>
        <v>465.17230924709452</v>
      </c>
      <c r="F257" s="29">
        <f>E257/A255</f>
        <v>1.0025265285497726</v>
      </c>
      <c r="G257" s="40">
        <f t="shared" ref="G257:G268" si="47">D257/E257*F257</f>
        <v>2.1551724137931034E-3</v>
      </c>
      <c r="H257" s="150">
        <f>41965.44*0.47</f>
        <v>19723.756799999999</v>
      </c>
      <c r="I257" s="105">
        <f t="shared" si="46"/>
        <v>42.508096551724137</v>
      </c>
    </row>
    <row r="258" spans="1:12" s="1" customFormat="1">
      <c r="A258" s="146"/>
      <c r="B258" s="5" t="s">
        <v>123</v>
      </c>
      <c r="C258" s="5" t="s">
        <v>17</v>
      </c>
      <c r="D258" s="5">
        <v>1</v>
      </c>
      <c r="E258" s="7">
        <f>248*8*(A255/1979)</f>
        <v>465.17230924709452</v>
      </c>
      <c r="F258" s="29">
        <f>E258/A255</f>
        <v>1.0025265285497726</v>
      </c>
      <c r="G258" s="40">
        <f t="shared" si="47"/>
        <v>2.1551724137931034E-3</v>
      </c>
      <c r="H258" s="150">
        <f>22700*0.47</f>
        <v>10669</v>
      </c>
      <c r="I258" s="105">
        <f t="shared" si="46"/>
        <v>22.993534482758619</v>
      </c>
    </row>
    <row r="259" spans="1:12" s="1" customFormat="1">
      <c r="A259" s="146"/>
      <c r="B259" s="5" t="s">
        <v>56</v>
      </c>
      <c r="C259" s="5" t="s">
        <v>17</v>
      </c>
      <c r="D259" s="5">
        <v>1</v>
      </c>
      <c r="E259" s="7">
        <f>248*8*(A255/1979)</f>
        <v>465.17230924709452</v>
      </c>
      <c r="F259" s="29">
        <f>E259/A255</f>
        <v>1.0025265285497726</v>
      </c>
      <c r="G259" s="40">
        <f t="shared" si="47"/>
        <v>2.1551724137931034E-3</v>
      </c>
      <c r="H259" s="150">
        <f>14000*0.47</f>
        <v>6580</v>
      </c>
      <c r="I259" s="105">
        <f t="shared" si="46"/>
        <v>14.181034482758621</v>
      </c>
    </row>
    <row r="260" spans="1:12" s="1" customFormat="1">
      <c r="A260" s="146"/>
      <c r="B260" s="5" t="s">
        <v>41</v>
      </c>
      <c r="C260" s="5" t="s">
        <v>17</v>
      </c>
      <c r="D260" s="5">
        <v>1</v>
      </c>
      <c r="E260" s="7">
        <f>248*8*(A255/1979)</f>
        <v>465.17230924709452</v>
      </c>
      <c r="F260" s="29">
        <f>E260/A255</f>
        <v>1.0025265285497726</v>
      </c>
      <c r="G260" s="40">
        <f t="shared" si="47"/>
        <v>2.1551724137931034E-3</v>
      </c>
      <c r="H260" s="150">
        <f>20955*0.47</f>
        <v>9848.8499999999985</v>
      </c>
      <c r="I260" s="105">
        <f t="shared" si="46"/>
        <v>21.225969827586205</v>
      </c>
    </row>
    <row r="261" spans="1:12" s="1" customFormat="1">
      <c r="A261" s="146"/>
      <c r="B261" s="5" t="s">
        <v>63</v>
      </c>
      <c r="C261" s="5" t="s">
        <v>17</v>
      </c>
      <c r="D261" s="5">
        <v>1</v>
      </c>
      <c r="E261" s="7">
        <f>248*8*(A255/1979)</f>
        <v>465.17230924709452</v>
      </c>
      <c r="F261" s="29">
        <f>E261/A255</f>
        <v>1.0025265285497726</v>
      </c>
      <c r="G261" s="40">
        <f t="shared" si="47"/>
        <v>2.1551724137931034E-3</v>
      </c>
      <c r="H261" s="150">
        <f>60000*0.47</f>
        <v>28200</v>
      </c>
      <c r="I261" s="105">
        <f t="shared" si="46"/>
        <v>60.775862068965516</v>
      </c>
    </row>
    <row r="262" spans="1:12" s="1" customFormat="1">
      <c r="A262" s="146"/>
      <c r="B262" s="35" t="s">
        <v>55</v>
      </c>
      <c r="C262" s="5" t="s">
        <v>17</v>
      </c>
      <c r="D262" s="5">
        <v>1</v>
      </c>
      <c r="E262" s="7">
        <f>248*8*(A255/1979)</f>
        <v>465.17230924709452</v>
      </c>
      <c r="F262" s="29">
        <f>E262/A255</f>
        <v>1.0025265285497726</v>
      </c>
      <c r="G262" s="40">
        <f t="shared" si="47"/>
        <v>2.1551724137931034E-3</v>
      </c>
      <c r="H262" s="150">
        <f>43200*0.47</f>
        <v>20304</v>
      </c>
      <c r="I262" s="105">
        <f t="shared" si="46"/>
        <v>43.758620689655174</v>
      </c>
    </row>
    <row r="263" spans="1:12" s="1" customFormat="1">
      <c r="A263" s="146"/>
      <c r="B263" s="55" t="s">
        <v>84</v>
      </c>
      <c r="C263" s="5" t="s">
        <v>17</v>
      </c>
      <c r="D263" s="5">
        <v>1</v>
      </c>
      <c r="E263" s="7">
        <f>248*8*(A255/1979)</f>
        <v>465.17230924709452</v>
      </c>
      <c r="F263" s="29">
        <f>E263/A255</f>
        <v>1.0025265285497726</v>
      </c>
      <c r="G263" s="40">
        <f t="shared" si="47"/>
        <v>2.1551724137931034E-3</v>
      </c>
      <c r="H263" s="150">
        <f>16800*0.47</f>
        <v>7896</v>
      </c>
      <c r="I263" s="105">
        <f t="shared" si="46"/>
        <v>17.017241379310345</v>
      </c>
    </row>
    <row r="264" spans="1:12" s="1" customFormat="1" ht="30">
      <c r="A264" s="146"/>
      <c r="B264" s="55" t="s">
        <v>113</v>
      </c>
      <c r="C264" s="5" t="s">
        <v>17</v>
      </c>
      <c r="D264" s="5">
        <v>1</v>
      </c>
      <c r="E264" s="7">
        <f>248*8*(A255/1979)</f>
        <v>465.17230924709452</v>
      </c>
      <c r="F264" s="29">
        <f>E264/A255</f>
        <v>1.0025265285497726</v>
      </c>
      <c r="G264" s="40">
        <f t="shared" si="47"/>
        <v>2.1551724137931034E-3</v>
      </c>
      <c r="H264" s="150"/>
      <c r="I264" s="105">
        <f t="shared" si="46"/>
        <v>0</v>
      </c>
    </row>
    <row r="265" spans="1:12" s="1" customFormat="1">
      <c r="A265" s="146"/>
      <c r="B265" s="55" t="s">
        <v>114</v>
      </c>
      <c r="C265" s="5" t="s">
        <v>17</v>
      </c>
      <c r="D265" s="5">
        <v>1</v>
      </c>
      <c r="E265" s="7">
        <f>248*8*(A255/1979)</f>
        <v>465.17230924709452</v>
      </c>
      <c r="F265" s="29">
        <f>E265/A255</f>
        <v>1.0025265285497726</v>
      </c>
      <c r="G265" s="40">
        <f t="shared" si="47"/>
        <v>2.1551724137931034E-3</v>
      </c>
      <c r="H265" s="150"/>
      <c r="I265" s="105">
        <f t="shared" si="46"/>
        <v>0</v>
      </c>
    </row>
    <row r="266" spans="1:12" s="1" customFormat="1">
      <c r="A266" s="125"/>
      <c r="B266" s="55" t="s">
        <v>39</v>
      </c>
      <c r="C266" s="5" t="s">
        <v>17</v>
      </c>
      <c r="D266" s="5">
        <v>1</v>
      </c>
      <c r="E266" s="7">
        <f>248*8*(A255/1979)</f>
        <v>465.17230924709452</v>
      </c>
      <c r="F266" s="29">
        <f>E266/A255</f>
        <v>1.0025265285497726</v>
      </c>
      <c r="G266" s="40">
        <f t="shared" si="47"/>
        <v>2.1551724137931034E-3</v>
      </c>
      <c r="H266" s="150">
        <f>25800.73*0.47</f>
        <v>12126.343099999998</v>
      </c>
      <c r="I266" s="105">
        <f t="shared" si="46"/>
        <v>26.134360129310341</v>
      </c>
    </row>
    <row r="267" spans="1:12" s="1" customFormat="1">
      <c r="A267" s="125"/>
      <c r="B267" s="55" t="s">
        <v>122</v>
      </c>
      <c r="C267" s="5" t="s">
        <v>17</v>
      </c>
      <c r="D267" s="5">
        <v>1</v>
      </c>
      <c r="E267" s="7">
        <f>248*8*(A255/1979)</f>
        <v>465.17230924709452</v>
      </c>
      <c r="F267" s="29">
        <f>E267/A255</f>
        <v>1.0025265285497726</v>
      </c>
      <c r="G267" s="40">
        <f t="shared" si="47"/>
        <v>2.1551724137931034E-3</v>
      </c>
      <c r="H267" s="150">
        <f>(6877.62+13277.94)*0.47</f>
        <v>9473.1131999999998</v>
      </c>
      <c r="I267" s="105">
        <f t="shared" si="46"/>
        <v>20.41619224137931</v>
      </c>
    </row>
    <row r="268" spans="1:12" s="1" customFormat="1" ht="13.7" customHeight="1">
      <c r="A268" s="125"/>
      <c r="B268" s="55" t="s">
        <v>115</v>
      </c>
      <c r="C268" s="5" t="s">
        <v>17</v>
      </c>
      <c r="D268" s="5">
        <v>1</v>
      </c>
      <c r="E268" s="7">
        <f>248*8*(A255/1979)</f>
        <v>465.17230924709452</v>
      </c>
      <c r="F268" s="29">
        <f>E268/A255</f>
        <v>1.0025265285497726</v>
      </c>
      <c r="G268" s="40">
        <f t="shared" si="47"/>
        <v>2.1551724137931034E-3</v>
      </c>
      <c r="H268" s="150">
        <f>6000*0.47</f>
        <v>2820</v>
      </c>
      <c r="I268" s="105">
        <f t="shared" si="46"/>
        <v>6.0775862068965516</v>
      </c>
    </row>
    <row r="269" spans="1:12" s="1" customFormat="1" ht="15.75" thickBot="1">
      <c r="A269" s="126"/>
      <c r="B269" s="18"/>
      <c r="C269" s="18"/>
      <c r="D269" s="18"/>
      <c r="E269" s="18"/>
      <c r="F269" s="18"/>
      <c r="G269" s="21"/>
      <c r="H269" s="42"/>
      <c r="I269" s="109">
        <f>SUM(I254:I268)</f>
        <v>454.33981271551716</v>
      </c>
      <c r="J269" s="145">
        <f>(140963+36000+60000+43200+25800.73+16800+14000+20955+6877.62+22700+41965.44+13277.94+6000)*0.47</f>
        <v>210813.67309999999</v>
      </c>
      <c r="K269" s="142">
        <f>I269*A255</f>
        <v>210813.67309999996</v>
      </c>
      <c r="L269" s="57">
        <f>J269-K269</f>
        <v>0</v>
      </c>
    </row>
    <row r="270" spans="1:12" ht="15.75" thickBot="1">
      <c r="E270" s="52"/>
      <c r="I270" s="117"/>
    </row>
    <row r="271" spans="1:12">
      <c r="A271" s="122" t="s">
        <v>75</v>
      </c>
      <c r="B271" s="13" t="s">
        <v>36</v>
      </c>
      <c r="C271" s="13" t="s">
        <v>17</v>
      </c>
      <c r="D271" s="13">
        <v>1</v>
      </c>
      <c r="E271" s="15">
        <f>248*8*(A272/1979)</f>
        <v>118.29813036887316</v>
      </c>
      <c r="F271" s="28">
        <f>E271/A272</f>
        <v>1.0025265285497726</v>
      </c>
      <c r="G271" s="41">
        <f>D271/E271*F271</f>
        <v>8.4745762711864406E-3</v>
      </c>
      <c r="H271" s="149">
        <f>21207*0.41</f>
        <v>8694.869999999999</v>
      </c>
      <c r="I271" s="104">
        <f>H271*G271</f>
        <v>73.685338983050841</v>
      </c>
    </row>
    <row r="272" spans="1:12" s="1" customFormat="1">
      <c r="A272" s="120">
        <f>ком.усл!A98</f>
        <v>118</v>
      </c>
      <c r="B272" s="5" t="s">
        <v>37</v>
      </c>
      <c r="C272" s="5" t="s">
        <v>17</v>
      </c>
      <c r="D272" s="5">
        <v>1</v>
      </c>
      <c r="E272" s="7">
        <f>248*8*(A272/1979)</f>
        <v>118.29813036887316</v>
      </c>
      <c r="F272" s="29">
        <f>E272/A272</f>
        <v>1.0025265285497726</v>
      </c>
      <c r="G272" s="40">
        <f>D272/E272*F272</f>
        <v>8.4745762711864406E-3</v>
      </c>
      <c r="H272" s="150">
        <f>18000*0.41</f>
        <v>7380</v>
      </c>
      <c r="I272" s="105">
        <f t="shared" ref="I272:I285" si="48">H272*G272</f>
        <v>62.542372881355931</v>
      </c>
    </row>
    <row r="273" spans="1:12" s="1" customFormat="1">
      <c r="A273" s="146"/>
      <c r="B273" s="5" t="s">
        <v>40</v>
      </c>
      <c r="C273" s="5" t="s">
        <v>17</v>
      </c>
      <c r="D273" s="5">
        <v>1</v>
      </c>
      <c r="E273" s="7">
        <f>248*8*(A272/1979)</f>
        <v>118.29813036887316</v>
      </c>
      <c r="F273" s="29">
        <f>E273/A272</f>
        <v>1.0025265285497726</v>
      </c>
      <c r="G273" s="40">
        <f>D273/E273*F273</f>
        <v>8.4745762711864406E-3</v>
      </c>
      <c r="H273" s="150">
        <f>6000*0.41</f>
        <v>2460</v>
      </c>
      <c r="I273" s="105">
        <f t="shared" si="48"/>
        <v>20.847457627118644</v>
      </c>
    </row>
    <row r="274" spans="1:12" s="1" customFormat="1">
      <c r="A274" s="146"/>
      <c r="B274" s="5" t="s">
        <v>38</v>
      </c>
      <c r="C274" s="5" t="s">
        <v>17</v>
      </c>
      <c r="D274" s="5">
        <v>1</v>
      </c>
      <c r="E274" s="7">
        <f>248*8*(A272/1979)</f>
        <v>118.29813036887316</v>
      </c>
      <c r="F274" s="29">
        <f>E274/A272</f>
        <v>1.0025265285497726</v>
      </c>
      <c r="G274" s="40">
        <f t="shared" ref="G274:G285" si="49">D274/E274*F274</f>
        <v>8.4745762711864406E-3</v>
      </c>
      <c r="H274" s="150">
        <f>20982.72*0.41</f>
        <v>8602.9151999999995</v>
      </c>
      <c r="I274" s="105">
        <f t="shared" si="48"/>
        <v>72.906061016949153</v>
      </c>
    </row>
    <row r="275" spans="1:12" s="1" customFormat="1">
      <c r="A275" s="146"/>
      <c r="B275" s="5" t="s">
        <v>98</v>
      </c>
      <c r="C275" s="5" t="s">
        <v>17</v>
      </c>
      <c r="D275" s="5">
        <v>1</v>
      </c>
      <c r="E275" s="7">
        <f>248*8*(A272/1979)</f>
        <v>118.29813036887316</v>
      </c>
      <c r="F275" s="29">
        <f>E275/A272</f>
        <v>1.0025265285497726</v>
      </c>
      <c r="G275" s="40">
        <f t="shared" si="49"/>
        <v>8.4745762711864406E-3</v>
      </c>
      <c r="H275" s="150"/>
      <c r="I275" s="105">
        <f t="shared" si="48"/>
        <v>0</v>
      </c>
    </row>
    <row r="276" spans="1:12" s="1" customFormat="1">
      <c r="A276" s="146"/>
      <c r="B276" s="5" t="s">
        <v>56</v>
      </c>
      <c r="C276" s="5" t="s">
        <v>17</v>
      </c>
      <c r="D276" s="5">
        <v>1</v>
      </c>
      <c r="E276" s="7">
        <f>248*8*(A272/1979)</f>
        <v>118.29813036887316</v>
      </c>
      <c r="F276" s="29">
        <f>E276/A272</f>
        <v>1.0025265285497726</v>
      </c>
      <c r="G276" s="40">
        <f t="shared" si="49"/>
        <v>8.4745762711864406E-3</v>
      </c>
      <c r="H276" s="150">
        <f>5500*0.41</f>
        <v>2255</v>
      </c>
      <c r="I276" s="105">
        <f t="shared" si="48"/>
        <v>19.110169491525422</v>
      </c>
    </row>
    <row r="277" spans="1:12" s="1" customFormat="1">
      <c r="A277" s="146"/>
      <c r="B277" s="5" t="s">
        <v>41</v>
      </c>
      <c r="C277" s="5" t="s">
        <v>17</v>
      </c>
      <c r="D277" s="5">
        <v>1</v>
      </c>
      <c r="E277" s="7">
        <f>248*8*(A272/1979)</f>
        <v>118.29813036887316</v>
      </c>
      <c r="F277" s="29">
        <f>E277/A272</f>
        <v>1.0025265285497726</v>
      </c>
      <c r="G277" s="40">
        <f t="shared" si="49"/>
        <v>8.4745762711864406E-3</v>
      </c>
      <c r="H277" s="150">
        <f>10200*0.41</f>
        <v>4182</v>
      </c>
      <c r="I277" s="105">
        <f t="shared" si="48"/>
        <v>35.440677966101696</v>
      </c>
    </row>
    <row r="278" spans="1:12" s="1" customFormat="1">
      <c r="A278" s="146"/>
      <c r="B278" s="5" t="s">
        <v>63</v>
      </c>
      <c r="C278" s="5" t="s">
        <v>17</v>
      </c>
      <c r="D278" s="5">
        <v>1</v>
      </c>
      <c r="E278" s="7">
        <f>248*8*(A272/1979)</f>
        <v>118.29813036887316</v>
      </c>
      <c r="F278" s="29">
        <f>E278/A272</f>
        <v>1.0025265285497726</v>
      </c>
      <c r="G278" s="40">
        <f t="shared" si="49"/>
        <v>8.4745762711864406E-3</v>
      </c>
      <c r="H278" s="150">
        <f>30000*0.41</f>
        <v>12300</v>
      </c>
      <c r="I278" s="105">
        <f t="shared" si="48"/>
        <v>104.23728813559322</v>
      </c>
    </row>
    <row r="279" spans="1:12" s="1" customFormat="1">
      <c r="A279" s="146"/>
      <c r="B279" s="35" t="s">
        <v>55</v>
      </c>
      <c r="C279" s="5" t="s">
        <v>17</v>
      </c>
      <c r="D279" s="5">
        <v>1</v>
      </c>
      <c r="E279" s="7">
        <f>248*8*(A272/1979)</f>
        <v>118.29813036887316</v>
      </c>
      <c r="F279" s="29">
        <f>E279/A272</f>
        <v>1.0025265285497726</v>
      </c>
      <c r="G279" s="40">
        <f t="shared" si="49"/>
        <v>8.4745762711864406E-3</v>
      </c>
      <c r="H279" s="150">
        <f>18900*0.41</f>
        <v>7748.9999999999991</v>
      </c>
      <c r="I279" s="105">
        <f t="shared" si="48"/>
        <v>65.669491525423723</v>
      </c>
    </row>
    <row r="280" spans="1:12" s="1" customFormat="1">
      <c r="A280" s="146"/>
      <c r="B280" s="55" t="s">
        <v>84</v>
      </c>
      <c r="C280" s="5" t="s">
        <v>17</v>
      </c>
      <c r="D280" s="5">
        <v>1</v>
      </c>
      <c r="E280" s="7">
        <f>248*8*(A272/1979)</f>
        <v>118.29813036887316</v>
      </c>
      <c r="F280" s="29">
        <f>E280/A272</f>
        <v>1.0025265285497726</v>
      </c>
      <c r="G280" s="40">
        <f t="shared" si="49"/>
        <v>8.4745762711864406E-3</v>
      </c>
      <c r="H280" s="150">
        <f>12000*0.41</f>
        <v>4920</v>
      </c>
      <c r="I280" s="105">
        <f t="shared" si="48"/>
        <v>41.694915254237287</v>
      </c>
    </row>
    <row r="281" spans="1:12" s="1" customFormat="1" ht="30">
      <c r="A281" s="146"/>
      <c r="B281" s="55" t="s">
        <v>113</v>
      </c>
      <c r="C281" s="5" t="s">
        <v>17</v>
      </c>
      <c r="D281" s="5">
        <v>1</v>
      </c>
      <c r="E281" s="7">
        <f>248*8*(A272/1979)</f>
        <v>118.29813036887316</v>
      </c>
      <c r="F281" s="29">
        <f>E281/A272</f>
        <v>1.0025265285497726</v>
      </c>
      <c r="G281" s="40">
        <f t="shared" si="49"/>
        <v>8.4745762711864406E-3</v>
      </c>
      <c r="H281" s="150"/>
      <c r="I281" s="105">
        <f t="shared" si="48"/>
        <v>0</v>
      </c>
    </row>
    <row r="282" spans="1:12" s="1" customFormat="1">
      <c r="A282" s="146"/>
      <c r="B282" s="55" t="s">
        <v>114</v>
      </c>
      <c r="C282" s="5" t="s">
        <v>17</v>
      </c>
      <c r="D282" s="5">
        <v>1</v>
      </c>
      <c r="E282" s="7">
        <f>248*8*(A272/1979)</f>
        <v>118.29813036887316</v>
      </c>
      <c r="F282" s="29">
        <f>E282/A272</f>
        <v>1.0025265285497726</v>
      </c>
      <c r="G282" s="40">
        <f t="shared" si="49"/>
        <v>8.4745762711864406E-3</v>
      </c>
      <c r="H282" s="150">
        <f>7400*0.41</f>
        <v>3034</v>
      </c>
      <c r="I282" s="105">
        <f t="shared" si="48"/>
        <v>25.711864406779661</v>
      </c>
    </row>
    <row r="283" spans="1:12" s="1" customFormat="1">
      <c r="A283" s="125"/>
      <c r="B283" s="55" t="s">
        <v>39</v>
      </c>
      <c r="C283" s="5" t="s">
        <v>17</v>
      </c>
      <c r="D283" s="5">
        <v>1</v>
      </c>
      <c r="E283" s="7">
        <f>248*8*(A272/1979)</f>
        <v>118.29813036887316</v>
      </c>
      <c r="F283" s="29">
        <f>E283/A272</f>
        <v>1.0025265285497726</v>
      </c>
      <c r="G283" s="40">
        <f t="shared" si="49"/>
        <v>8.4745762711864406E-3</v>
      </c>
      <c r="H283" s="150">
        <f>11562.2*0.41</f>
        <v>4740.5020000000004</v>
      </c>
      <c r="I283" s="105">
        <f t="shared" si="48"/>
        <v>40.173745762711867</v>
      </c>
    </row>
    <row r="284" spans="1:12" s="1" customFormat="1">
      <c r="A284" s="125"/>
      <c r="B284" s="55" t="s">
        <v>122</v>
      </c>
      <c r="C284" s="5" t="s">
        <v>17</v>
      </c>
      <c r="D284" s="5">
        <v>1</v>
      </c>
      <c r="E284" s="7">
        <f>248*8*(A272/1979)</f>
        <v>118.29813036887316</v>
      </c>
      <c r="F284" s="29">
        <f>E284/A272</f>
        <v>1.0025265285497726</v>
      </c>
      <c r="G284" s="40">
        <f t="shared" si="49"/>
        <v>8.4745762711864406E-3</v>
      </c>
      <c r="H284" s="150">
        <f>(2292.54+8452.84)*0.41</f>
        <v>4405.6058000000003</v>
      </c>
      <c r="I284" s="105">
        <f t="shared" si="48"/>
        <v>37.33564237288136</v>
      </c>
    </row>
    <row r="285" spans="1:12" s="1" customFormat="1" ht="13.7" customHeight="1">
      <c r="A285" s="125"/>
      <c r="B285" s="55" t="s">
        <v>115</v>
      </c>
      <c r="C285" s="5" t="s">
        <v>17</v>
      </c>
      <c r="D285" s="5">
        <v>1</v>
      </c>
      <c r="E285" s="7">
        <f>248*8*(A272/1979)</f>
        <v>118.29813036887316</v>
      </c>
      <c r="F285" s="29">
        <f>E285/A272</f>
        <v>1.0025265285497726</v>
      </c>
      <c r="G285" s="40">
        <f t="shared" si="49"/>
        <v>8.4745762711864406E-3</v>
      </c>
      <c r="H285" s="150">
        <f>3000*0.41</f>
        <v>1230</v>
      </c>
      <c r="I285" s="105">
        <f t="shared" si="48"/>
        <v>10.423728813559322</v>
      </c>
    </row>
    <row r="286" spans="1:12" s="1" customFormat="1" ht="15.75" thickBot="1">
      <c r="A286" s="126"/>
      <c r="B286" s="18"/>
      <c r="C286" s="18"/>
      <c r="D286" s="18"/>
      <c r="E286" s="18"/>
      <c r="F286" s="18"/>
      <c r="G286" s="21"/>
      <c r="H286" s="42"/>
      <c r="I286" s="109">
        <f>SUM(I271:I285)</f>
        <v>609.77875423728813</v>
      </c>
      <c r="J286" s="145">
        <f>(21207+18000+6000+30000+18900+11562.2+12000+7400+5500+10200+2292.54+20982.72+8452.84+3000)*0.41</f>
        <v>71953.892999999996</v>
      </c>
      <c r="K286" s="142">
        <f>I286*A272</f>
        <v>71953.892999999996</v>
      </c>
      <c r="L286" s="57">
        <f>J286-K286</f>
        <v>0</v>
      </c>
    </row>
    <row r="287" spans="1:12">
      <c r="A287" s="122" t="s">
        <v>76</v>
      </c>
      <c r="B287" s="13" t="s">
        <v>36</v>
      </c>
      <c r="C287" s="13" t="s">
        <v>17</v>
      </c>
      <c r="D287" s="13">
        <v>1</v>
      </c>
      <c r="E287" s="15">
        <f>248*8*(A288/1979)</f>
        <v>134.33855482566952</v>
      </c>
      <c r="F287" s="28">
        <f>E287/A288</f>
        <v>1.0025265285497724</v>
      </c>
      <c r="G287" s="41">
        <f>D287/E287*F287</f>
        <v>7.4626865671641781E-3</v>
      </c>
      <c r="H287" s="149">
        <f>21217*0.54</f>
        <v>11457.18</v>
      </c>
      <c r="I287" s="104">
        <f>H287*G287</f>
        <v>85.501343283582074</v>
      </c>
    </row>
    <row r="288" spans="1:12" s="1" customFormat="1">
      <c r="A288" s="120">
        <f>ком.усл!A103</f>
        <v>134</v>
      </c>
      <c r="B288" s="5" t="s">
        <v>37</v>
      </c>
      <c r="C288" s="5" t="s">
        <v>17</v>
      </c>
      <c r="D288" s="5">
        <v>1</v>
      </c>
      <c r="E288" s="7">
        <f>248*8*(A288/1979)</f>
        <v>134.33855482566952</v>
      </c>
      <c r="F288" s="29">
        <f>E288/A288</f>
        <v>1.0025265285497724</v>
      </c>
      <c r="G288" s="40">
        <f>D288/E288*F288</f>
        <v>7.4626865671641781E-3</v>
      </c>
      <c r="H288" s="150">
        <f>19200*0.54</f>
        <v>10368</v>
      </c>
      <c r="I288" s="105">
        <f t="shared" ref="I288:I301" si="50">H288*G288</f>
        <v>77.373134328358205</v>
      </c>
    </row>
    <row r="289" spans="1:20" s="1" customFormat="1">
      <c r="A289" s="146"/>
      <c r="B289" s="5" t="s">
        <v>40</v>
      </c>
      <c r="C289" s="5" t="s">
        <v>17</v>
      </c>
      <c r="D289" s="5">
        <v>1</v>
      </c>
      <c r="E289" s="7">
        <f>248*8*(A288/1979)</f>
        <v>134.33855482566952</v>
      </c>
      <c r="F289" s="29">
        <f>E289/A288</f>
        <v>1.0025265285497724</v>
      </c>
      <c r="G289" s="40">
        <f>D289/E289*F289</f>
        <v>7.4626865671641781E-3</v>
      </c>
      <c r="H289" s="150">
        <f>6000*0.54</f>
        <v>3240</v>
      </c>
      <c r="I289" s="105">
        <f t="shared" si="50"/>
        <v>24.179104477611936</v>
      </c>
    </row>
    <row r="290" spans="1:20" s="1" customFormat="1">
      <c r="A290" s="146"/>
      <c r="B290" s="5" t="s">
        <v>38</v>
      </c>
      <c r="C290" s="5" t="s">
        <v>17</v>
      </c>
      <c r="D290" s="5">
        <v>1</v>
      </c>
      <c r="E290" s="7">
        <f>248*8*(A288/1979)</f>
        <v>134.33855482566952</v>
      </c>
      <c r="F290" s="29">
        <f>E290/A288</f>
        <v>1.0025265285497724</v>
      </c>
      <c r="G290" s="40">
        <f t="shared" ref="G290:G295" si="51">D290/E290*F290</f>
        <v>7.4626865671641781E-3</v>
      </c>
      <c r="H290" s="150">
        <f>(6000+20982.72)*0.54</f>
        <v>14570.668800000001</v>
      </c>
      <c r="I290" s="105">
        <f t="shared" si="50"/>
        <v>108.7363343283582</v>
      </c>
    </row>
    <row r="291" spans="1:20" s="1" customFormat="1">
      <c r="A291" s="146"/>
      <c r="B291" s="5" t="s">
        <v>98</v>
      </c>
      <c r="C291" s="5" t="s">
        <v>17</v>
      </c>
      <c r="D291" s="5">
        <v>1</v>
      </c>
      <c r="E291" s="7">
        <f>248*8*(A288/1979)</f>
        <v>134.33855482566952</v>
      </c>
      <c r="F291" s="29">
        <f>E291/A288</f>
        <v>1.0025265285497724</v>
      </c>
      <c r="G291" s="40">
        <f t="shared" si="51"/>
        <v>7.4626865671641781E-3</v>
      </c>
      <c r="H291" s="150"/>
      <c r="I291" s="105">
        <f t="shared" si="50"/>
        <v>0</v>
      </c>
    </row>
    <row r="292" spans="1:20" s="1" customFormat="1">
      <c r="A292" s="146"/>
      <c r="B292" s="5" t="s">
        <v>56</v>
      </c>
      <c r="C292" s="5" t="s">
        <v>17</v>
      </c>
      <c r="D292" s="5">
        <v>1</v>
      </c>
      <c r="E292" s="7">
        <f>248*8*(A288/1979)</f>
        <v>134.33855482566952</v>
      </c>
      <c r="F292" s="29">
        <f>E292/A288</f>
        <v>1.0025265285497724</v>
      </c>
      <c r="G292" s="40">
        <f t="shared" si="51"/>
        <v>7.4626865671641781E-3</v>
      </c>
      <c r="H292" s="150">
        <f>16000*0.54</f>
        <v>8640</v>
      </c>
      <c r="I292" s="105">
        <f t="shared" si="50"/>
        <v>64.477611940298502</v>
      </c>
    </row>
    <row r="293" spans="1:20" s="1" customFormat="1">
      <c r="A293" s="146"/>
      <c r="B293" s="5" t="s">
        <v>41</v>
      </c>
      <c r="C293" s="5" t="s">
        <v>17</v>
      </c>
      <c r="D293" s="5">
        <v>1</v>
      </c>
      <c r="E293" s="7">
        <f>248*8*(A288/1979)</f>
        <v>134.33855482566952</v>
      </c>
      <c r="F293" s="29">
        <f>E293/A288</f>
        <v>1.0025265285497724</v>
      </c>
      <c r="G293" s="40">
        <f t="shared" si="51"/>
        <v>7.4626865671641781E-3</v>
      </c>
      <c r="H293" s="150">
        <f>19590*0.54</f>
        <v>10578.6</v>
      </c>
      <c r="I293" s="105">
        <f t="shared" si="50"/>
        <v>78.944776119402974</v>
      </c>
    </row>
    <row r="294" spans="1:20" s="1" customFormat="1">
      <c r="A294" s="146"/>
      <c r="B294" s="5" t="s">
        <v>63</v>
      </c>
      <c r="C294" s="5" t="s">
        <v>17</v>
      </c>
      <c r="D294" s="5">
        <v>1</v>
      </c>
      <c r="E294" s="7">
        <f>248*8*(A288/1979)</f>
        <v>134.33855482566952</v>
      </c>
      <c r="F294" s="29">
        <f>E294/A288</f>
        <v>1.0025265285497724</v>
      </c>
      <c r="G294" s="40">
        <f t="shared" si="51"/>
        <v>7.4626865671641781E-3</v>
      </c>
      <c r="H294" s="150">
        <f>30000*0.54</f>
        <v>16200.000000000002</v>
      </c>
      <c r="I294" s="105">
        <f t="shared" si="50"/>
        <v>120.8955223880597</v>
      </c>
    </row>
    <row r="295" spans="1:20" s="1" customFormat="1">
      <c r="A295" s="146"/>
      <c r="B295" s="35" t="s">
        <v>55</v>
      </c>
      <c r="C295" s="5" t="s">
        <v>17</v>
      </c>
      <c r="D295" s="5">
        <v>1</v>
      </c>
      <c r="E295" s="7">
        <f>248*8*(A288/1979)</f>
        <v>134.33855482566952</v>
      </c>
      <c r="F295" s="29">
        <f>E295/A288</f>
        <v>1.0025265285497724</v>
      </c>
      <c r="G295" s="40">
        <f t="shared" si="51"/>
        <v>7.4626865671641781E-3</v>
      </c>
      <c r="H295" s="150">
        <f>26400*0.54</f>
        <v>14256.000000000002</v>
      </c>
      <c r="I295" s="105">
        <f t="shared" si="50"/>
        <v>106.38805970149254</v>
      </c>
    </row>
    <row r="296" spans="1:20" s="1" customFormat="1">
      <c r="A296" s="146"/>
      <c r="B296" s="55" t="s">
        <v>84</v>
      </c>
      <c r="C296" s="5" t="s">
        <v>17</v>
      </c>
      <c r="D296" s="5">
        <v>1</v>
      </c>
      <c r="E296" s="7">
        <f>248*8*(A288/1979)</f>
        <v>134.33855482566952</v>
      </c>
      <c r="F296" s="29">
        <f>E296/A288</f>
        <v>1.0025265285497724</v>
      </c>
      <c r="G296" s="40">
        <f>D296/E296*F296</f>
        <v>7.4626865671641781E-3</v>
      </c>
      <c r="H296" s="150">
        <f>12000*0.54</f>
        <v>6480</v>
      </c>
      <c r="I296" s="105">
        <f t="shared" si="50"/>
        <v>48.358208955223873</v>
      </c>
    </row>
    <row r="297" spans="1:20" s="1" customFormat="1" ht="30">
      <c r="A297" s="146"/>
      <c r="B297" s="55" t="s">
        <v>113</v>
      </c>
      <c r="C297" s="5" t="s">
        <v>17</v>
      </c>
      <c r="D297" s="5">
        <v>1</v>
      </c>
      <c r="E297" s="7">
        <f>248*8*(A288/1979)</f>
        <v>134.33855482566952</v>
      </c>
      <c r="F297" s="29">
        <f>E297/A288</f>
        <v>1.0025265285497724</v>
      </c>
      <c r="G297" s="40">
        <f t="shared" ref="G297:G301" si="52">D297/E297*F297</f>
        <v>7.4626865671641781E-3</v>
      </c>
      <c r="H297" s="150"/>
      <c r="I297" s="105">
        <f t="shared" si="50"/>
        <v>0</v>
      </c>
    </row>
    <row r="298" spans="1:20" s="1" customFormat="1">
      <c r="A298" s="125"/>
      <c r="B298" s="55" t="s">
        <v>114</v>
      </c>
      <c r="C298" s="5" t="s">
        <v>17</v>
      </c>
      <c r="D298" s="5">
        <v>1</v>
      </c>
      <c r="E298" s="7">
        <f>248*8*(A288/1979)</f>
        <v>134.33855482566952</v>
      </c>
      <c r="F298" s="29">
        <f>E298/A288</f>
        <v>1.0025265285497724</v>
      </c>
      <c r="G298" s="40">
        <f t="shared" si="52"/>
        <v>7.4626865671641781E-3</v>
      </c>
      <c r="H298" s="150">
        <f>2990*0.54</f>
        <v>1614.6000000000001</v>
      </c>
      <c r="I298" s="105">
        <f t="shared" si="50"/>
        <v>12.049253731343283</v>
      </c>
    </row>
    <row r="299" spans="1:20" s="1" customFormat="1">
      <c r="A299" s="125"/>
      <c r="B299" s="55" t="s">
        <v>39</v>
      </c>
      <c r="C299" s="5" t="s">
        <v>17</v>
      </c>
      <c r="D299" s="5">
        <v>1</v>
      </c>
      <c r="E299" s="7">
        <f>248*8*(A288/1979)</f>
        <v>134.33855482566952</v>
      </c>
      <c r="F299" s="29">
        <f>E299/A288</f>
        <v>1.0025265285497724</v>
      </c>
      <c r="G299" s="40">
        <f t="shared" si="52"/>
        <v>7.4626865671641781E-3</v>
      </c>
      <c r="H299" s="150">
        <f>15575*0.54</f>
        <v>8410.5</v>
      </c>
      <c r="I299" s="105">
        <f t="shared" si="50"/>
        <v>62.764925373134318</v>
      </c>
    </row>
    <row r="300" spans="1:20" s="1" customFormat="1">
      <c r="A300" s="125"/>
      <c r="B300" s="55" t="s">
        <v>122</v>
      </c>
      <c r="C300" s="5" t="s">
        <v>17</v>
      </c>
      <c r="D300" s="5">
        <v>1</v>
      </c>
      <c r="E300" s="7">
        <f>248*8*(A288/1979)</f>
        <v>134.33855482566952</v>
      </c>
      <c r="F300" s="29">
        <f>E300/A288</f>
        <v>1.0025265285497724</v>
      </c>
      <c r="G300" s="40">
        <f t="shared" si="52"/>
        <v>7.4626865671641781E-3</v>
      </c>
      <c r="H300" s="150">
        <f>(2292.54+12155.03)*0.54</f>
        <v>7801.6878000000006</v>
      </c>
      <c r="I300" s="105">
        <f t="shared" si="50"/>
        <v>58.221550746268655</v>
      </c>
    </row>
    <row r="301" spans="1:20" s="1" customFormat="1" ht="13.7" customHeight="1">
      <c r="A301" s="125"/>
      <c r="B301" s="55" t="s">
        <v>115</v>
      </c>
      <c r="C301" s="5" t="s">
        <v>17</v>
      </c>
      <c r="D301" s="5">
        <v>1</v>
      </c>
      <c r="E301" s="7">
        <f>248*8*(A288/1979)</f>
        <v>134.33855482566952</v>
      </c>
      <c r="F301" s="29">
        <f>E301/A288</f>
        <v>1.0025265285497724</v>
      </c>
      <c r="G301" s="40">
        <f t="shared" si="52"/>
        <v>7.4626865671641781E-3</v>
      </c>
      <c r="H301" s="150">
        <f>3000*0.54</f>
        <v>1620</v>
      </c>
      <c r="I301" s="105">
        <f t="shared" si="50"/>
        <v>12.089552238805968</v>
      </c>
    </row>
    <row r="302" spans="1:20" s="1" customFormat="1" ht="15.75" thickBot="1">
      <c r="A302" s="126"/>
      <c r="B302" s="18"/>
      <c r="C302" s="18"/>
      <c r="D302" s="18"/>
      <c r="E302" s="18"/>
      <c r="F302" s="18"/>
      <c r="G302" s="21"/>
      <c r="H302" s="42"/>
      <c r="I302" s="109">
        <f>SUM(I287:I301)</f>
        <v>859.97937761194021</v>
      </c>
      <c r="J302" s="145">
        <f>(21217+19200+6000+6000+30000+26400+15575+12000+16000+19590+2292.54+2990+20982.72+12155.03+3000)*0.54</f>
        <v>115237.23660000002</v>
      </c>
      <c r="K302" s="142">
        <f>I302*A288</f>
        <v>115237.23659999999</v>
      </c>
      <c r="L302" s="57">
        <f>J302-K302</f>
        <v>0</v>
      </c>
    </row>
    <row r="303" spans="1:20">
      <c r="I303" s="81"/>
    </row>
    <row r="304" spans="1:20" ht="19.5" thickBot="1">
      <c r="A304" s="128" t="s">
        <v>79</v>
      </c>
      <c r="H304"/>
      <c r="I304" s="81"/>
      <c r="S304" s="1"/>
      <c r="T304" s="1"/>
    </row>
    <row r="305" spans="1:11" ht="105">
      <c r="A305" s="130" t="s">
        <v>2</v>
      </c>
      <c r="B305" s="23" t="s">
        <v>15</v>
      </c>
      <c r="C305" s="23" t="s">
        <v>14</v>
      </c>
      <c r="D305" s="23" t="s">
        <v>16</v>
      </c>
      <c r="E305" s="23" t="s">
        <v>27</v>
      </c>
      <c r="F305" s="23" t="s">
        <v>54</v>
      </c>
      <c r="G305" s="23" t="s">
        <v>29</v>
      </c>
      <c r="H305" s="23" t="s">
        <v>30</v>
      </c>
      <c r="I305" s="90" t="s">
        <v>11</v>
      </c>
      <c r="J305" s="2" t="s">
        <v>34</v>
      </c>
      <c r="K305" s="2" t="s">
        <v>33</v>
      </c>
    </row>
    <row r="306" spans="1:11" ht="15.75" thickBot="1">
      <c r="A306" s="134">
        <v>1</v>
      </c>
      <c r="B306" s="10">
        <v>2</v>
      </c>
      <c r="C306" s="10">
        <v>3</v>
      </c>
      <c r="D306" s="10">
        <v>4</v>
      </c>
      <c r="E306" s="10">
        <v>5</v>
      </c>
      <c r="F306" s="10">
        <v>6</v>
      </c>
      <c r="G306" s="10" t="s">
        <v>31</v>
      </c>
      <c r="H306" s="9">
        <v>8</v>
      </c>
      <c r="I306" s="91" t="s">
        <v>32</v>
      </c>
    </row>
    <row r="307" spans="1:11">
      <c r="A307" s="122" t="s">
        <v>64</v>
      </c>
      <c r="B307" s="13" t="s">
        <v>36</v>
      </c>
      <c r="C307" s="13" t="s">
        <v>17</v>
      </c>
      <c r="D307" s="13">
        <v>1</v>
      </c>
      <c r="E307" s="15">
        <f>248*8*(A308/1979)</f>
        <v>50.126326427488628</v>
      </c>
      <c r="F307" s="28">
        <f>E307/A308</f>
        <v>1.0025265285497726</v>
      </c>
      <c r="G307" s="41">
        <f>D307/E307*F307</f>
        <v>0.02</v>
      </c>
      <c r="H307" s="149">
        <f>56554*0.11</f>
        <v>6220.94</v>
      </c>
      <c r="I307" s="104">
        <f>H307*G307</f>
        <v>124.41879999999999</v>
      </c>
    </row>
    <row r="308" spans="1:11" s="1" customFormat="1">
      <c r="A308" s="120">
        <f>ком.усл!A113</f>
        <v>50</v>
      </c>
      <c r="B308" s="5" t="s">
        <v>37</v>
      </c>
      <c r="C308" s="5" t="s">
        <v>17</v>
      </c>
      <c r="D308" s="5">
        <v>1</v>
      </c>
      <c r="E308" s="7">
        <f>248*8*(A308/1979)</f>
        <v>50.126326427488628</v>
      </c>
      <c r="F308" s="29">
        <f>E308/A308</f>
        <v>1.0025265285497726</v>
      </c>
      <c r="G308" s="40">
        <f>D308/E308*F308</f>
        <v>0.02</v>
      </c>
      <c r="H308" s="150">
        <f>19200*0.11</f>
        <v>2112</v>
      </c>
      <c r="I308" s="105">
        <f t="shared" ref="I308:I321" si="53">H308*G308</f>
        <v>42.24</v>
      </c>
    </row>
    <row r="309" spans="1:11" s="1" customFormat="1">
      <c r="A309" s="146"/>
      <c r="B309" s="5" t="s">
        <v>40</v>
      </c>
      <c r="C309" s="5" t="s">
        <v>17</v>
      </c>
      <c r="D309" s="5">
        <v>1</v>
      </c>
      <c r="E309" s="7">
        <f>248*8*(A308/1979)</f>
        <v>50.126326427488628</v>
      </c>
      <c r="F309" s="29">
        <f>E309/A308</f>
        <v>1.0025265285497726</v>
      </c>
      <c r="G309" s="40">
        <f>D309/E309*F309</f>
        <v>0.02</v>
      </c>
      <c r="H309" s="150">
        <f>12000*0.11</f>
        <v>1320</v>
      </c>
      <c r="I309" s="105">
        <f t="shared" si="53"/>
        <v>26.400000000000002</v>
      </c>
    </row>
    <row r="310" spans="1:11" s="1" customFormat="1">
      <c r="A310" s="146"/>
      <c r="B310" s="5" t="s">
        <v>38</v>
      </c>
      <c r="C310" s="5" t="s">
        <v>17</v>
      </c>
      <c r="D310" s="5">
        <v>1</v>
      </c>
      <c r="E310" s="7">
        <f>248*8*(A308/1979)</f>
        <v>50.126326427488628</v>
      </c>
      <c r="F310" s="29">
        <f>E310/A308</f>
        <v>1.0025265285497726</v>
      </c>
      <c r="G310" s="40">
        <f t="shared" ref="G310:G321" si="54">D310/E310*F310</f>
        <v>0.02</v>
      </c>
      <c r="H310" s="150">
        <f>(5760+20982.72)*0.11</f>
        <v>2941.6992</v>
      </c>
      <c r="I310" s="105">
        <f t="shared" si="53"/>
        <v>58.833984000000001</v>
      </c>
    </row>
    <row r="311" spans="1:11" s="1" customFormat="1">
      <c r="A311" s="146"/>
      <c r="B311" s="5" t="s">
        <v>98</v>
      </c>
      <c r="C311" s="5" t="s">
        <v>17</v>
      </c>
      <c r="D311" s="5">
        <v>1</v>
      </c>
      <c r="E311" s="7">
        <f>248*8*(A308/1979)</f>
        <v>50.126326427488628</v>
      </c>
      <c r="F311" s="29">
        <f>E311/A308</f>
        <v>1.0025265285497726</v>
      </c>
      <c r="G311" s="40">
        <f t="shared" si="54"/>
        <v>0.02</v>
      </c>
      <c r="H311" s="150"/>
      <c r="I311" s="105">
        <f t="shared" si="53"/>
        <v>0</v>
      </c>
    </row>
    <row r="312" spans="1:11" s="1" customFormat="1">
      <c r="A312" s="146"/>
      <c r="B312" s="5" t="s">
        <v>56</v>
      </c>
      <c r="C312" s="5" t="s">
        <v>17</v>
      </c>
      <c r="D312" s="5">
        <v>1</v>
      </c>
      <c r="E312" s="7">
        <f>248*8*(A308/1979)</f>
        <v>50.126326427488628</v>
      </c>
      <c r="F312" s="29">
        <f>E312/A308</f>
        <v>1.0025265285497726</v>
      </c>
      <c r="G312" s="40">
        <f t="shared" si="54"/>
        <v>0.02</v>
      </c>
      <c r="H312" s="150">
        <f>14000*0.11</f>
        <v>1540</v>
      </c>
      <c r="I312" s="105">
        <f t="shared" si="53"/>
        <v>30.8</v>
      </c>
    </row>
    <row r="313" spans="1:11" s="1" customFormat="1">
      <c r="A313" s="146"/>
      <c r="B313" s="5" t="s">
        <v>41</v>
      </c>
      <c r="C313" s="5" t="s">
        <v>17</v>
      </c>
      <c r="D313" s="5">
        <v>1</v>
      </c>
      <c r="E313" s="7">
        <f>248*8*(A308/1979)</f>
        <v>50.126326427488628</v>
      </c>
      <c r="F313" s="29">
        <f>E313/A308</f>
        <v>1.0025265285497726</v>
      </c>
      <c r="G313" s="40">
        <f t="shared" si="54"/>
        <v>0.02</v>
      </c>
      <c r="H313" s="150">
        <f>29287*0.11</f>
        <v>3221.57</v>
      </c>
      <c r="I313" s="105">
        <f t="shared" si="53"/>
        <v>64.431400000000011</v>
      </c>
    </row>
    <row r="314" spans="1:11" s="1" customFormat="1">
      <c r="A314" s="146"/>
      <c r="B314" s="5" t="s">
        <v>63</v>
      </c>
      <c r="C314" s="5" t="s">
        <v>17</v>
      </c>
      <c r="D314" s="5">
        <v>1</v>
      </c>
      <c r="E314" s="7">
        <f>248*8*(A308/1979)</f>
        <v>50.126326427488628</v>
      </c>
      <c r="F314" s="29">
        <f>E314/A308</f>
        <v>1.0025265285497726</v>
      </c>
      <c r="G314" s="40">
        <f t="shared" si="54"/>
        <v>0.02</v>
      </c>
      <c r="H314" s="150">
        <f>30000*0.11</f>
        <v>3300</v>
      </c>
      <c r="I314" s="105">
        <f t="shared" si="53"/>
        <v>66</v>
      </c>
    </row>
    <row r="315" spans="1:11" s="1" customFormat="1">
      <c r="A315" s="146"/>
      <c r="B315" s="35" t="s">
        <v>55</v>
      </c>
      <c r="C315" s="5" t="s">
        <v>17</v>
      </c>
      <c r="D315" s="5">
        <v>1</v>
      </c>
      <c r="E315" s="7">
        <f>248*8*(A308/1979)</f>
        <v>50.126326427488628</v>
      </c>
      <c r="F315" s="29">
        <f>E315/A308</f>
        <v>1.0025265285497726</v>
      </c>
      <c r="G315" s="40">
        <f t="shared" si="54"/>
        <v>0.02</v>
      </c>
      <c r="H315" s="150">
        <f>50400*0.11</f>
        <v>5544</v>
      </c>
      <c r="I315" s="105">
        <f t="shared" si="53"/>
        <v>110.88</v>
      </c>
    </row>
    <row r="316" spans="1:11" s="1" customFormat="1">
      <c r="A316" s="125"/>
      <c r="B316" s="55" t="s">
        <v>84</v>
      </c>
      <c r="C316" s="5" t="s">
        <v>17</v>
      </c>
      <c r="D316" s="5">
        <v>1</v>
      </c>
      <c r="E316" s="7">
        <f>248*8*(A308/1979)</f>
        <v>50.126326427488628</v>
      </c>
      <c r="F316" s="29">
        <f>E316/A308</f>
        <v>1.0025265285497726</v>
      </c>
      <c r="G316" s="40">
        <f t="shared" si="54"/>
        <v>0.02</v>
      </c>
      <c r="H316" s="150">
        <f>12000*0.11</f>
        <v>1320</v>
      </c>
      <c r="I316" s="105">
        <f t="shared" si="53"/>
        <v>26.400000000000002</v>
      </c>
    </row>
    <row r="317" spans="1:11" s="1" customFormat="1" ht="30">
      <c r="A317" s="125"/>
      <c r="B317" s="55" t="s">
        <v>113</v>
      </c>
      <c r="C317" s="5" t="s">
        <v>17</v>
      </c>
      <c r="D317" s="5">
        <v>1</v>
      </c>
      <c r="E317" s="7">
        <f>248*8*(A308/1979)</f>
        <v>50.126326427488628</v>
      </c>
      <c r="F317" s="29">
        <f>E317/A308</f>
        <v>1.0025265285497726</v>
      </c>
      <c r="G317" s="40">
        <f t="shared" si="54"/>
        <v>0.02</v>
      </c>
      <c r="H317" s="150">
        <f>161394*0.11</f>
        <v>17753.34</v>
      </c>
      <c r="I317" s="105">
        <f t="shared" si="53"/>
        <v>355.0668</v>
      </c>
    </row>
    <row r="318" spans="1:11" s="1" customFormat="1">
      <c r="A318" s="125"/>
      <c r="B318" s="55" t="s">
        <v>114</v>
      </c>
      <c r="C318" s="5" t="s">
        <v>17</v>
      </c>
      <c r="D318" s="5">
        <v>1</v>
      </c>
      <c r="E318" s="7">
        <f>248*8*(A308/1979)</f>
        <v>50.126326427488628</v>
      </c>
      <c r="F318" s="29">
        <f>E318/A308</f>
        <v>1.0025265285497726</v>
      </c>
      <c r="G318" s="40">
        <f t="shared" si="54"/>
        <v>0.02</v>
      </c>
      <c r="H318" s="150">
        <f>(4220+7000)*0.11</f>
        <v>1234.2</v>
      </c>
      <c r="I318" s="105">
        <f t="shared" si="53"/>
        <v>24.684000000000001</v>
      </c>
    </row>
    <row r="319" spans="1:11" s="1" customFormat="1">
      <c r="A319" s="125"/>
      <c r="B319" s="55" t="s">
        <v>39</v>
      </c>
      <c r="C319" s="5" t="s">
        <v>17</v>
      </c>
      <c r="D319" s="5">
        <v>1</v>
      </c>
      <c r="E319" s="7">
        <f>248*8*(A308/1979)</f>
        <v>50.126326427488628</v>
      </c>
      <c r="F319" s="29">
        <f>E319/A308</f>
        <v>1.0025265285497726</v>
      </c>
      <c r="G319" s="40">
        <f t="shared" si="54"/>
        <v>0.02</v>
      </c>
      <c r="H319" s="150">
        <f>9700*0.11</f>
        <v>1067</v>
      </c>
      <c r="I319" s="105">
        <f t="shared" si="53"/>
        <v>21.34</v>
      </c>
    </row>
    <row r="320" spans="1:11" s="1" customFormat="1">
      <c r="A320" s="125"/>
      <c r="B320" s="55" t="s">
        <v>122</v>
      </c>
      <c r="C320" s="5" t="s">
        <v>17</v>
      </c>
      <c r="D320" s="5">
        <v>1</v>
      </c>
      <c r="E320" s="7">
        <f>248*8*(A308/1979)</f>
        <v>50.126326427488628</v>
      </c>
      <c r="F320" s="29">
        <f>E320/A308</f>
        <v>1.0025265285497726</v>
      </c>
      <c r="G320" s="40">
        <f t="shared" si="54"/>
        <v>0.02</v>
      </c>
      <c r="H320" s="150">
        <f>(10373.9+4585.08)*0.11</f>
        <v>1645.4877999999999</v>
      </c>
      <c r="I320" s="105">
        <f t="shared" si="53"/>
        <v>32.909756000000002</v>
      </c>
    </row>
    <row r="321" spans="1:12" s="1" customFormat="1" ht="13.7" customHeight="1">
      <c r="A321" s="125"/>
      <c r="B321" s="55" t="s">
        <v>115</v>
      </c>
      <c r="C321" s="5" t="s">
        <v>17</v>
      </c>
      <c r="D321" s="5">
        <v>1</v>
      </c>
      <c r="E321" s="7">
        <f>248*8*(A308/1979)</f>
        <v>50.126326427488628</v>
      </c>
      <c r="F321" s="29">
        <f>E321/A308</f>
        <v>1.0025265285497726</v>
      </c>
      <c r="G321" s="40">
        <f t="shared" si="54"/>
        <v>0.02</v>
      </c>
      <c r="H321" s="150">
        <f>3000*0.11</f>
        <v>330</v>
      </c>
      <c r="I321" s="105">
        <f t="shared" si="53"/>
        <v>6.6000000000000005</v>
      </c>
    </row>
    <row r="322" spans="1:12" s="1" customFormat="1" ht="15.75" thickBot="1">
      <c r="A322" s="126"/>
      <c r="B322" s="18"/>
      <c r="C322" s="18"/>
      <c r="D322" s="18"/>
      <c r="E322" s="18"/>
      <c r="F322" s="18"/>
      <c r="G322" s="21"/>
      <c r="H322" s="42"/>
      <c r="I322" s="109">
        <f>SUM(I307:I321)</f>
        <v>991.00474000000008</v>
      </c>
      <c r="J322" s="145">
        <f>(56554+161394+19200+12000+5760+30000+50400+9700+12000+4220+14000+29287+4585.08+7000+20982.72+10373.9+3000)*0.11</f>
        <v>49550.237000000008</v>
      </c>
      <c r="K322" s="142">
        <f>I322*A308</f>
        <v>49550.237000000001</v>
      </c>
      <c r="L322" s="57">
        <f>J322-K322</f>
        <v>0</v>
      </c>
    </row>
    <row r="323" spans="1:12">
      <c r="A323" s="122" t="s">
        <v>69</v>
      </c>
      <c r="B323" s="13" t="s">
        <v>36</v>
      </c>
      <c r="C323" s="13" t="s">
        <v>17</v>
      </c>
      <c r="D323" s="13">
        <v>1</v>
      </c>
      <c r="E323" s="15">
        <f>248*8*(A324/1979)</f>
        <v>38.096008084891359</v>
      </c>
      <c r="F323" s="28">
        <f>E323/A324</f>
        <v>1.0025265285497726</v>
      </c>
      <c r="G323" s="41">
        <f>D323/E323*F323</f>
        <v>2.6315789473684209E-2</v>
      </c>
      <c r="H323" s="149">
        <f>87660*0.06</f>
        <v>5259.5999999999995</v>
      </c>
      <c r="I323" s="104">
        <f>H323*G323</f>
        <v>138.41052631578944</v>
      </c>
    </row>
    <row r="324" spans="1:12" s="1" customFormat="1">
      <c r="A324" s="120">
        <f>ком.усл!A118</f>
        <v>38</v>
      </c>
      <c r="B324" s="5" t="s">
        <v>37</v>
      </c>
      <c r="C324" s="5" t="s">
        <v>17</v>
      </c>
      <c r="D324" s="5">
        <v>1</v>
      </c>
      <c r="E324" s="7">
        <f>248*8*(A324/1979)</f>
        <v>38.096008084891359</v>
      </c>
      <c r="F324" s="29">
        <f>E324/A324</f>
        <v>1.0025265285497726</v>
      </c>
      <c r="G324" s="40">
        <f>D324/E324*F324</f>
        <v>2.6315789473684209E-2</v>
      </c>
      <c r="H324" s="150">
        <f>38400*0.06</f>
        <v>2304</v>
      </c>
      <c r="I324" s="105">
        <f t="shared" ref="I324:I334" si="55">H324*G324</f>
        <v>60.631578947368418</v>
      </c>
    </row>
    <row r="325" spans="1:12" s="1" customFormat="1">
      <c r="A325" s="146"/>
      <c r="B325" s="5" t="s">
        <v>40</v>
      </c>
      <c r="C325" s="5" t="s">
        <v>17</v>
      </c>
      <c r="D325" s="5">
        <v>1</v>
      </c>
      <c r="E325" s="7">
        <f>248*8*(A324/1979)</f>
        <v>38.096008084891359</v>
      </c>
      <c r="F325" s="29">
        <f>E325/A324</f>
        <v>1.0025265285497726</v>
      </c>
      <c r="G325" s="40">
        <f>D325/E325*F325</f>
        <v>2.6315789473684209E-2</v>
      </c>
      <c r="H325" s="150"/>
      <c r="I325" s="105">
        <f t="shared" si="55"/>
        <v>0</v>
      </c>
    </row>
    <row r="326" spans="1:12" s="1" customFormat="1">
      <c r="A326" s="146"/>
      <c r="B326" s="5" t="s">
        <v>38</v>
      </c>
      <c r="C326" s="5" t="s">
        <v>17</v>
      </c>
      <c r="D326" s="5">
        <v>1</v>
      </c>
      <c r="E326" s="7">
        <f>248*8*(A324/1979)</f>
        <v>38.096008084891359</v>
      </c>
      <c r="F326" s="29">
        <f>E326/A324</f>
        <v>1.0025265285497726</v>
      </c>
      <c r="G326" s="40">
        <f t="shared" ref="G326:G337" si="56">D326/E326*F326</f>
        <v>2.6315789473684209E-2</v>
      </c>
      <c r="H326" s="150">
        <f>41965.56*0.06</f>
        <v>2517.9335999999998</v>
      </c>
      <c r="I326" s="105">
        <f t="shared" si="55"/>
        <v>66.261410526315785</v>
      </c>
    </row>
    <row r="327" spans="1:12" s="1" customFormat="1">
      <c r="A327" s="146"/>
      <c r="B327" s="5" t="s">
        <v>123</v>
      </c>
      <c r="C327" s="5" t="s">
        <v>17</v>
      </c>
      <c r="D327" s="5">
        <v>1</v>
      </c>
      <c r="E327" s="7">
        <f>248*8*(A324/1979)</f>
        <v>38.096008084891359</v>
      </c>
      <c r="F327" s="29">
        <f>E327/A324</f>
        <v>1.0025265285497726</v>
      </c>
      <c r="G327" s="40">
        <f t="shared" si="56"/>
        <v>2.6315789473684209E-2</v>
      </c>
      <c r="H327" s="150">
        <f>3084*0.06</f>
        <v>185.04</v>
      </c>
      <c r="I327" s="105">
        <f t="shared" si="55"/>
        <v>4.8694736842105257</v>
      </c>
    </row>
    <row r="328" spans="1:12" s="1" customFormat="1">
      <c r="A328" s="146"/>
      <c r="B328" s="5" t="s">
        <v>56</v>
      </c>
      <c r="C328" s="5" t="s">
        <v>17</v>
      </c>
      <c r="D328" s="5">
        <v>1</v>
      </c>
      <c r="E328" s="7">
        <f>248*8*(A324/1979)</f>
        <v>38.096008084891359</v>
      </c>
      <c r="F328" s="29">
        <f>E328/A324</f>
        <v>1.0025265285497726</v>
      </c>
      <c r="G328" s="40">
        <f t="shared" si="56"/>
        <v>2.6315789473684209E-2</v>
      </c>
      <c r="H328" s="150">
        <f>13900*0.06</f>
        <v>834</v>
      </c>
      <c r="I328" s="105">
        <f t="shared" si="55"/>
        <v>21.94736842105263</v>
      </c>
    </row>
    <row r="329" spans="1:12" s="1" customFormat="1">
      <c r="A329" s="146"/>
      <c r="B329" s="5" t="s">
        <v>41</v>
      </c>
      <c r="C329" s="5" t="s">
        <v>17</v>
      </c>
      <c r="D329" s="5">
        <v>1</v>
      </c>
      <c r="E329" s="7">
        <f>248*8*(A324/1979)</f>
        <v>38.096008084891359</v>
      </c>
      <c r="F329" s="29">
        <f>E329/A324</f>
        <v>1.0025265285497726</v>
      </c>
      <c r="G329" s="40">
        <f t="shared" si="56"/>
        <v>2.6315789473684209E-2</v>
      </c>
      <c r="H329" s="150">
        <f>31710*0.06</f>
        <v>1902.6</v>
      </c>
      <c r="I329" s="105">
        <f t="shared" si="55"/>
        <v>50.068421052631571</v>
      </c>
    </row>
    <row r="330" spans="1:12" s="1" customFormat="1">
      <c r="A330" s="146"/>
      <c r="B330" s="5" t="s">
        <v>63</v>
      </c>
      <c r="C330" s="5" t="s">
        <v>17</v>
      </c>
      <c r="D330" s="5">
        <v>1</v>
      </c>
      <c r="E330" s="7">
        <f>248*8*(A324/1979)</f>
        <v>38.096008084891359</v>
      </c>
      <c r="F330" s="29">
        <f>E330/A324</f>
        <v>1.0025265285497726</v>
      </c>
      <c r="G330" s="40">
        <f t="shared" si="56"/>
        <v>2.6315789473684209E-2</v>
      </c>
      <c r="H330" s="150">
        <f>60000*0.06</f>
        <v>3600</v>
      </c>
      <c r="I330" s="105">
        <f t="shared" si="55"/>
        <v>94.73684210526315</v>
      </c>
    </row>
    <row r="331" spans="1:12" s="1" customFormat="1">
      <c r="A331" s="146"/>
      <c r="B331" s="35" t="s">
        <v>55</v>
      </c>
      <c r="C331" s="5" t="s">
        <v>17</v>
      </c>
      <c r="D331" s="5">
        <v>1</v>
      </c>
      <c r="E331" s="7">
        <f>248*8*(A324/1979)</f>
        <v>38.096008084891359</v>
      </c>
      <c r="F331" s="29">
        <f>E331/A324</f>
        <v>1.0025265285497726</v>
      </c>
      <c r="G331" s="40">
        <f t="shared" si="56"/>
        <v>2.6315789473684209E-2</v>
      </c>
      <c r="H331" s="150">
        <f>50400*0.06</f>
        <v>3024</v>
      </c>
      <c r="I331" s="105">
        <f t="shared" si="55"/>
        <v>79.578947368421055</v>
      </c>
    </row>
    <row r="332" spans="1:12" s="1" customFormat="1">
      <c r="A332" s="146"/>
      <c r="B332" s="55" t="s">
        <v>84</v>
      </c>
      <c r="C332" s="5" t="s">
        <v>17</v>
      </c>
      <c r="D332" s="5">
        <v>1</v>
      </c>
      <c r="E332" s="7">
        <f>248*8*(A324/1979)</f>
        <v>38.096008084891359</v>
      </c>
      <c r="F332" s="29">
        <f>E332/A324</f>
        <v>1.0025265285497726</v>
      </c>
      <c r="G332" s="40">
        <f t="shared" si="56"/>
        <v>2.6315789473684209E-2</v>
      </c>
      <c r="H332" s="150">
        <f>16800*0.06</f>
        <v>1008</v>
      </c>
      <c r="I332" s="105">
        <f t="shared" si="55"/>
        <v>26.526315789473681</v>
      </c>
    </row>
    <row r="333" spans="1:12" s="1" customFormat="1" ht="30">
      <c r="A333" s="146"/>
      <c r="B333" s="55" t="s">
        <v>113</v>
      </c>
      <c r="C333" s="5" t="s">
        <v>17</v>
      </c>
      <c r="D333" s="5">
        <v>1</v>
      </c>
      <c r="E333" s="7">
        <f>248*8*(A324/1979)</f>
        <v>38.096008084891359</v>
      </c>
      <c r="F333" s="29">
        <f>E333/A324</f>
        <v>1.0025265285497726</v>
      </c>
      <c r="G333" s="40">
        <f t="shared" si="56"/>
        <v>2.6315789473684209E-2</v>
      </c>
      <c r="H333" s="150"/>
      <c r="I333" s="105">
        <f t="shared" si="55"/>
        <v>0</v>
      </c>
    </row>
    <row r="334" spans="1:12" s="1" customFormat="1">
      <c r="A334" s="146"/>
      <c r="B334" s="55" t="s">
        <v>114</v>
      </c>
      <c r="C334" s="5" t="s">
        <v>17</v>
      </c>
      <c r="D334" s="5">
        <v>1</v>
      </c>
      <c r="E334" s="7">
        <f>248*8*(A324/1979)</f>
        <v>38.096008084891359</v>
      </c>
      <c r="F334" s="29">
        <f>E334/A324</f>
        <v>1.0025265285497726</v>
      </c>
      <c r="G334" s="40">
        <f t="shared" si="56"/>
        <v>2.6315789473684209E-2</v>
      </c>
      <c r="H334" s="150">
        <f>(129600+12000)*0.06</f>
        <v>8496</v>
      </c>
      <c r="I334" s="105">
        <f t="shared" si="55"/>
        <v>223.57894736842104</v>
      </c>
    </row>
    <row r="335" spans="1:12" s="1" customFormat="1">
      <c r="A335" s="125"/>
      <c r="B335" s="55" t="s">
        <v>39</v>
      </c>
      <c r="C335" s="5" t="s">
        <v>17</v>
      </c>
      <c r="D335" s="5">
        <v>1</v>
      </c>
      <c r="E335" s="7">
        <f>248*8*(A324/1979)</f>
        <v>38.096008084891359</v>
      </c>
      <c r="F335" s="29">
        <f>E335/A324</f>
        <v>1.0025265285497726</v>
      </c>
      <c r="G335" s="40">
        <f t="shared" si="56"/>
        <v>2.6315789473684209E-2</v>
      </c>
      <c r="H335" s="150">
        <f>14748*0.06</f>
        <v>884.88</v>
      </c>
      <c r="I335" s="105">
        <f>H335*G335</f>
        <v>23.286315789473683</v>
      </c>
    </row>
    <row r="336" spans="1:12" s="1" customFormat="1">
      <c r="A336" s="125"/>
      <c r="B336" s="55" t="s">
        <v>122</v>
      </c>
      <c r="C336" s="5" t="s">
        <v>17</v>
      </c>
      <c r="D336" s="5">
        <v>1</v>
      </c>
      <c r="E336" s="7">
        <f>248*8*(A324/1979)</f>
        <v>38.096008084891359</v>
      </c>
      <c r="F336" s="29">
        <f>E336/A324</f>
        <v>1.0025265285497726</v>
      </c>
      <c r="G336" s="40">
        <f t="shared" si="56"/>
        <v>2.6315789473684209E-2</v>
      </c>
      <c r="H336" s="150">
        <f>(4585.08+10557.49)*0.06</f>
        <v>908.55419999999992</v>
      </c>
      <c r="I336" s="105">
        <f t="shared" ref="I336:I337" si="57">H336*G336</f>
        <v>23.909321052631576</v>
      </c>
    </row>
    <row r="337" spans="1:12" s="1" customFormat="1" ht="13.7" customHeight="1">
      <c r="A337" s="125"/>
      <c r="B337" s="55" t="s">
        <v>115</v>
      </c>
      <c r="C337" s="5" t="s">
        <v>17</v>
      </c>
      <c r="D337" s="5">
        <v>1</v>
      </c>
      <c r="E337" s="7">
        <f>248*8*(A324/1979)</f>
        <v>38.096008084891359</v>
      </c>
      <c r="F337" s="29">
        <f>E337/A324</f>
        <v>1.0025265285497726</v>
      </c>
      <c r="G337" s="40">
        <f t="shared" si="56"/>
        <v>2.6315789473684209E-2</v>
      </c>
      <c r="H337" s="150">
        <f>3300*0.06</f>
        <v>198</v>
      </c>
      <c r="I337" s="105">
        <f t="shared" si="57"/>
        <v>5.2105263157894735</v>
      </c>
    </row>
    <row r="338" spans="1:12" s="1" customFormat="1" ht="15.75" thickBot="1">
      <c r="A338" s="126"/>
      <c r="B338" s="18"/>
      <c r="C338" s="18"/>
      <c r="D338" s="18"/>
      <c r="E338" s="18"/>
      <c r="F338" s="18"/>
      <c r="G338" s="21"/>
      <c r="H338" s="42"/>
      <c r="I338" s="109">
        <f>SUM(I323:I337)</f>
        <v>819.01599473684189</v>
      </c>
      <c r="J338" s="145">
        <f>(87660+38400+60000+50400+14748+16800+13900+31710+4585.08+3084+129600+12000+41965.56+10557.49+3300)*0.06</f>
        <v>31122.607799999998</v>
      </c>
      <c r="K338" s="142">
        <f>I338*A324</f>
        <v>31122.607799999991</v>
      </c>
      <c r="L338" s="57">
        <f>J338-K338</f>
        <v>0</v>
      </c>
    </row>
    <row r="339" spans="1:12">
      <c r="A339" s="122" t="s">
        <v>70</v>
      </c>
      <c r="B339" s="13" t="s">
        <v>36</v>
      </c>
      <c r="C339" s="13" t="s">
        <v>17</v>
      </c>
      <c r="D339" s="13">
        <v>1</v>
      </c>
      <c r="E339" s="15">
        <f>248*8*(A340/1979)</f>
        <v>40.101061141990904</v>
      </c>
      <c r="F339" s="28">
        <f>E339/A340</f>
        <v>1.0025265285497726</v>
      </c>
      <c r="G339" s="41">
        <f>D339/E339*F339</f>
        <v>2.5000000000000001E-2</v>
      </c>
      <c r="H339" s="149">
        <f>81014*0.07</f>
        <v>5670.9800000000005</v>
      </c>
      <c r="I339" s="104">
        <f>H339*G339</f>
        <v>141.77450000000002</v>
      </c>
    </row>
    <row r="340" spans="1:12" s="1" customFormat="1">
      <c r="A340" s="120">
        <f>ком.усл!A123</f>
        <v>40</v>
      </c>
      <c r="B340" s="5" t="s">
        <v>37</v>
      </c>
      <c r="C340" s="5" t="s">
        <v>17</v>
      </c>
      <c r="D340" s="5">
        <v>1</v>
      </c>
      <c r="E340" s="7">
        <f>248*8*(A340/1979)</f>
        <v>40.101061141990904</v>
      </c>
      <c r="F340" s="29">
        <f>E340/A340</f>
        <v>1.0025265285497726</v>
      </c>
      <c r="G340" s="40">
        <f>D340/E340*F340</f>
        <v>2.5000000000000001E-2</v>
      </c>
      <c r="H340" s="150">
        <f>75600*0.07</f>
        <v>5292.0000000000009</v>
      </c>
      <c r="I340" s="105">
        <f t="shared" ref="I340:I353" si="58">H340*G340</f>
        <v>132.30000000000004</v>
      </c>
    </row>
    <row r="341" spans="1:12" s="1" customFormat="1">
      <c r="A341" s="146"/>
      <c r="B341" s="5" t="s">
        <v>40</v>
      </c>
      <c r="C341" s="5" t="s">
        <v>17</v>
      </c>
      <c r="D341" s="5">
        <v>1</v>
      </c>
      <c r="E341" s="7">
        <f>248*8*(A340/1979)</f>
        <v>40.101061141990904</v>
      </c>
      <c r="F341" s="29">
        <f>E341/A340</f>
        <v>1.0025265285497726</v>
      </c>
      <c r="G341" s="40">
        <f>D341/E341*F341</f>
        <v>2.5000000000000001E-2</v>
      </c>
      <c r="H341" s="150">
        <f>79200*0.07</f>
        <v>5544.0000000000009</v>
      </c>
      <c r="I341" s="105">
        <f t="shared" si="58"/>
        <v>138.60000000000002</v>
      </c>
    </row>
    <row r="342" spans="1:12" s="1" customFormat="1">
      <c r="A342" s="146"/>
      <c r="B342" s="5" t="s">
        <v>38</v>
      </c>
      <c r="C342" s="5" t="s">
        <v>17</v>
      </c>
      <c r="D342" s="5">
        <v>1</v>
      </c>
      <c r="E342" s="7">
        <f>248*8*(A340/1979)</f>
        <v>40.101061141990904</v>
      </c>
      <c r="F342" s="29">
        <f>E342/A340</f>
        <v>1.0025265285497726</v>
      </c>
      <c r="G342" s="40">
        <f t="shared" ref="G342:G353" si="59">D342/E342*F342</f>
        <v>2.5000000000000001E-2</v>
      </c>
      <c r="H342" s="150">
        <f>62948.16*0.07</f>
        <v>4406.3712000000005</v>
      </c>
      <c r="I342" s="105">
        <f t="shared" si="58"/>
        <v>110.15928000000002</v>
      </c>
    </row>
    <row r="343" spans="1:12" s="1" customFormat="1">
      <c r="A343" s="146"/>
      <c r="B343" s="5" t="s">
        <v>123</v>
      </c>
      <c r="C343" s="5" t="s">
        <v>17</v>
      </c>
      <c r="D343" s="5">
        <v>1</v>
      </c>
      <c r="E343" s="7">
        <f>248*8*(A340/1979)</f>
        <v>40.101061141990904</v>
      </c>
      <c r="F343" s="29">
        <f>E343/A340</f>
        <v>1.0025265285497726</v>
      </c>
      <c r="G343" s="40">
        <f t="shared" si="59"/>
        <v>2.5000000000000001E-2</v>
      </c>
      <c r="H343" s="150">
        <f>4640*0.07</f>
        <v>324.8</v>
      </c>
      <c r="I343" s="105">
        <f t="shared" si="58"/>
        <v>8.120000000000001</v>
      </c>
    </row>
    <row r="344" spans="1:12" s="1" customFormat="1">
      <c r="A344" s="146"/>
      <c r="B344" s="5" t="s">
        <v>56</v>
      </c>
      <c r="C344" s="5" t="s">
        <v>17</v>
      </c>
      <c r="D344" s="5">
        <v>1</v>
      </c>
      <c r="E344" s="7">
        <f>248*8*(A340/1979)</f>
        <v>40.101061141990904</v>
      </c>
      <c r="F344" s="29">
        <f>E344/A340</f>
        <v>1.0025265285497726</v>
      </c>
      <c r="G344" s="40">
        <f t="shared" si="59"/>
        <v>2.5000000000000001E-2</v>
      </c>
      <c r="H344" s="150">
        <f>30000*0.07</f>
        <v>2100</v>
      </c>
      <c r="I344" s="105">
        <f t="shared" si="58"/>
        <v>52.5</v>
      </c>
    </row>
    <row r="345" spans="1:12" s="1" customFormat="1">
      <c r="A345" s="146"/>
      <c r="B345" s="5" t="s">
        <v>41</v>
      </c>
      <c r="C345" s="5" t="s">
        <v>17</v>
      </c>
      <c r="D345" s="5">
        <v>1</v>
      </c>
      <c r="E345" s="7">
        <f>248*8*(A340/1979)</f>
        <v>40.101061141990904</v>
      </c>
      <c r="F345" s="29">
        <f>E345/A340</f>
        <v>1.0025265285497726</v>
      </c>
      <c r="G345" s="40">
        <f t="shared" si="59"/>
        <v>2.5000000000000001E-2</v>
      </c>
      <c r="H345" s="150">
        <f>43730*0.07</f>
        <v>3061.1000000000004</v>
      </c>
      <c r="I345" s="105">
        <f t="shared" si="58"/>
        <v>76.527500000000018</v>
      </c>
    </row>
    <row r="346" spans="1:12" s="1" customFormat="1">
      <c r="A346" s="146"/>
      <c r="B346" s="5" t="s">
        <v>63</v>
      </c>
      <c r="C346" s="5" t="s">
        <v>17</v>
      </c>
      <c r="D346" s="5">
        <v>1</v>
      </c>
      <c r="E346" s="7">
        <f>248*8*(A340/1979)</f>
        <v>40.101061141990904</v>
      </c>
      <c r="F346" s="29">
        <f>E346/A340</f>
        <v>1.0025265285497726</v>
      </c>
      <c r="G346" s="40">
        <f t="shared" si="59"/>
        <v>2.5000000000000001E-2</v>
      </c>
      <c r="H346" s="150">
        <f>90000*0.07</f>
        <v>6300.0000000000009</v>
      </c>
      <c r="I346" s="105">
        <f t="shared" si="58"/>
        <v>157.50000000000003</v>
      </c>
    </row>
    <row r="347" spans="1:12" s="1" customFormat="1">
      <c r="A347" s="146"/>
      <c r="B347" s="35" t="s">
        <v>55</v>
      </c>
      <c r="C347" s="5" t="s">
        <v>17</v>
      </c>
      <c r="D347" s="5">
        <v>1</v>
      </c>
      <c r="E347" s="7">
        <f>248*8*(A340/1979)</f>
        <v>40.101061141990904</v>
      </c>
      <c r="F347" s="29">
        <f>E347/A340</f>
        <v>1.0025265285497726</v>
      </c>
      <c r="G347" s="40">
        <f t="shared" si="59"/>
        <v>2.5000000000000001E-2</v>
      </c>
      <c r="H347" s="150">
        <f>25200*0.07</f>
        <v>1764.0000000000002</v>
      </c>
      <c r="I347" s="105">
        <f t="shared" si="58"/>
        <v>44.100000000000009</v>
      </c>
    </row>
    <row r="348" spans="1:12" s="1" customFormat="1">
      <c r="A348" s="146"/>
      <c r="B348" s="55" t="s">
        <v>84</v>
      </c>
      <c r="C348" s="5" t="s">
        <v>17</v>
      </c>
      <c r="D348" s="5">
        <v>1</v>
      </c>
      <c r="E348" s="7">
        <f>248*8*(A340/1979)</f>
        <v>40.101061141990904</v>
      </c>
      <c r="F348" s="29">
        <f>E348/A340</f>
        <v>1.0025265285497726</v>
      </c>
      <c r="G348" s="40">
        <f t="shared" si="59"/>
        <v>2.5000000000000001E-2</v>
      </c>
      <c r="H348" s="150">
        <f>54000*0.07</f>
        <v>3780.0000000000005</v>
      </c>
      <c r="I348" s="105">
        <f t="shared" si="58"/>
        <v>94.500000000000014</v>
      </c>
    </row>
    <row r="349" spans="1:12" s="1" customFormat="1" ht="30">
      <c r="A349" s="146"/>
      <c r="B349" s="55" t="s">
        <v>113</v>
      </c>
      <c r="C349" s="5" t="s">
        <v>17</v>
      </c>
      <c r="D349" s="5">
        <v>1</v>
      </c>
      <c r="E349" s="7">
        <f>248*8*(A340/1979)</f>
        <v>40.101061141990904</v>
      </c>
      <c r="F349" s="29">
        <f>E349/A340</f>
        <v>1.0025265285497726</v>
      </c>
      <c r="G349" s="40">
        <f t="shared" si="59"/>
        <v>2.5000000000000001E-2</v>
      </c>
      <c r="H349" s="150"/>
      <c r="I349" s="105">
        <f t="shared" si="58"/>
        <v>0</v>
      </c>
    </row>
    <row r="350" spans="1:12" s="1" customFormat="1">
      <c r="A350" s="125"/>
      <c r="B350" s="55" t="s">
        <v>114</v>
      </c>
      <c r="C350" s="5" t="s">
        <v>17</v>
      </c>
      <c r="D350" s="5">
        <v>1</v>
      </c>
      <c r="E350" s="7">
        <f>248*8*(A340/1979)</f>
        <v>40.101061141990904</v>
      </c>
      <c r="F350" s="29">
        <f>E350/A340</f>
        <v>1.0025265285497726</v>
      </c>
      <c r="G350" s="40">
        <f t="shared" si="59"/>
        <v>2.5000000000000001E-2</v>
      </c>
      <c r="H350" s="150">
        <f>(18000+81990+12000)*0.07</f>
        <v>7839.3000000000011</v>
      </c>
      <c r="I350" s="105">
        <f t="shared" si="58"/>
        <v>195.98250000000004</v>
      </c>
    </row>
    <row r="351" spans="1:12" s="1" customFormat="1">
      <c r="A351" s="125"/>
      <c r="B351" s="55" t="s">
        <v>39</v>
      </c>
      <c r="C351" s="5" t="s">
        <v>17</v>
      </c>
      <c r="D351" s="5">
        <v>1</v>
      </c>
      <c r="E351" s="7">
        <f>248*8*(A340/1979)</f>
        <v>40.101061141990904</v>
      </c>
      <c r="F351" s="29">
        <f>E351/A340</f>
        <v>1.0025265285497726</v>
      </c>
      <c r="G351" s="40">
        <f t="shared" si="59"/>
        <v>2.5000000000000001E-2</v>
      </c>
      <c r="H351" s="150">
        <f>27082*0.07</f>
        <v>1895.7400000000002</v>
      </c>
      <c r="I351" s="105">
        <f t="shared" si="58"/>
        <v>47.39350000000001</v>
      </c>
    </row>
    <row r="352" spans="1:12" s="1" customFormat="1">
      <c r="A352" s="125"/>
      <c r="B352" s="55" t="s">
        <v>122</v>
      </c>
      <c r="C352" s="5" t="s">
        <v>17</v>
      </c>
      <c r="D352" s="5">
        <v>1</v>
      </c>
      <c r="E352" s="7">
        <f>248*8*(A340/1979)</f>
        <v>40.101061141990904</v>
      </c>
      <c r="F352" s="29">
        <f>E352/A340</f>
        <v>1.0025265285497726</v>
      </c>
      <c r="G352" s="40">
        <f t="shared" si="59"/>
        <v>2.5000000000000001E-2</v>
      </c>
      <c r="H352" s="150">
        <f>(4585.08+13220.63)*0.07</f>
        <v>1246.3997000000002</v>
      </c>
      <c r="I352" s="105">
        <f t="shared" si="58"/>
        <v>31.159992500000005</v>
      </c>
    </row>
    <row r="353" spans="1:12" s="1" customFormat="1" ht="13.7" customHeight="1">
      <c r="A353" s="125"/>
      <c r="B353" s="55" t="s">
        <v>115</v>
      </c>
      <c r="C353" s="5" t="s">
        <v>17</v>
      </c>
      <c r="D353" s="5">
        <v>1</v>
      </c>
      <c r="E353" s="7">
        <f>248*8*(A340/1979)</f>
        <v>40.101061141990904</v>
      </c>
      <c r="F353" s="29">
        <f>E353/A340</f>
        <v>1.0025265285497726</v>
      </c>
      <c r="G353" s="40">
        <f t="shared" si="59"/>
        <v>2.5000000000000001E-2</v>
      </c>
      <c r="H353" s="150">
        <f>6000*0.07</f>
        <v>420.00000000000006</v>
      </c>
      <c r="I353" s="105">
        <f t="shared" si="58"/>
        <v>10.500000000000002</v>
      </c>
    </row>
    <row r="354" spans="1:12" s="1" customFormat="1" ht="15.75" thickBot="1">
      <c r="A354" s="126"/>
      <c r="B354" s="18"/>
      <c r="C354" s="18"/>
      <c r="D354" s="18"/>
      <c r="E354" s="18"/>
      <c r="F354" s="18"/>
      <c r="G354" s="21"/>
      <c r="H354" s="42"/>
      <c r="I354" s="109">
        <f>SUM(I339:I353)</f>
        <v>1241.1172725000001</v>
      </c>
      <c r="J354" s="145">
        <f>(81014+75600+79200+90000+25200+27082+54000+18000+30000+43730+4585.08+4640+81990+12000+62948.16+13220.63+6000)*0.07</f>
        <v>49644.690900000001</v>
      </c>
      <c r="K354" s="142">
        <f>I354*A340</f>
        <v>49644.690900000001</v>
      </c>
      <c r="L354" s="57">
        <f>J354-K354</f>
        <v>0</v>
      </c>
    </row>
    <row r="355" spans="1:12">
      <c r="A355" s="122" t="s">
        <v>71</v>
      </c>
      <c r="B355" s="13" t="s">
        <v>36</v>
      </c>
      <c r="C355" s="13" t="s">
        <v>17</v>
      </c>
      <c r="D355" s="13">
        <v>1</v>
      </c>
      <c r="E355" s="15">
        <f>248*8*(A356/1979)</f>
        <v>94.237493683678622</v>
      </c>
      <c r="F355" s="28">
        <f>E355/A356</f>
        <v>1.0025265285497726</v>
      </c>
      <c r="G355" s="41">
        <f>D355/E355*F355</f>
        <v>1.0638297872340427E-2</v>
      </c>
      <c r="H355" s="149">
        <f>56556*0.11</f>
        <v>6221.16</v>
      </c>
      <c r="I355" s="104">
        <f>H355*G355</f>
        <v>66.182553191489376</v>
      </c>
    </row>
    <row r="356" spans="1:12" s="1" customFormat="1">
      <c r="A356" s="120">
        <f>ком.усл!A128</f>
        <v>94</v>
      </c>
      <c r="B356" s="5" t="s">
        <v>37</v>
      </c>
      <c r="C356" s="5" t="s">
        <v>17</v>
      </c>
      <c r="D356" s="5">
        <v>1</v>
      </c>
      <c r="E356" s="7">
        <f>248*8*(A356/1979)</f>
        <v>94.237493683678622</v>
      </c>
      <c r="F356" s="29">
        <f>E356/A356</f>
        <v>1.0025265285497726</v>
      </c>
      <c r="G356" s="40">
        <f>D356/E356*F356</f>
        <v>1.0638297872340427E-2</v>
      </c>
      <c r="H356" s="150">
        <f>21600*0.11</f>
        <v>2376</v>
      </c>
      <c r="I356" s="105">
        <f t="shared" ref="I356:I369" si="60">H356*G356</f>
        <v>25.276595744680854</v>
      </c>
    </row>
    <row r="357" spans="1:12" s="1" customFormat="1">
      <c r="A357" s="146"/>
      <c r="B357" s="5" t="s">
        <v>40</v>
      </c>
      <c r="C357" s="5" t="s">
        <v>17</v>
      </c>
      <c r="D357" s="5">
        <v>1</v>
      </c>
      <c r="E357" s="7">
        <f>248*8*(A356/1979)</f>
        <v>94.237493683678622</v>
      </c>
      <c r="F357" s="29">
        <f>E357/A356</f>
        <v>1.0025265285497726</v>
      </c>
      <c r="G357" s="40">
        <f>D357/E357*F357</f>
        <v>1.0638297872340427E-2</v>
      </c>
      <c r="H357" s="150">
        <f>6000*0.11</f>
        <v>660</v>
      </c>
      <c r="I357" s="105">
        <f t="shared" si="60"/>
        <v>7.0212765957446814</v>
      </c>
    </row>
    <row r="358" spans="1:12" s="1" customFormat="1">
      <c r="A358" s="146"/>
      <c r="B358" s="5" t="s">
        <v>38</v>
      </c>
      <c r="C358" s="5" t="s">
        <v>17</v>
      </c>
      <c r="D358" s="5">
        <v>1</v>
      </c>
      <c r="E358" s="7">
        <f>248*8*(A356/1979)</f>
        <v>94.237493683678622</v>
      </c>
      <c r="F358" s="29">
        <f>E358/A356</f>
        <v>1.0025265285497726</v>
      </c>
      <c r="G358" s="40">
        <f t="shared" ref="G358:G369" si="61">D358/E358*F358</f>
        <v>1.0638297872340427E-2</v>
      </c>
      <c r="H358" s="150">
        <f>(4800+20982.72)*0.11</f>
        <v>2836.0992000000001</v>
      </c>
      <c r="I358" s="105">
        <f t="shared" si="60"/>
        <v>30.171268085106387</v>
      </c>
    </row>
    <row r="359" spans="1:12" s="1" customFormat="1">
      <c r="A359" s="146"/>
      <c r="B359" s="5" t="s">
        <v>124</v>
      </c>
      <c r="C359" s="5" t="s">
        <v>17</v>
      </c>
      <c r="D359" s="5">
        <v>1</v>
      </c>
      <c r="E359" s="7">
        <f>248*8*(A356/1979)</f>
        <v>94.237493683678622</v>
      </c>
      <c r="F359" s="29">
        <f>E359/A356</f>
        <v>1.0025265285497726</v>
      </c>
      <c r="G359" s="40">
        <f t="shared" si="61"/>
        <v>1.0638297872340427E-2</v>
      </c>
      <c r="H359" s="150">
        <f>454291.36*0.11</f>
        <v>49972.049599999998</v>
      </c>
      <c r="I359" s="105">
        <f t="shared" si="60"/>
        <v>531.61754893617024</v>
      </c>
    </row>
    <row r="360" spans="1:12" s="1" customFormat="1">
      <c r="A360" s="146"/>
      <c r="B360" s="5" t="s">
        <v>56</v>
      </c>
      <c r="C360" s="5" t="s">
        <v>17</v>
      </c>
      <c r="D360" s="5">
        <v>1</v>
      </c>
      <c r="E360" s="7">
        <f>248*8*(A356/1979)</f>
        <v>94.237493683678622</v>
      </c>
      <c r="F360" s="29">
        <f>E360/A356</f>
        <v>1.0025265285497726</v>
      </c>
      <c r="G360" s="40">
        <f t="shared" si="61"/>
        <v>1.0638297872340427E-2</v>
      </c>
      <c r="H360" s="150">
        <f>16000*0.11</f>
        <v>1760</v>
      </c>
      <c r="I360" s="105">
        <f t="shared" si="60"/>
        <v>18.723404255319153</v>
      </c>
    </row>
    <row r="361" spans="1:12" s="1" customFormat="1">
      <c r="A361" s="146"/>
      <c r="B361" s="5" t="s">
        <v>41</v>
      </c>
      <c r="C361" s="5" t="s">
        <v>17</v>
      </c>
      <c r="D361" s="5">
        <v>1</v>
      </c>
      <c r="E361" s="7">
        <f>248*8*(A356/1979)</f>
        <v>94.237493683678622</v>
      </c>
      <c r="F361" s="29">
        <f>E361/A356</f>
        <v>1.0025265285497726</v>
      </c>
      <c r="G361" s="40">
        <f t="shared" si="61"/>
        <v>1.0638297872340427E-2</v>
      </c>
      <c r="H361" s="150">
        <f>27020*0.11</f>
        <v>2972.2</v>
      </c>
      <c r="I361" s="105">
        <f t="shared" si="60"/>
        <v>31.619148936170216</v>
      </c>
    </row>
    <row r="362" spans="1:12" s="1" customFormat="1">
      <c r="A362" s="125"/>
      <c r="B362" s="5" t="s">
        <v>63</v>
      </c>
      <c r="C362" s="5" t="s">
        <v>17</v>
      </c>
      <c r="D362" s="5">
        <v>1</v>
      </c>
      <c r="E362" s="7">
        <f>248*8*(A356/1979)</f>
        <v>94.237493683678622</v>
      </c>
      <c r="F362" s="29">
        <f>E362/A356</f>
        <v>1.0025265285497726</v>
      </c>
      <c r="G362" s="40">
        <f t="shared" si="61"/>
        <v>1.0638297872340427E-2</v>
      </c>
      <c r="H362" s="150">
        <f>30000*0.11</f>
        <v>3300</v>
      </c>
      <c r="I362" s="105">
        <f t="shared" si="60"/>
        <v>35.10638297872341</v>
      </c>
    </row>
    <row r="363" spans="1:12" s="1" customFormat="1">
      <c r="A363" s="125"/>
      <c r="B363" s="35" t="s">
        <v>55</v>
      </c>
      <c r="C363" s="5" t="s">
        <v>17</v>
      </c>
      <c r="D363" s="5">
        <v>1</v>
      </c>
      <c r="E363" s="7">
        <f>248*8*(A356/1979)</f>
        <v>94.237493683678622</v>
      </c>
      <c r="F363" s="29">
        <f>E363/A356</f>
        <v>1.0025265285497726</v>
      </c>
      <c r="G363" s="40">
        <f t="shared" si="61"/>
        <v>1.0638297872340427E-2</v>
      </c>
      <c r="H363" s="150">
        <f>25200*0.11</f>
        <v>2772</v>
      </c>
      <c r="I363" s="105">
        <f t="shared" si="60"/>
        <v>29.489361702127663</v>
      </c>
    </row>
    <row r="364" spans="1:12" s="1" customFormat="1">
      <c r="A364" s="125"/>
      <c r="B364" s="55" t="s">
        <v>84</v>
      </c>
      <c r="C364" s="5" t="s">
        <v>17</v>
      </c>
      <c r="D364" s="5">
        <v>1</v>
      </c>
      <c r="E364" s="7">
        <f>248*8*(A356/1979)</f>
        <v>94.237493683678622</v>
      </c>
      <c r="F364" s="29">
        <f>E364/A356</f>
        <v>1.0025265285497726</v>
      </c>
      <c r="G364" s="40">
        <f t="shared" si="61"/>
        <v>1.0638297872340427E-2</v>
      </c>
      <c r="H364" s="150">
        <f>12000*0.11</f>
        <v>1320</v>
      </c>
      <c r="I364" s="105">
        <f t="shared" si="60"/>
        <v>14.042553191489363</v>
      </c>
    </row>
    <row r="365" spans="1:12" s="1" customFormat="1" ht="30">
      <c r="A365" s="125"/>
      <c r="B365" s="55" t="s">
        <v>113</v>
      </c>
      <c r="C365" s="5" t="s">
        <v>17</v>
      </c>
      <c r="D365" s="5">
        <v>1</v>
      </c>
      <c r="E365" s="7">
        <f>248*8*(A356/1979)</f>
        <v>94.237493683678622</v>
      </c>
      <c r="F365" s="29">
        <f>E365/A356</f>
        <v>1.0025265285497726</v>
      </c>
      <c r="G365" s="40">
        <f t="shared" si="61"/>
        <v>1.0638297872340427E-2</v>
      </c>
      <c r="H365" s="150">
        <f>161394*0.11</f>
        <v>17753.34</v>
      </c>
      <c r="I365" s="105">
        <f t="shared" si="60"/>
        <v>188.86531914893621</v>
      </c>
    </row>
    <row r="366" spans="1:12" s="1" customFormat="1" ht="15.75" customHeight="1">
      <c r="A366" s="125"/>
      <c r="B366" s="55" t="s">
        <v>114</v>
      </c>
      <c r="C366" s="5" t="s">
        <v>17</v>
      </c>
      <c r="D366" s="5">
        <v>1</v>
      </c>
      <c r="E366" s="7">
        <f>248*8*(A356/1979)</f>
        <v>94.237493683678622</v>
      </c>
      <c r="F366" s="29">
        <f>E366/A356</f>
        <v>1.0025265285497726</v>
      </c>
      <c r="G366" s="40">
        <f t="shared" si="61"/>
        <v>1.0638297872340427E-2</v>
      </c>
      <c r="H366" s="150">
        <f>(22716+3964.8)*0.11</f>
        <v>2934.8879999999999</v>
      </c>
      <c r="I366" s="105">
        <f t="shared" si="60"/>
        <v>31.222212765957451</v>
      </c>
    </row>
    <row r="367" spans="1:12" s="1" customFormat="1">
      <c r="A367" s="125"/>
      <c r="B367" s="55" t="s">
        <v>39</v>
      </c>
      <c r="C367" s="5" t="s">
        <v>17</v>
      </c>
      <c r="D367" s="5">
        <v>1</v>
      </c>
      <c r="E367" s="7">
        <f>248*8*(A356/1979)</f>
        <v>94.237493683678622</v>
      </c>
      <c r="F367" s="29">
        <f>E367/A356</f>
        <v>1.0025265285497726</v>
      </c>
      <c r="G367" s="40">
        <f t="shared" si="61"/>
        <v>1.0638297872340427E-2</v>
      </c>
      <c r="H367" s="150">
        <f>5428.23*0.11</f>
        <v>597.10529999999994</v>
      </c>
      <c r="I367" s="105">
        <f t="shared" si="60"/>
        <v>6.3521840425531915</v>
      </c>
    </row>
    <row r="368" spans="1:12" s="1" customFormat="1">
      <c r="A368" s="125"/>
      <c r="B368" s="55" t="s">
        <v>122</v>
      </c>
      <c r="C368" s="5" t="s">
        <v>17</v>
      </c>
      <c r="D368" s="5">
        <v>1</v>
      </c>
      <c r="E368" s="7">
        <f>248*8*(A356/1979)</f>
        <v>94.237493683678622</v>
      </c>
      <c r="F368" s="29">
        <f>E368/A356</f>
        <v>1.0025265285497726</v>
      </c>
      <c r="G368" s="40">
        <f t="shared" si="61"/>
        <v>1.0638297872340427E-2</v>
      </c>
      <c r="H368" s="150">
        <f>(6877.62+12660.85)*0.11</f>
        <v>2149.2317000000003</v>
      </c>
      <c r="I368" s="105">
        <f t="shared" si="60"/>
        <v>22.8641670212766</v>
      </c>
    </row>
    <row r="369" spans="1:12" s="1" customFormat="1" ht="13.7" customHeight="1">
      <c r="A369" s="125"/>
      <c r="B369" s="55" t="s">
        <v>115</v>
      </c>
      <c r="C369" s="5" t="s">
        <v>17</v>
      </c>
      <c r="D369" s="5">
        <v>1</v>
      </c>
      <c r="E369" s="7">
        <f>248*8*(A356/1979)</f>
        <v>94.237493683678622</v>
      </c>
      <c r="F369" s="29">
        <f>E369/A356</f>
        <v>1.0025265285497726</v>
      </c>
      <c r="G369" s="40">
        <f t="shared" si="61"/>
        <v>1.0638297872340427E-2</v>
      </c>
      <c r="H369" s="150">
        <f>3000*0.11</f>
        <v>330</v>
      </c>
      <c r="I369" s="105">
        <f t="shared" si="60"/>
        <v>3.5106382978723407</v>
      </c>
    </row>
    <row r="370" spans="1:12" s="1" customFormat="1" ht="15.75" thickBot="1">
      <c r="A370" s="126"/>
      <c r="B370" s="18"/>
      <c r="C370" s="18"/>
      <c r="D370" s="18"/>
      <c r="E370" s="18"/>
      <c r="F370" s="18"/>
      <c r="G370" s="21"/>
      <c r="H370" s="42"/>
      <c r="I370" s="109">
        <f>SUM(I355:I369)</f>
        <v>1042.0646148936173</v>
      </c>
      <c r="J370" s="145">
        <f>(56556+161394+21600+6000+4800+30000+25200+5428.23+12000+3964.8+16000+27020+6877.62+22716+20982.72+12660.85+3000+454291.36)*0.11</f>
        <v>97954.073799999998</v>
      </c>
      <c r="K370" s="142">
        <f>I370*A356</f>
        <v>97954.073800000027</v>
      </c>
      <c r="L370" s="57">
        <f>J370-K370</f>
        <v>0</v>
      </c>
    </row>
    <row r="371" spans="1:12">
      <c r="A371" s="122" t="s">
        <v>72</v>
      </c>
      <c r="B371" s="13" t="s">
        <v>36</v>
      </c>
      <c r="C371" s="13" t="s">
        <v>17</v>
      </c>
      <c r="D371" s="13">
        <v>1</v>
      </c>
      <c r="E371" s="15">
        <f>248*8*(A372/1979)</f>
        <v>96.242546740778167</v>
      </c>
      <c r="F371" s="28">
        <f>E371/A372</f>
        <v>1.0025265285497726</v>
      </c>
      <c r="G371" s="41">
        <f>D371/E371*F371</f>
        <v>1.0416666666666668E-2</v>
      </c>
      <c r="H371" s="149">
        <f>84831*0.1</f>
        <v>8483.1</v>
      </c>
      <c r="I371" s="104">
        <f>H371*G371</f>
        <v>88.365625000000009</v>
      </c>
    </row>
    <row r="372" spans="1:12" s="1" customFormat="1">
      <c r="A372" s="120">
        <f>ком.усл!A133</f>
        <v>96</v>
      </c>
      <c r="B372" s="5" t="s">
        <v>37</v>
      </c>
      <c r="C372" s="5" t="s">
        <v>17</v>
      </c>
      <c r="D372" s="5">
        <v>1</v>
      </c>
      <c r="E372" s="7">
        <f>248*8*(A372/1979)</f>
        <v>96.242546740778167</v>
      </c>
      <c r="F372" s="29">
        <f>E372/A372</f>
        <v>1.0025265285497726</v>
      </c>
      <c r="G372" s="40">
        <f>D372/E372*F372</f>
        <v>1.0416666666666668E-2</v>
      </c>
      <c r="H372" s="150">
        <f>31200*0.1</f>
        <v>3120</v>
      </c>
      <c r="I372" s="105">
        <f t="shared" ref="I372:I385" si="62">H372*G372</f>
        <v>32.500000000000007</v>
      </c>
    </row>
    <row r="373" spans="1:12" s="1" customFormat="1">
      <c r="A373" s="146"/>
      <c r="B373" s="5" t="s">
        <v>40</v>
      </c>
      <c r="C373" s="5" t="s">
        <v>17</v>
      </c>
      <c r="D373" s="5">
        <v>1</v>
      </c>
      <c r="E373" s="7">
        <f>248*8*(A372/1979)</f>
        <v>96.242546740778167</v>
      </c>
      <c r="F373" s="29">
        <f>E373/A372</f>
        <v>1.0025265285497726</v>
      </c>
      <c r="G373" s="40">
        <f>D373/E373*F373</f>
        <v>1.0416666666666668E-2</v>
      </c>
      <c r="H373" s="150">
        <f>31200*0.1</f>
        <v>3120</v>
      </c>
      <c r="I373" s="105">
        <f t="shared" si="62"/>
        <v>32.500000000000007</v>
      </c>
    </row>
    <row r="374" spans="1:12" s="1" customFormat="1">
      <c r="A374" s="146"/>
      <c r="B374" s="5" t="s">
        <v>38</v>
      </c>
      <c r="C374" s="5" t="s">
        <v>17</v>
      </c>
      <c r="D374" s="5">
        <v>1</v>
      </c>
      <c r="E374" s="7">
        <f>248*8*(A372/1979)</f>
        <v>96.242546740778167</v>
      </c>
      <c r="F374" s="29">
        <f>E374/A372</f>
        <v>1.0025265285497726</v>
      </c>
      <c r="G374" s="40">
        <f t="shared" ref="G374:G385" si="63">D374/E374*F374</f>
        <v>1.0416666666666668E-2</v>
      </c>
      <c r="H374" s="150">
        <f>20982.72*0.1</f>
        <v>2098.2720000000004</v>
      </c>
      <c r="I374" s="105">
        <f t="shared" si="62"/>
        <v>21.857000000000006</v>
      </c>
    </row>
    <row r="375" spans="1:12" s="1" customFormat="1">
      <c r="A375" s="146"/>
      <c r="B375" s="5" t="s">
        <v>123</v>
      </c>
      <c r="C375" s="5" t="s">
        <v>17</v>
      </c>
      <c r="D375" s="5">
        <v>1</v>
      </c>
      <c r="E375" s="7">
        <f>248*8*(A372/1979)</f>
        <v>96.242546740778167</v>
      </c>
      <c r="F375" s="29">
        <f>E375/A372</f>
        <v>1.0025265285497726</v>
      </c>
      <c r="G375" s="40">
        <f t="shared" si="63"/>
        <v>1.0416666666666668E-2</v>
      </c>
      <c r="H375" s="150">
        <f>18000*0.1</f>
        <v>1800</v>
      </c>
      <c r="I375" s="105">
        <f t="shared" si="62"/>
        <v>18.750000000000004</v>
      </c>
    </row>
    <row r="376" spans="1:12" s="1" customFormat="1">
      <c r="A376" s="146"/>
      <c r="B376" s="5" t="s">
        <v>56</v>
      </c>
      <c r="C376" s="5" t="s">
        <v>17</v>
      </c>
      <c r="D376" s="5">
        <v>1</v>
      </c>
      <c r="E376" s="7">
        <f>248*8*(A372/1979)</f>
        <v>96.242546740778167</v>
      </c>
      <c r="F376" s="29">
        <f>E376/A372</f>
        <v>1.0025265285497726</v>
      </c>
      <c r="G376" s="40">
        <f t="shared" si="63"/>
        <v>1.0416666666666668E-2</v>
      </c>
      <c r="H376" s="150">
        <f>14000*0.1</f>
        <v>1400</v>
      </c>
      <c r="I376" s="105">
        <f t="shared" si="62"/>
        <v>14.583333333333336</v>
      </c>
    </row>
    <row r="377" spans="1:12" s="1" customFormat="1">
      <c r="A377" s="146"/>
      <c r="B377" s="5" t="s">
        <v>41</v>
      </c>
      <c r="C377" s="5" t="s">
        <v>17</v>
      </c>
      <c r="D377" s="5">
        <v>1</v>
      </c>
      <c r="E377" s="7">
        <f>248*8*(A372/1979)</f>
        <v>96.242546740778167</v>
      </c>
      <c r="F377" s="29">
        <f>E377/A372</f>
        <v>1.0025265285497726</v>
      </c>
      <c r="G377" s="40">
        <f t="shared" si="63"/>
        <v>1.0416666666666668E-2</v>
      </c>
      <c r="H377" s="150">
        <f>17490*0.1</f>
        <v>1749</v>
      </c>
      <c r="I377" s="105">
        <f t="shared" si="62"/>
        <v>18.218750000000004</v>
      </c>
    </row>
    <row r="378" spans="1:12" s="1" customFormat="1">
      <c r="A378" s="146"/>
      <c r="B378" s="5" t="s">
        <v>63</v>
      </c>
      <c r="C378" s="5" t="s">
        <v>17</v>
      </c>
      <c r="D378" s="5">
        <v>1</v>
      </c>
      <c r="E378" s="7">
        <f>248*8*(A372/1979)</f>
        <v>96.242546740778167</v>
      </c>
      <c r="F378" s="29">
        <f>E378/A372</f>
        <v>1.0025265285497726</v>
      </c>
      <c r="G378" s="40">
        <f t="shared" si="63"/>
        <v>1.0416666666666668E-2</v>
      </c>
      <c r="H378" s="150">
        <f>30000*0.1</f>
        <v>3000</v>
      </c>
      <c r="I378" s="105">
        <f t="shared" si="62"/>
        <v>31.250000000000004</v>
      </c>
    </row>
    <row r="379" spans="1:12" s="1" customFormat="1">
      <c r="A379" s="146"/>
      <c r="B379" s="35" t="s">
        <v>55</v>
      </c>
      <c r="C379" s="5" t="s">
        <v>17</v>
      </c>
      <c r="D379" s="5">
        <v>1</v>
      </c>
      <c r="E379" s="7">
        <f>248*8*(A372/1979)</f>
        <v>96.242546740778167</v>
      </c>
      <c r="F379" s="29">
        <f>E379/A372</f>
        <v>1.0025265285497726</v>
      </c>
      <c r="G379" s="40">
        <f t="shared" si="63"/>
        <v>1.0416666666666668E-2</v>
      </c>
      <c r="H379" s="150">
        <f>50400*0.1</f>
        <v>5040</v>
      </c>
      <c r="I379" s="105">
        <f t="shared" si="62"/>
        <v>52.500000000000007</v>
      </c>
    </row>
    <row r="380" spans="1:12" s="1" customFormat="1">
      <c r="A380" s="146"/>
      <c r="B380" s="55" t="s">
        <v>84</v>
      </c>
      <c r="C380" s="5" t="s">
        <v>17</v>
      </c>
      <c r="D380" s="5">
        <v>1</v>
      </c>
      <c r="E380" s="7">
        <f>248*8*(A372/1979)</f>
        <v>96.242546740778167</v>
      </c>
      <c r="F380" s="29">
        <f>E380/A372</f>
        <v>1.0025265285497726</v>
      </c>
      <c r="G380" s="40">
        <f t="shared" si="63"/>
        <v>1.0416666666666668E-2</v>
      </c>
      <c r="H380" s="150">
        <f>12000*0.1</f>
        <v>1200</v>
      </c>
      <c r="I380" s="105">
        <f t="shared" si="62"/>
        <v>12.500000000000002</v>
      </c>
    </row>
    <row r="381" spans="1:12" s="1" customFormat="1" ht="30">
      <c r="A381" s="146"/>
      <c r="B381" s="55" t="s">
        <v>113</v>
      </c>
      <c r="C381" s="5" t="s">
        <v>17</v>
      </c>
      <c r="D381" s="5">
        <v>1</v>
      </c>
      <c r="E381" s="7">
        <f>248*8*(A372/1979)</f>
        <v>96.242546740778167</v>
      </c>
      <c r="F381" s="29">
        <f>E381/A372</f>
        <v>1.0025265285497726</v>
      </c>
      <c r="G381" s="40">
        <f t="shared" si="63"/>
        <v>1.0416666666666668E-2</v>
      </c>
      <c r="H381" s="150"/>
      <c r="I381" s="105">
        <f t="shared" si="62"/>
        <v>0</v>
      </c>
    </row>
    <row r="382" spans="1:12" s="1" customFormat="1">
      <c r="A382" s="146"/>
      <c r="B382" s="55" t="s">
        <v>114</v>
      </c>
      <c r="C382" s="5" t="s">
        <v>17</v>
      </c>
      <c r="D382" s="5">
        <v>1</v>
      </c>
      <c r="E382" s="7">
        <f>248*8*(A372/1979)</f>
        <v>96.242546740778167</v>
      </c>
      <c r="F382" s="29">
        <f>E382/A372</f>
        <v>1.0025265285497726</v>
      </c>
      <c r="G382" s="40">
        <f t="shared" si="63"/>
        <v>1.0416666666666668E-2</v>
      </c>
      <c r="H382" s="150">
        <f>15120*0.1</f>
        <v>1512</v>
      </c>
      <c r="I382" s="105">
        <f t="shared" si="62"/>
        <v>15.750000000000002</v>
      </c>
    </row>
    <row r="383" spans="1:12" s="1" customFormat="1">
      <c r="A383" s="125"/>
      <c r="B383" s="55" t="s">
        <v>39</v>
      </c>
      <c r="C383" s="5" t="s">
        <v>17</v>
      </c>
      <c r="D383" s="5">
        <v>1</v>
      </c>
      <c r="E383" s="7">
        <f>248*8*(A372/1979)</f>
        <v>96.242546740778167</v>
      </c>
      <c r="F383" s="29">
        <f>E383/A372</f>
        <v>1.0025265285497726</v>
      </c>
      <c r="G383" s="40">
        <f t="shared" si="63"/>
        <v>1.0416666666666668E-2</v>
      </c>
      <c r="H383" s="150">
        <f>15999*0.1</f>
        <v>1599.9</v>
      </c>
      <c r="I383" s="105">
        <f t="shared" si="62"/>
        <v>16.665625000000002</v>
      </c>
    </row>
    <row r="384" spans="1:12" s="1" customFormat="1">
      <c r="A384" s="125"/>
      <c r="B384" s="55" t="s">
        <v>122</v>
      </c>
      <c r="C384" s="5" t="s">
        <v>17</v>
      </c>
      <c r="D384" s="5">
        <v>1</v>
      </c>
      <c r="E384" s="7">
        <f>248*8*(A372/1979)</f>
        <v>96.242546740778167</v>
      </c>
      <c r="F384" s="29">
        <f>E384/A372</f>
        <v>1.0025265285497726</v>
      </c>
      <c r="G384" s="40">
        <f t="shared" si="63"/>
        <v>1.0416666666666668E-2</v>
      </c>
      <c r="H384" s="150">
        <f>(6877.22+12043.24)*0.1</f>
        <v>1892.046</v>
      </c>
      <c r="I384" s="105">
        <f t="shared" si="62"/>
        <v>19.708812500000004</v>
      </c>
    </row>
    <row r="385" spans="1:12" s="1" customFormat="1" ht="13.7" customHeight="1">
      <c r="A385" s="125"/>
      <c r="B385" s="55" t="s">
        <v>115</v>
      </c>
      <c r="C385" s="5" t="s">
        <v>17</v>
      </c>
      <c r="D385" s="5">
        <v>1</v>
      </c>
      <c r="E385" s="7">
        <f>248*8*(A372/1979)</f>
        <v>96.242546740778167</v>
      </c>
      <c r="F385" s="29">
        <f>E385/A372</f>
        <v>1.0025265285497726</v>
      </c>
      <c r="G385" s="40">
        <f t="shared" si="63"/>
        <v>1.0416666666666668E-2</v>
      </c>
      <c r="H385" s="150">
        <f>3000*0.1</f>
        <v>300</v>
      </c>
      <c r="I385" s="105">
        <f t="shared" si="62"/>
        <v>3.1250000000000004</v>
      </c>
    </row>
    <row r="386" spans="1:12" s="1" customFormat="1" ht="15.75" thickBot="1">
      <c r="A386" s="126"/>
      <c r="B386" s="18"/>
      <c r="C386" s="18"/>
      <c r="D386" s="18"/>
      <c r="E386" s="18"/>
      <c r="F386" s="18"/>
      <c r="G386" s="21"/>
      <c r="H386" s="42"/>
      <c r="I386" s="109">
        <f>SUM(I371:I385)</f>
        <v>378.27414583333336</v>
      </c>
      <c r="J386" s="145">
        <f>(84831+31200+31200+30000+50400+15999+12000+15120+14000+17490+6877.22+18000+20982.72+12043.24+3000)*0.1</f>
        <v>36314.317999999992</v>
      </c>
      <c r="K386" s="142">
        <f>I386*A372</f>
        <v>36314.317999999999</v>
      </c>
      <c r="L386" s="57">
        <f>J386-K386</f>
        <v>0</v>
      </c>
    </row>
    <row r="387" spans="1:12">
      <c r="A387" s="122" t="s">
        <v>73</v>
      </c>
      <c r="B387" s="13" t="s">
        <v>36</v>
      </c>
      <c r="C387" s="13" t="s">
        <v>17</v>
      </c>
      <c r="D387" s="13">
        <v>1</v>
      </c>
      <c r="E387" s="15">
        <f>248*8*(A388/1979)</f>
        <v>44.111167256189994</v>
      </c>
      <c r="F387" s="28">
        <f>E387/A388</f>
        <v>1.0025265285497726</v>
      </c>
      <c r="G387" s="41">
        <f>D387/E387*F387</f>
        <v>2.2727272727272728E-2</v>
      </c>
      <c r="H387" s="149">
        <f>42415*0.08</f>
        <v>3393.2000000000003</v>
      </c>
      <c r="I387" s="104">
        <f>H387*G387</f>
        <v>77.118181818181824</v>
      </c>
    </row>
    <row r="388" spans="1:12" s="1" customFormat="1">
      <c r="A388" s="120">
        <f>ком.усл!A138</f>
        <v>44</v>
      </c>
      <c r="B388" s="5" t="s">
        <v>37</v>
      </c>
      <c r="C388" s="5" t="s">
        <v>17</v>
      </c>
      <c r="D388" s="5">
        <v>1</v>
      </c>
      <c r="E388" s="7">
        <f>248*8*(A388/1979)</f>
        <v>44.111167256189994</v>
      </c>
      <c r="F388" s="29">
        <f>E388/A388</f>
        <v>1.0025265285497726</v>
      </c>
      <c r="G388" s="40">
        <f>D388/E388*F388</f>
        <v>2.2727272727272728E-2</v>
      </c>
      <c r="H388" s="150">
        <f>32400*0.08</f>
        <v>2592</v>
      </c>
      <c r="I388" s="105">
        <f t="shared" ref="I388:I401" si="64">H388*G388</f>
        <v>58.909090909090914</v>
      </c>
    </row>
    <row r="389" spans="1:12" s="1" customFormat="1">
      <c r="A389" s="146"/>
      <c r="B389" s="5" t="s">
        <v>40</v>
      </c>
      <c r="C389" s="5" t="s">
        <v>17</v>
      </c>
      <c r="D389" s="5">
        <v>1</v>
      </c>
      <c r="E389" s="7">
        <f>248*8*(A388/1979)</f>
        <v>44.111167256189994</v>
      </c>
      <c r="F389" s="29">
        <f>E389/A388</f>
        <v>1.0025265285497726</v>
      </c>
      <c r="G389" s="40">
        <f>D389/E389*F389</f>
        <v>2.2727272727272728E-2</v>
      </c>
      <c r="H389" s="150">
        <f>6000*0.08</f>
        <v>480</v>
      </c>
      <c r="I389" s="105">
        <f t="shared" si="64"/>
        <v>10.90909090909091</v>
      </c>
    </row>
    <row r="390" spans="1:12" s="1" customFormat="1">
      <c r="A390" s="146"/>
      <c r="B390" s="5" t="s">
        <v>38</v>
      </c>
      <c r="C390" s="5" t="s">
        <v>17</v>
      </c>
      <c r="D390" s="5">
        <v>1</v>
      </c>
      <c r="E390" s="7">
        <f>248*8*(A388/1979)</f>
        <v>44.111167256189994</v>
      </c>
      <c r="F390" s="29">
        <f>E390/A388</f>
        <v>1.0025265285497726</v>
      </c>
      <c r="G390" s="40">
        <f t="shared" ref="G390:G401" si="65">D390/E390*F390</f>
        <v>2.2727272727272728E-2</v>
      </c>
      <c r="H390" s="150">
        <f>20982.72*0.08</f>
        <v>1678.6176</v>
      </c>
      <c r="I390" s="105">
        <f t="shared" si="64"/>
        <v>38.150400000000005</v>
      </c>
    </row>
    <row r="391" spans="1:12" s="1" customFormat="1">
      <c r="A391" s="146"/>
      <c r="B391" s="5" t="s">
        <v>98</v>
      </c>
      <c r="C391" s="5" t="s">
        <v>17</v>
      </c>
      <c r="D391" s="5">
        <v>1</v>
      </c>
      <c r="E391" s="7">
        <f>248*8*(A388/1979)</f>
        <v>44.111167256189994</v>
      </c>
      <c r="F391" s="29">
        <f>E391/A388</f>
        <v>1.0025265285497726</v>
      </c>
      <c r="G391" s="40">
        <f t="shared" si="65"/>
        <v>2.2727272727272728E-2</v>
      </c>
      <c r="H391" s="150"/>
      <c r="I391" s="105">
        <f t="shared" si="64"/>
        <v>0</v>
      </c>
    </row>
    <row r="392" spans="1:12" s="1" customFormat="1">
      <c r="A392" s="146"/>
      <c r="B392" s="5" t="s">
        <v>56</v>
      </c>
      <c r="C392" s="5" t="s">
        <v>17</v>
      </c>
      <c r="D392" s="5">
        <v>1</v>
      </c>
      <c r="E392" s="7">
        <f>248*8*(A388/1979)</f>
        <v>44.111167256189994</v>
      </c>
      <c r="F392" s="29">
        <f>E392/A388</f>
        <v>1.0025265285497726</v>
      </c>
      <c r="G392" s="40">
        <f t="shared" si="65"/>
        <v>2.2727272727272728E-2</v>
      </c>
      <c r="H392" s="150">
        <f>10000*0.08</f>
        <v>800</v>
      </c>
      <c r="I392" s="105">
        <f t="shared" si="64"/>
        <v>18.181818181818183</v>
      </c>
    </row>
    <row r="393" spans="1:12" s="1" customFormat="1">
      <c r="A393" s="146"/>
      <c r="B393" s="5" t="s">
        <v>41</v>
      </c>
      <c r="C393" s="5" t="s">
        <v>17</v>
      </c>
      <c r="D393" s="5">
        <v>1</v>
      </c>
      <c r="E393" s="7">
        <f>248*8*(A388/1979)</f>
        <v>44.111167256189994</v>
      </c>
      <c r="F393" s="29">
        <f>E393/A388</f>
        <v>1.0025265285497726</v>
      </c>
      <c r="G393" s="40">
        <f t="shared" si="65"/>
        <v>2.2727272727272728E-2</v>
      </c>
      <c r="H393" s="150">
        <f>10200*0.08</f>
        <v>816</v>
      </c>
      <c r="I393" s="105">
        <f t="shared" si="64"/>
        <v>18.545454545454547</v>
      </c>
    </row>
    <row r="394" spans="1:12" s="1" customFormat="1">
      <c r="A394" s="146"/>
      <c r="B394" s="5" t="s">
        <v>63</v>
      </c>
      <c r="C394" s="5" t="s">
        <v>17</v>
      </c>
      <c r="D394" s="5">
        <v>1</v>
      </c>
      <c r="E394" s="7">
        <f>248*8*(A388/1979)</f>
        <v>44.111167256189994</v>
      </c>
      <c r="F394" s="29">
        <f>E394/A388</f>
        <v>1.0025265285497726</v>
      </c>
      <c r="G394" s="40">
        <f t="shared" si="65"/>
        <v>2.2727272727272728E-2</v>
      </c>
      <c r="H394" s="150">
        <f>30000*0.08</f>
        <v>2400</v>
      </c>
      <c r="I394" s="105">
        <f t="shared" si="64"/>
        <v>54.545454545454547</v>
      </c>
    </row>
    <row r="395" spans="1:12" s="1" customFormat="1">
      <c r="A395" s="146"/>
      <c r="B395" s="35" t="s">
        <v>55</v>
      </c>
      <c r="C395" s="5" t="s">
        <v>17</v>
      </c>
      <c r="D395" s="5">
        <v>1</v>
      </c>
      <c r="E395" s="7">
        <f>248*8*(A388/1979)</f>
        <v>44.111167256189994</v>
      </c>
      <c r="F395" s="29">
        <f>E395/A388</f>
        <v>1.0025265285497726</v>
      </c>
      <c r="G395" s="40">
        <f t="shared" si="65"/>
        <v>2.2727272727272728E-2</v>
      </c>
      <c r="H395" s="150">
        <f>25200*0.08</f>
        <v>2016</v>
      </c>
      <c r="I395" s="105">
        <f t="shared" si="64"/>
        <v>45.81818181818182</v>
      </c>
    </row>
    <row r="396" spans="1:12" s="1" customFormat="1">
      <c r="A396" s="146"/>
      <c r="B396" s="55" t="s">
        <v>84</v>
      </c>
      <c r="C396" s="5" t="s">
        <v>17</v>
      </c>
      <c r="D396" s="5">
        <v>1</v>
      </c>
      <c r="E396" s="7">
        <f>248*8*(A388/1979)</f>
        <v>44.111167256189994</v>
      </c>
      <c r="F396" s="29">
        <f>E396/A388</f>
        <v>1.0025265285497726</v>
      </c>
      <c r="G396" s="40">
        <f t="shared" si="65"/>
        <v>2.2727272727272728E-2</v>
      </c>
      <c r="H396" s="150">
        <f>12000*0.08</f>
        <v>960</v>
      </c>
      <c r="I396" s="105">
        <f t="shared" si="64"/>
        <v>21.81818181818182</v>
      </c>
    </row>
    <row r="397" spans="1:12" s="1" customFormat="1" ht="30">
      <c r="A397" s="146"/>
      <c r="B397" s="55" t="s">
        <v>113</v>
      </c>
      <c r="C397" s="5" t="s">
        <v>17</v>
      </c>
      <c r="D397" s="5">
        <v>1</v>
      </c>
      <c r="E397" s="7">
        <f>248*8*(A388/1979)</f>
        <v>44.111167256189994</v>
      </c>
      <c r="F397" s="29">
        <f>E397/A388</f>
        <v>1.0025265285497726</v>
      </c>
      <c r="G397" s="40">
        <f t="shared" si="65"/>
        <v>2.2727272727272728E-2</v>
      </c>
      <c r="H397" s="150">
        <f>161394*0.08</f>
        <v>12911.52</v>
      </c>
      <c r="I397" s="105">
        <f t="shared" si="64"/>
        <v>293.44363636363636</v>
      </c>
    </row>
    <row r="398" spans="1:12" s="1" customFormat="1">
      <c r="A398" s="125"/>
      <c r="B398" s="55" t="s">
        <v>114</v>
      </c>
      <c r="C398" s="5" t="s">
        <v>17</v>
      </c>
      <c r="D398" s="5">
        <v>1</v>
      </c>
      <c r="E398" s="7">
        <f>248*8*(A388/1979)</f>
        <v>44.111167256189994</v>
      </c>
      <c r="F398" s="29">
        <f>E398/A388</f>
        <v>1.0025265285497726</v>
      </c>
      <c r="G398" s="40">
        <f t="shared" si="65"/>
        <v>2.2727272727272728E-2</v>
      </c>
      <c r="H398" s="150">
        <f>3445*0.08</f>
        <v>275.60000000000002</v>
      </c>
      <c r="I398" s="105">
        <f t="shared" si="64"/>
        <v>6.2636363636363646</v>
      </c>
    </row>
    <row r="399" spans="1:12" s="1" customFormat="1">
      <c r="A399" s="125"/>
      <c r="B399" s="55" t="s">
        <v>39</v>
      </c>
      <c r="C399" s="5" t="s">
        <v>17</v>
      </c>
      <c r="D399" s="5">
        <v>1</v>
      </c>
      <c r="E399" s="7">
        <f>248*8*(A388/1979)</f>
        <v>44.111167256189994</v>
      </c>
      <c r="F399" s="29">
        <f>E399/A388</f>
        <v>1.0025265285497726</v>
      </c>
      <c r="G399" s="40">
        <f t="shared" si="65"/>
        <v>2.2727272727272728E-2</v>
      </c>
      <c r="H399" s="150">
        <f>16774*0.08</f>
        <v>1341.92</v>
      </c>
      <c r="I399" s="105">
        <f t="shared" si="64"/>
        <v>30.49818181818182</v>
      </c>
    </row>
    <row r="400" spans="1:12" s="1" customFormat="1">
      <c r="A400" s="125"/>
      <c r="B400" s="55" t="s">
        <v>122</v>
      </c>
      <c r="C400" s="5" t="s">
        <v>17</v>
      </c>
      <c r="D400" s="5">
        <v>1</v>
      </c>
      <c r="E400" s="7">
        <f>248*8*(A388/1979)</f>
        <v>44.111167256189994</v>
      </c>
      <c r="F400" s="29">
        <f>E400/A388</f>
        <v>1.0025265285497726</v>
      </c>
      <c r="G400" s="40">
        <f t="shared" si="65"/>
        <v>2.2727272727272728E-2</v>
      </c>
      <c r="H400" s="150">
        <f>(5349.26+11693.36)*0.08</f>
        <v>1363.4096000000002</v>
      </c>
      <c r="I400" s="105">
        <f t="shared" si="64"/>
        <v>30.986581818181822</v>
      </c>
    </row>
    <row r="401" spans="1:12" s="1" customFormat="1" ht="13.7" customHeight="1">
      <c r="A401" s="125"/>
      <c r="B401" s="55" t="s">
        <v>115</v>
      </c>
      <c r="C401" s="5" t="s">
        <v>17</v>
      </c>
      <c r="D401" s="5">
        <v>1</v>
      </c>
      <c r="E401" s="7">
        <f>248*8*(A388/1979)</f>
        <v>44.111167256189994</v>
      </c>
      <c r="F401" s="29">
        <f>E401/A388</f>
        <v>1.0025265285497726</v>
      </c>
      <c r="G401" s="40">
        <f t="shared" si="65"/>
        <v>2.2727272727272728E-2</v>
      </c>
      <c r="H401" s="150">
        <f>2500*0.08</f>
        <v>200</v>
      </c>
      <c r="I401" s="105">
        <f t="shared" si="64"/>
        <v>4.5454545454545459</v>
      </c>
    </row>
    <row r="402" spans="1:12" s="1" customFormat="1" ht="15.75" thickBot="1">
      <c r="A402" s="126"/>
      <c r="B402" s="18"/>
      <c r="C402" s="18"/>
      <c r="D402" s="18"/>
      <c r="E402" s="18"/>
      <c r="F402" s="18"/>
      <c r="G402" s="21"/>
      <c r="H402" s="42"/>
      <c r="I402" s="109">
        <f>SUM(I387:I401)</f>
        <v>709.73334545454532</v>
      </c>
      <c r="J402" s="145">
        <f>(42415+161394+32400+6000+30000+25200+16774+12000+3445+10000+10200+5349.26+20982.72+11693.36+2500)*0.08</f>
        <v>31228.267199999998</v>
      </c>
      <c r="K402" s="142">
        <f>I402*A388</f>
        <v>31228.267199999995</v>
      </c>
      <c r="L402" s="57">
        <f>J402-K402</f>
        <v>0</v>
      </c>
    </row>
    <row r="403" spans="1:12" ht="15.75" thickBot="1">
      <c r="I403" s="117"/>
    </row>
    <row r="404" spans="1:12">
      <c r="A404" s="122" t="s">
        <v>96</v>
      </c>
      <c r="B404" s="13" t="s">
        <v>36</v>
      </c>
      <c r="C404" s="13" t="s">
        <v>17</v>
      </c>
      <c r="D404" s="13">
        <v>1</v>
      </c>
      <c r="E404" s="15">
        <f>248*8*(A405/1979)</f>
        <v>116.29307731177363</v>
      </c>
      <c r="F404" s="28">
        <f>E404/A405</f>
        <v>1.0025265285497726</v>
      </c>
      <c r="G404" s="41">
        <f>D404/E404*F404</f>
        <v>8.6206896551724137E-3</v>
      </c>
      <c r="H404" s="149">
        <f>140963*0.12</f>
        <v>16915.559999999998</v>
      </c>
      <c r="I404" s="104">
        <f>H404*G404</f>
        <v>145.82379310344825</v>
      </c>
    </row>
    <row r="405" spans="1:12" s="1" customFormat="1">
      <c r="A405" s="120">
        <f>ком.усл!A143</f>
        <v>116</v>
      </c>
      <c r="B405" s="5" t="s">
        <v>37</v>
      </c>
      <c r="C405" s="5" t="s">
        <v>17</v>
      </c>
      <c r="D405" s="5">
        <v>1</v>
      </c>
      <c r="E405" s="7">
        <f>248*8*(A405/1979)</f>
        <v>116.29307731177363</v>
      </c>
      <c r="F405" s="29">
        <f>E405/A405</f>
        <v>1.0025265285497726</v>
      </c>
      <c r="G405" s="40">
        <f>D405/E405*F405</f>
        <v>8.6206896551724137E-3</v>
      </c>
      <c r="H405" s="150">
        <f>36000*0.12</f>
        <v>4320</v>
      </c>
      <c r="I405" s="105">
        <f t="shared" ref="I405:I418" si="66">H405*G405</f>
        <v>37.241379310344826</v>
      </c>
    </row>
    <row r="406" spans="1:12" s="1" customFormat="1">
      <c r="A406" s="146"/>
      <c r="B406" s="5" t="s">
        <v>40</v>
      </c>
      <c r="C406" s="5" t="s">
        <v>17</v>
      </c>
      <c r="D406" s="5">
        <v>1</v>
      </c>
      <c r="E406" s="7">
        <f>248*8*(A405/1979)</f>
        <v>116.29307731177363</v>
      </c>
      <c r="F406" s="29">
        <f>E406/A405</f>
        <v>1.0025265285497726</v>
      </c>
      <c r="G406" s="40">
        <f>D406/E406*F406</f>
        <v>8.6206896551724137E-3</v>
      </c>
      <c r="H406" s="150"/>
      <c r="I406" s="105">
        <f t="shared" si="66"/>
        <v>0</v>
      </c>
    </row>
    <row r="407" spans="1:12" s="1" customFormat="1">
      <c r="A407" s="146"/>
      <c r="B407" s="5" t="s">
        <v>38</v>
      </c>
      <c r="C407" s="5" t="s">
        <v>17</v>
      </c>
      <c r="D407" s="5">
        <v>1</v>
      </c>
      <c r="E407" s="7">
        <f>248*8*(A405/1979)</f>
        <v>116.29307731177363</v>
      </c>
      <c r="F407" s="29">
        <f>E407/A405</f>
        <v>1.0025265285497726</v>
      </c>
      <c r="G407" s="40">
        <f t="shared" ref="G407:G418" si="67">D407/E407*F407</f>
        <v>8.6206896551724137E-3</v>
      </c>
      <c r="H407" s="150">
        <f>41965.44*0.12</f>
        <v>5035.8527999999997</v>
      </c>
      <c r="I407" s="105">
        <f t="shared" si="66"/>
        <v>43.41252413793103</v>
      </c>
    </row>
    <row r="408" spans="1:12" s="1" customFormat="1">
      <c r="A408" s="146"/>
      <c r="B408" s="5" t="s">
        <v>123</v>
      </c>
      <c r="C408" s="5" t="s">
        <v>17</v>
      </c>
      <c r="D408" s="5">
        <v>1</v>
      </c>
      <c r="E408" s="7">
        <f>248*8*(A405/1979)</f>
        <v>116.29307731177363</v>
      </c>
      <c r="F408" s="29">
        <f>E408/A405</f>
        <v>1.0025265285497726</v>
      </c>
      <c r="G408" s="40">
        <f t="shared" si="67"/>
        <v>8.6206896551724137E-3</v>
      </c>
      <c r="H408" s="150">
        <f>22700*0.12</f>
        <v>2724</v>
      </c>
      <c r="I408" s="105">
        <f t="shared" si="66"/>
        <v>23.482758620689655</v>
      </c>
    </row>
    <row r="409" spans="1:12" s="1" customFormat="1">
      <c r="A409" s="146"/>
      <c r="B409" s="5" t="s">
        <v>56</v>
      </c>
      <c r="C409" s="5" t="s">
        <v>17</v>
      </c>
      <c r="D409" s="5">
        <v>1</v>
      </c>
      <c r="E409" s="7">
        <f>248*8*(A405/1979)</f>
        <v>116.29307731177363</v>
      </c>
      <c r="F409" s="29">
        <f>E409/A405</f>
        <v>1.0025265285497726</v>
      </c>
      <c r="G409" s="40">
        <f t="shared" si="67"/>
        <v>8.6206896551724137E-3</v>
      </c>
      <c r="H409" s="150">
        <f>14000*0.12</f>
        <v>1680</v>
      </c>
      <c r="I409" s="105">
        <f t="shared" si="66"/>
        <v>14.482758620689655</v>
      </c>
    </row>
    <row r="410" spans="1:12" s="1" customFormat="1">
      <c r="A410" s="146"/>
      <c r="B410" s="5" t="s">
        <v>41</v>
      </c>
      <c r="C410" s="5" t="s">
        <v>17</v>
      </c>
      <c r="D410" s="5">
        <v>1</v>
      </c>
      <c r="E410" s="7">
        <f>248*8*(A405/1979)</f>
        <v>116.29307731177363</v>
      </c>
      <c r="F410" s="29">
        <f>E410/A405</f>
        <v>1.0025265285497726</v>
      </c>
      <c r="G410" s="40">
        <f t="shared" si="67"/>
        <v>8.6206896551724137E-3</v>
      </c>
      <c r="H410" s="150">
        <f>20955*0.12</f>
        <v>2514.6</v>
      </c>
      <c r="I410" s="105">
        <f t="shared" si="66"/>
        <v>21.677586206896549</v>
      </c>
    </row>
    <row r="411" spans="1:12" s="1" customFormat="1">
      <c r="A411" s="146"/>
      <c r="B411" s="5" t="s">
        <v>63</v>
      </c>
      <c r="C411" s="5" t="s">
        <v>17</v>
      </c>
      <c r="D411" s="5">
        <v>1</v>
      </c>
      <c r="E411" s="7">
        <f>248*8*(A405/1979)</f>
        <v>116.29307731177363</v>
      </c>
      <c r="F411" s="29">
        <f>E411/A405</f>
        <v>1.0025265285497726</v>
      </c>
      <c r="G411" s="40">
        <f t="shared" si="67"/>
        <v>8.6206896551724137E-3</v>
      </c>
      <c r="H411" s="150">
        <f>60000*0.12</f>
        <v>7200</v>
      </c>
      <c r="I411" s="105">
        <f t="shared" si="66"/>
        <v>62.068965517241381</v>
      </c>
    </row>
    <row r="412" spans="1:12" s="1" customFormat="1">
      <c r="A412" s="146"/>
      <c r="B412" s="35" t="s">
        <v>55</v>
      </c>
      <c r="C412" s="5" t="s">
        <v>17</v>
      </c>
      <c r="D412" s="5">
        <v>1</v>
      </c>
      <c r="E412" s="7">
        <f>248*8*(A405/1979)</f>
        <v>116.29307731177363</v>
      </c>
      <c r="F412" s="29">
        <f>E412/A405</f>
        <v>1.0025265285497726</v>
      </c>
      <c r="G412" s="40">
        <f t="shared" si="67"/>
        <v>8.6206896551724137E-3</v>
      </c>
      <c r="H412" s="150">
        <f>43200*0.12</f>
        <v>5184</v>
      </c>
      <c r="I412" s="105">
        <f t="shared" si="66"/>
        <v>44.689655172413794</v>
      </c>
    </row>
    <row r="413" spans="1:12" s="1" customFormat="1">
      <c r="A413" s="146"/>
      <c r="B413" s="55" t="s">
        <v>84</v>
      </c>
      <c r="C413" s="5" t="s">
        <v>17</v>
      </c>
      <c r="D413" s="5">
        <v>1</v>
      </c>
      <c r="E413" s="7">
        <f>248*8*(A405/1979)</f>
        <v>116.29307731177363</v>
      </c>
      <c r="F413" s="29">
        <f>E413/A405</f>
        <v>1.0025265285497726</v>
      </c>
      <c r="G413" s="40">
        <f t="shared" si="67"/>
        <v>8.6206896551724137E-3</v>
      </c>
      <c r="H413" s="150">
        <f>16800*0.12</f>
        <v>2016</v>
      </c>
      <c r="I413" s="105">
        <f t="shared" si="66"/>
        <v>17.379310344827587</v>
      </c>
    </row>
    <row r="414" spans="1:12" s="1" customFormat="1" ht="30">
      <c r="A414" s="146"/>
      <c r="B414" s="55" t="s">
        <v>113</v>
      </c>
      <c r="C414" s="5" t="s">
        <v>17</v>
      </c>
      <c r="D414" s="5">
        <v>1</v>
      </c>
      <c r="E414" s="7">
        <f>248*8*(A405/1979)</f>
        <v>116.29307731177363</v>
      </c>
      <c r="F414" s="29">
        <f>E414/A405</f>
        <v>1.0025265285497726</v>
      </c>
      <c r="G414" s="40">
        <f t="shared" si="67"/>
        <v>8.6206896551724137E-3</v>
      </c>
      <c r="H414" s="150"/>
      <c r="I414" s="105">
        <f t="shared" si="66"/>
        <v>0</v>
      </c>
    </row>
    <row r="415" spans="1:12" s="1" customFormat="1">
      <c r="A415" s="146"/>
      <c r="B415" s="55" t="s">
        <v>114</v>
      </c>
      <c r="C415" s="5" t="s">
        <v>17</v>
      </c>
      <c r="D415" s="5">
        <v>1</v>
      </c>
      <c r="E415" s="7">
        <f>248*8*(A405/1979)</f>
        <v>116.29307731177363</v>
      </c>
      <c r="F415" s="29">
        <f>E415/A405</f>
        <v>1.0025265285497726</v>
      </c>
      <c r="G415" s="40">
        <f t="shared" si="67"/>
        <v>8.6206896551724137E-3</v>
      </c>
      <c r="H415" s="150"/>
      <c r="I415" s="105">
        <f t="shared" si="66"/>
        <v>0</v>
      </c>
    </row>
    <row r="416" spans="1:12" s="1" customFormat="1">
      <c r="A416" s="125"/>
      <c r="B416" s="55" t="s">
        <v>39</v>
      </c>
      <c r="C416" s="5" t="s">
        <v>17</v>
      </c>
      <c r="D416" s="5">
        <v>1</v>
      </c>
      <c r="E416" s="7">
        <f>248*8*(A405/1979)</f>
        <v>116.29307731177363</v>
      </c>
      <c r="F416" s="29">
        <f>E416/A405</f>
        <v>1.0025265285497726</v>
      </c>
      <c r="G416" s="40">
        <f t="shared" si="67"/>
        <v>8.6206896551724137E-3</v>
      </c>
      <c r="H416" s="150">
        <f>25800.73*0.12</f>
        <v>3096.0875999999998</v>
      </c>
      <c r="I416" s="105">
        <f t="shared" si="66"/>
        <v>26.690410344827583</v>
      </c>
    </row>
    <row r="417" spans="1:12" s="1" customFormat="1">
      <c r="A417" s="125"/>
      <c r="B417" s="55" t="s">
        <v>122</v>
      </c>
      <c r="C417" s="5" t="s">
        <v>17</v>
      </c>
      <c r="D417" s="5">
        <v>1</v>
      </c>
      <c r="E417" s="7">
        <f>248*8*(A405/1979)</f>
        <v>116.29307731177363</v>
      </c>
      <c r="F417" s="29">
        <f>E417/A405</f>
        <v>1.0025265285497726</v>
      </c>
      <c r="G417" s="40">
        <f t="shared" si="67"/>
        <v>8.6206896551724137E-3</v>
      </c>
      <c r="H417" s="150">
        <f>(6877.62+13277.94)*0.12</f>
        <v>2418.6671999999999</v>
      </c>
      <c r="I417" s="105">
        <f t="shared" si="66"/>
        <v>20.850579310344827</v>
      </c>
    </row>
    <row r="418" spans="1:12" s="1" customFormat="1" ht="13.7" customHeight="1">
      <c r="A418" s="125"/>
      <c r="B418" s="55" t="s">
        <v>115</v>
      </c>
      <c r="C418" s="5" t="s">
        <v>17</v>
      </c>
      <c r="D418" s="5">
        <v>1</v>
      </c>
      <c r="E418" s="7">
        <f>248*8*(A405/1979)</f>
        <v>116.29307731177363</v>
      </c>
      <c r="F418" s="29">
        <f>E418/A405</f>
        <v>1.0025265285497726</v>
      </c>
      <c r="G418" s="40">
        <f t="shared" si="67"/>
        <v>8.6206896551724137E-3</v>
      </c>
      <c r="H418" s="150">
        <f>6000*0.12</f>
        <v>720</v>
      </c>
      <c r="I418" s="105">
        <f t="shared" si="66"/>
        <v>6.2068965517241379</v>
      </c>
    </row>
    <row r="419" spans="1:12" s="1" customFormat="1" ht="15.75" thickBot="1">
      <c r="A419" s="126"/>
      <c r="B419" s="18"/>
      <c r="C419" s="18"/>
      <c r="D419" s="18"/>
      <c r="E419" s="18"/>
      <c r="F419" s="18"/>
      <c r="G419" s="21"/>
      <c r="H419" s="42"/>
      <c r="I419" s="109">
        <f>SUM(I404:I418)</f>
        <v>464.00661724137922</v>
      </c>
      <c r="J419" s="145">
        <f>(140963+36000+60000+43200+25800.73+16800+14000+20955+6877.62+22700+41965.44+13277.94+6000)*0.12</f>
        <v>53824.767599999999</v>
      </c>
      <c r="K419" s="142">
        <f>I419*A405</f>
        <v>53824.767599999992</v>
      </c>
      <c r="L419" s="57">
        <f>J419-K419</f>
        <v>0</v>
      </c>
    </row>
    <row r="420" spans="1:12" ht="15.75" thickBot="1">
      <c r="E420" s="52"/>
      <c r="I420" s="117"/>
    </row>
    <row r="421" spans="1:12">
      <c r="A421" s="122" t="s">
        <v>75</v>
      </c>
      <c r="B421" s="13" t="s">
        <v>36</v>
      </c>
      <c r="C421" s="13" t="s">
        <v>17</v>
      </c>
      <c r="D421" s="13">
        <v>1</v>
      </c>
      <c r="E421" s="15">
        <f>248*8*(A422/1979)</f>
        <v>34.085901970692269</v>
      </c>
      <c r="F421" s="28">
        <f>E421/A422</f>
        <v>1.0025265285497726</v>
      </c>
      <c r="G421" s="41">
        <f>D421/E421*F421</f>
        <v>2.9411764705882356E-2</v>
      </c>
      <c r="H421" s="149">
        <f>21207*0.12</f>
        <v>2544.8399999999997</v>
      </c>
      <c r="I421" s="104">
        <f>H421*G421</f>
        <v>74.848235294117643</v>
      </c>
    </row>
    <row r="422" spans="1:12" s="1" customFormat="1">
      <c r="A422" s="120">
        <f>ком.усл!A149</f>
        <v>34</v>
      </c>
      <c r="B422" s="5" t="s">
        <v>37</v>
      </c>
      <c r="C422" s="5" t="s">
        <v>17</v>
      </c>
      <c r="D422" s="5">
        <v>1</v>
      </c>
      <c r="E422" s="7">
        <f>248*8*(A422/1979)</f>
        <v>34.085901970692269</v>
      </c>
      <c r="F422" s="29">
        <f>E422/A422</f>
        <v>1.0025265285497726</v>
      </c>
      <c r="G422" s="40">
        <f>D422/E422*F422</f>
        <v>2.9411764705882356E-2</v>
      </c>
      <c r="H422" s="150">
        <f>18000*0.12</f>
        <v>2160</v>
      </c>
      <c r="I422" s="105">
        <f t="shared" ref="I422:I435" si="68">H422*G422</f>
        <v>63.529411764705891</v>
      </c>
    </row>
    <row r="423" spans="1:12" s="1" customFormat="1">
      <c r="A423" s="146"/>
      <c r="B423" s="5" t="s">
        <v>40</v>
      </c>
      <c r="C423" s="5" t="s">
        <v>17</v>
      </c>
      <c r="D423" s="5">
        <v>1</v>
      </c>
      <c r="E423" s="7">
        <f>248*8*(A422/1979)</f>
        <v>34.085901970692269</v>
      </c>
      <c r="F423" s="29">
        <f>E423/A422</f>
        <v>1.0025265285497726</v>
      </c>
      <c r="G423" s="40">
        <f>D423/E423*F423</f>
        <v>2.9411764705882356E-2</v>
      </c>
      <c r="H423" s="150">
        <f>6000*0.12</f>
        <v>720</v>
      </c>
      <c r="I423" s="105">
        <f t="shared" si="68"/>
        <v>21.176470588235297</v>
      </c>
    </row>
    <row r="424" spans="1:12" s="1" customFormat="1">
      <c r="A424" s="146"/>
      <c r="B424" s="5" t="s">
        <v>38</v>
      </c>
      <c r="C424" s="5" t="s">
        <v>17</v>
      </c>
      <c r="D424" s="5">
        <v>1</v>
      </c>
      <c r="E424" s="7">
        <f>248*8*(A422/1979)</f>
        <v>34.085901970692269</v>
      </c>
      <c r="F424" s="29">
        <f>E424/A422</f>
        <v>1.0025265285497726</v>
      </c>
      <c r="G424" s="40">
        <f t="shared" ref="G424:G435" si="69">D424/E424*F424</f>
        <v>2.9411764705882356E-2</v>
      </c>
      <c r="H424" s="150">
        <f>20982.72*0.12</f>
        <v>2517.9263999999998</v>
      </c>
      <c r="I424" s="105">
        <f t="shared" si="68"/>
        <v>74.056658823529418</v>
      </c>
    </row>
    <row r="425" spans="1:12" s="1" customFormat="1">
      <c r="A425" s="146"/>
      <c r="B425" s="5" t="s">
        <v>98</v>
      </c>
      <c r="C425" s="5" t="s">
        <v>17</v>
      </c>
      <c r="D425" s="5">
        <v>1</v>
      </c>
      <c r="E425" s="7">
        <f>248*8*(A422/1979)</f>
        <v>34.085901970692269</v>
      </c>
      <c r="F425" s="29">
        <f>E425/A422</f>
        <v>1.0025265285497726</v>
      </c>
      <c r="G425" s="40">
        <f t="shared" si="69"/>
        <v>2.9411764705882356E-2</v>
      </c>
      <c r="H425" s="150"/>
      <c r="I425" s="105">
        <f t="shared" si="68"/>
        <v>0</v>
      </c>
    </row>
    <row r="426" spans="1:12" s="1" customFormat="1">
      <c r="A426" s="146"/>
      <c r="B426" s="5" t="s">
        <v>56</v>
      </c>
      <c r="C426" s="5" t="s">
        <v>17</v>
      </c>
      <c r="D426" s="5">
        <v>1</v>
      </c>
      <c r="E426" s="7">
        <f>248*8*(A422/1979)</f>
        <v>34.085901970692269</v>
      </c>
      <c r="F426" s="29">
        <f>E426/A422</f>
        <v>1.0025265285497726</v>
      </c>
      <c r="G426" s="40">
        <f t="shared" si="69"/>
        <v>2.9411764705882356E-2</v>
      </c>
      <c r="H426" s="150">
        <f>5500*0.12</f>
        <v>660</v>
      </c>
      <c r="I426" s="105">
        <f t="shared" si="68"/>
        <v>19.411764705882355</v>
      </c>
    </row>
    <row r="427" spans="1:12" s="1" customFormat="1">
      <c r="A427" s="146"/>
      <c r="B427" s="5" t="s">
        <v>41</v>
      </c>
      <c r="C427" s="5" t="s">
        <v>17</v>
      </c>
      <c r="D427" s="5">
        <v>1</v>
      </c>
      <c r="E427" s="7">
        <f>248*8*(A422/1979)</f>
        <v>34.085901970692269</v>
      </c>
      <c r="F427" s="29">
        <f>E427/A422</f>
        <v>1.0025265285497726</v>
      </c>
      <c r="G427" s="40">
        <f t="shared" si="69"/>
        <v>2.9411764705882356E-2</v>
      </c>
      <c r="H427" s="150">
        <f>10200*0.12</f>
        <v>1224</v>
      </c>
      <c r="I427" s="105">
        <f t="shared" si="68"/>
        <v>36.000000000000007</v>
      </c>
    </row>
    <row r="428" spans="1:12" s="1" customFormat="1">
      <c r="A428" s="146"/>
      <c r="B428" s="5" t="s">
        <v>63</v>
      </c>
      <c r="C428" s="5" t="s">
        <v>17</v>
      </c>
      <c r="D428" s="5">
        <v>1</v>
      </c>
      <c r="E428" s="7">
        <f>248*8*(A422/1979)</f>
        <v>34.085901970692269</v>
      </c>
      <c r="F428" s="29">
        <f>E428/A422</f>
        <v>1.0025265285497726</v>
      </c>
      <c r="G428" s="40">
        <f t="shared" si="69"/>
        <v>2.9411764705882356E-2</v>
      </c>
      <c r="H428" s="150">
        <f>30000*0.12</f>
        <v>3600</v>
      </c>
      <c r="I428" s="105">
        <f t="shared" si="68"/>
        <v>105.88235294117648</v>
      </c>
    </row>
    <row r="429" spans="1:12" s="1" customFormat="1">
      <c r="A429" s="146"/>
      <c r="B429" s="35" t="s">
        <v>55</v>
      </c>
      <c r="C429" s="5" t="s">
        <v>17</v>
      </c>
      <c r="D429" s="5">
        <v>1</v>
      </c>
      <c r="E429" s="7">
        <f>248*8*(A422/1979)</f>
        <v>34.085901970692269</v>
      </c>
      <c r="F429" s="29">
        <f>E429/A422</f>
        <v>1.0025265285497726</v>
      </c>
      <c r="G429" s="40">
        <f t="shared" si="69"/>
        <v>2.9411764705882356E-2</v>
      </c>
      <c r="H429" s="150">
        <f>18900*0.12</f>
        <v>2268</v>
      </c>
      <c r="I429" s="105">
        <f t="shared" si="68"/>
        <v>66.705882352941188</v>
      </c>
    </row>
    <row r="430" spans="1:12" s="1" customFormat="1">
      <c r="A430" s="146"/>
      <c r="B430" s="55" t="s">
        <v>84</v>
      </c>
      <c r="C430" s="5" t="s">
        <v>17</v>
      </c>
      <c r="D430" s="5">
        <v>1</v>
      </c>
      <c r="E430" s="7">
        <f>248*8*(A422/1979)</f>
        <v>34.085901970692269</v>
      </c>
      <c r="F430" s="29">
        <f>E430/A422</f>
        <v>1.0025265285497726</v>
      </c>
      <c r="G430" s="40">
        <f t="shared" si="69"/>
        <v>2.9411764705882356E-2</v>
      </c>
      <c r="H430" s="150">
        <f>12000*0.12</f>
        <v>1440</v>
      </c>
      <c r="I430" s="105">
        <f t="shared" si="68"/>
        <v>42.352941176470594</v>
      </c>
    </row>
    <row r="431" spans="1:12" s="1" customFormat="1" ht="30">
      <c r="A431" s="146"/>
      <c r="B431" s="55" t="s">
        <v>113</v>
      </c>
      <c r="C431" s="5" t="s">
        <v>17</v>
      </c>
      <c r="D431" s="5">
        <v>1</v>
      </c>
      <c r="E431" s="7">
        <f>248*8*(A422/1979)</f>
        <v>34.085901970692269</v>
      </c>
      <c r="F431" s="29">
        <f>E431/A422</f>
        <v>1.0025265285497726</v>
      </c>
      <c r="G431" s="40">
        <f t="shared" si="69"/>
        <v>2.9411764705882356E-2</v>
      </c>
      <c r="H431" s="150"/>
      <c r="I431" s="105">
        <f t="shared" si="68"/>
        <v>0</v>
      </c>
    </row>
    <row r="432" spans="1:12" s="1" customFormat="1">
      <c r="A432" s="146"/>
      <c r="B432" s="55" t="s">
        <v>114</v>
      </c>
      <c r="C432" s="5" t="s">
        <v>17</v>
      </c>
      <c r="D432" s="5">
        <v>1</v>
      </c>
      <c r="E432" s="7">
        <f>248*8*(A422/1979)</f>
        <v>34.085901970692269</v>
      </c>
      <c r="F432" s="29">
        <f>E432/A422</f>
        <v>1.0025265285497726</v>
      </c>
      <c r="G432" s="40">
        <f t="shared" si="69"/>
        <v>2.9411764705882356E-2</v>
      </c>
      <c r="H432" s="150">
        <f>7400*0.12</f>
        <v>888</v>
      </c>
      <c r="I432" s="105">
        <f t="shared" si="68"/>
        <v>26.117647058823533</v>
      </c>
    </row>
    <row r="433" spans="1:12" s="1" customFormat="1">
      <c r="A433" s="125"/>
      <c r="B433" s="55" t="s">
        <v>39</v>
      </c>
      <c r="C433" s="5" t="s">
        <v>17</v>
      </c>
      <c r="D433" s="5">
        <v>1</v>
      </c>
      <c r="E433" s="7">
        <f>248*8*(A422/1979)</f>
        <v>34.085901970692269</v>
      </c>
      <c r="F433" s="29">
        <f>E433/A422</f>
        <v>1.0025265285497726</v>
      </c>
      <c r="G433" s="40">
        <f t="shared" si="69"/>
        <v>2.9411764705882356E-2</v>
      </c>
      <c r="H433" s="150">
        <f>11562.2*0.12</f>
        <v>1387.4639999999999</v>
      </c>
      <c r="I433" s="105">
        <f t="shared" si="68"/>
        <v>40.807764705882356</v>
      </c>
    </row>
    <row r="434" spans="1:12" s="1" customFormat="1">
      <c r="A434" s="125"/>
      <c r="B434" s="55" t="s">
        <v>122</v>
      </c>
      <c r="C434" s="5" t="s">
        <v>17</v>
      </c>
      <c r="D434" s="5">
        <v>1</v>
      </c>
      <c r="E434" s="7">
        <f>248*8*(A422/1979)</f>
        <v>34.085901970692269</v>
      </c>
      <c r="F434" s="29">
        <f>E434/A422</f>
        <v>1.0025265285497726</v>
      </c>
      <c r="G434" s="40">
        <f t="shared" si="69"/>
        <v>2.9411764705882356E-2</v>
      </c>
      <c r="H434" s="150">
        <f>(2292.54+8452.84)*0.12</f>
        <v>1289.4456</v>
      </c>
      <c r="I434" s="105">
        <f t="shared" si="68"/>
        <v>37.924870588235301</v>
      </c>
    </row>
    <row r="435" spans="1:12" s="1" customFormat="1" ht="13.7" customHeight="1">
      <c r="A435" s="125"/>
      <c r="B435" s="55" t="s">
        <v>115</v>
      </c>
      <c r="C435" s="5" t="s">
        <v>17</v>
      </c>
      <c r="D435" s="5">
        <v>1</v>
      </c>
      <c r="E435" s="7">
        <f>248*8*(A422/1979)</f>
        <v>34.085901970692269</v>
      </c>
      <c r="F435" s="29">
        <f>E435/A422</f>
        <v>1.0025265285497726</v>
      </c>
      <c r="G435" s="40">
        <f t="shared" si="69"/>
        <v>2.9411764705882356E-2</v>
      </c>
      <c r="H435" s="150">
        <f>3000*0.12</f>
        <v>360</v>
      </c>
      <c r="I435" s="105">
        <f t="shared" si="68"/>
        <v>10.588235294117649</v>
      </c>
    </row>
    <row r="436" spans="1:12" s="1" customFormat="1" ht="15.75" thickBot="1">
      <c r="A436" s="126"/>
      <c r="B436" s="18"/>
      <c r="C436" s="18"/>
      <c r="D436" s="18"/>
      <c r="E436" s="18"/>
      <c r="F436" s="18"/>
      <c r="G436" s="21"/>
      <c r="H436" s="42"/>
      <c r="I436" s="109">
        <f>SUM(I421:I435)</f>
        <v>619.40223529411776</v>
      </c>
      <c r="J436" s="145">
        <f>(21207+18000+6000+30000+18900+11562.2+12000+7400+5500+10200+2292.54+20982.72+8452.84+3000)*0.12</f>
        <v>21059.676000000003</v>
      </c>
      <c r="K436" s="142">
        <f>I436*A422</f>
        <v>21059.676000000003</v>
      </c>
      <c r="L436" s="57">
        <f>J436-K436</f>
        <v>0</v>
      </c>
    </row>
    <row r="437" spans="1:12">
      <c r="A437" s="122" t="s">
        <v>76</v>
      </c>
      <c r="B437" s="13" t="s">
        <v>36</v>
      </c>
      <c r="C437" s="13" t="s">
        <v>17</v>
      </c>
      <c r="D437" s="13">
        <v>1</v>
      </c>
      <c r="E437" s="15">
        <f>248*8*(A438/1979)</f>
        <v>0</v>
      </c>
      <c r="F437" s="28" t="e">
        <f>E437/A438</f>
        <v>#DIV/0!</v>
      </c>
      <c r="G437" s="41" t="e">
        <f>D437/E437*F437</f>
        <v>#DIV/0!</v>
      </c>
      <c r="H437" s="14">
        <f>10032*0.48</f>
        <v>4815.3599999999997</v>
      </c>
      <c r="I437" s="104" t="e">
        <f>H437*G437</f>
        <v>#DIV/0!</v>
      </c>
    </row>
    <row r="438" spans="1:12" s="1" customFormat="1">
      <c r="A438" s="120"/>
      <c r="B438" s="5" t="s">
        <v>37</v>
      </c>
      <c r="C438" s="5" t="s">
        <v>17</v>
      </c>
      <c r="D438" s="5">
        <v>1</v>
      </c>
      <c r="E438" s="7">
        <f>248*8*(A438/1979)</f>
        <v>0</v>
      </c>
      <c r="F438" s="29" t="e">
        <f>E438/A438</f>
        <v>#DIV/0!</v>
      </c>
      <c r="G438" s="40" t="e">
        <f>D438/E438*F438</f>
        <v>#DIV/0!</v>
      </c>
      <c r="H438" s="6">
        <f>24000*0.48</f>
        <v>11520</v>
      </c>
      <c r="I438" s="105" t="e">
        <f t="shared" ref="I438:I448" si="70">H438*G438</f>
        <v>#DIV/0!</v>
      </c>
    </row>
    <row r="439" spans="1:12" s="1" customFormat="1">
      <c r="A439" s="146"/>
      <c r="B439" s="5" t="s">
        <v>40</v>
      </c>
      <c r="C439" s="5" t="s">
        <v>17</v>
      </c>
      <c r="D439" s="5">
        <v>1</v>
      </c>
      <c r="E439" s="7">
        <f>248*8*(A438/1979)</f>
        <v>0</v>
      </c>
      <c r="F439" s="29" t="e">
        <f>E439/A438</f>
        <v>#DIV/0!</v>
      </c>
      <c r="G439" s="40" t="e">
        <f>D439/E439*F439</f>
        <v>#DIV/0!</v>
      </c>
      <c r="H439" s="6">
        <f>18000*0.48</f>
        <v>8640</v>
      </c>
      <c r="I439" s="105" t="e">
        <f t="shared" si="70"/>
        <v>#DIV/0!</v>
      </c>
    </row>
    <row r="440" spans="1:12" s="1" customFormat="1">
      <c r="A440" s="146"/>
      <c r="B440" s="5" t="s">
        <v>38</v>
      </c>
      <c r="C440" s="5" t="s">
        <v>17</v>
      </c>
      <c r="D440" s="5">
        <v>1</v>
      </c>
      <c r="E440" s="7">
        <f>248*8*(A438/1979)</f>
        <v>0</v>
      </c>
      <c r="F440" s="29" t="e">
        <f>E440/A438</f>
        <v>#DIV/0!</v>
      </c>
      <c r="G440" s="40" t="e">
        <f t="shared" ref="G440:G448" si="71">D440/E440*F440</f>
        <v>#DIV/0!</v>
      </c>
      <c r="H440" s="6">
        <f>(5292+24000)*0.48</f>
        <v>14060.16</v>
      </c>
      <c r="I440" s="105" t="e">
        <f t="shared" si="70"/>
        <v>#DIV/0!</v>
      </c>
    </row>
    <row r="441" spans="1:12" s="1" customFormat="1">
      <c r="A441" s="146"/>
      <c r="B441" s="5" t="s">
        <v>39</v>
      </c>
      <c r="C441" s="5" t="s">
        <v>17</v>
      </c>
      <c r="D441" s="5">
        <v>1</v>
      </c>
      <c r="E441" s="7">
        <f>248*8*(A438/1979)</f>
        <v>0</v>
      </c>
      <c r="F441" s="29" t="e">
        <f>E441/A438</f>
        <v>#DIV/0!</v>
      </c>
      <c r="G441" s="40" t="e">
        <f t="shared" si="71"/>
        <v>#DIV/0!</v>
      </c>
      <c r="H441" s="7">
        <f>12671*0.48</f>
        <v>6082.08</v>
      </c>
      <c r="I441" s="105" t="e">
        <f t="shared" si="70"/>
        <v>#DIV/0!</v>
      </c>
    </row>
    <row r="442" spans="1:12" s="1" customFormat="1">
      <c r="A442" s="146"/>
      <c r="B442" s="5" t="s">
        <v>56</v>
      </c>
      <c r="C442" s="5" t="s">
        <v>17</v>
      </c>
      <c r="D442" s="5">
        <v>1</v>
      </c>
      <c r="E442" s="7">
        <f>248*8*(A438/1979)</f>
        <v>0</v>
      </c>
      <c r="F442" s="29" t="e">
        <f>E442/A438</f>
        <v>#DIV/0!</v>
      </c>
      <c r="G442" s="40" t="e">
        <f t="shared" si="71"/>
        <v>#DIV/0!</v>
      </c>
      <c r="H442" s="7">
        <f>8400*0.48</f>
        <v>4032</v>
      </c>
      <c r="I442" s="105" t="e">
        <f t="shared" si="70"/>
        <v>#DIV/0!</v>
      </c>
    </row>
    <row r="443" spans="1:12" s="1" customFormat="1">
      <c r="A443" s="146"/>
      <c r="B443" s="5" t="s">
        <v>41</v>
      </c>
      <c r="C443" s="5" t="s">
        <v>17</v>
      </c>
      <c r="D443" s="5">
        <v>1</v>
      </c>
      <c r="E443" s="7">
        <f>248*8*(A438/1979)</f>
        <v>0</v>
      </c>
      <c r="F443" s="29" t="e">
        <f>E443/A438</f>
        <v>#DIV/0!</v>
      </c>
      <c r="G443" s="40" t="e">
        <f t="shared" si="71"/>
        <v>#DIV/0!</v>
      </c>
      <c r="H443" s="7">
        <f>5920*0.48</f>
        <v>2841.6</v>
      </c>
      <c r="I443" s="105" t="e">
        <f t="shared" si="70"/>
        <v>#DIV/0!</v>
      </c>
    </row>
    <row r="444" spans="1:12" s="1" customFormat="1">
      <c r="A444" s="146"/>
      <c r="B444" s="5" t="s">
        <v>63</v>
      </c>
      <c r="C444" s="5" t="s">
        <v>17</v>
      </c>
      <c r="D444" s="5">
        <v>1</v>
      </c>
      <c r="E444" s="7">
        <f>248*8*(A438/1979)</f>
        <v>0</v>
      </c>
      <c r="F444" s="29" t="e">
        <f>E444/A438</f>
        <v>#DIV/0!</v>
      </c>
      <c r="G444" s="40" t="e">
        <f t="shared" si="71"/>
        <v>#DIV/0!</v>
      </c>
      <c r="H444" s="7">
        <f>36000*0.48</f>
        <v>17280</v>
      </c>
      <c r="I444" s="105" t="e">
        <f t="shared" si="70"/>
        <v>#DIV/0!</v>
      </c>
    </row>
    <row r="445" spans="1:12" s="1" customFormat="1">
      <c r="A445" s="146"/>
      <c r="B445" s="35" t="s">
        <v>55</v>
      </c>
      <c r="C445" s="5" t="s">
        <v>17</v>
      </c>
      <c r="D445" s="5">
        <v>1</v>
      </c>
      <c r="E445" s="7">
        <f>248*8*(A438/1979)</f>
        <v>0</v>
      </c>
      <c r="F445" s="29" t="e">
        <f>E445/A438</f>
        <v>#DIV/0!</v>
      </c>
      <c r="G445" s="40" t="e">
        <f t="shared" si="71"/>
        <v>#DIV/0!</v>
      </c>
      <c r="H445" s="7">
        <f>26400*0.48</f>
        <v>12672</v>
      </c>
      <c r="I445" s="105" t="e">
        <f t="shared" si="70"/>
        <v>#DIV/0!</v>
      </c>
    </row>
    <row r="446" spans="1:12" s="1" customFormat="1">
      <c r="A446" s="125"/>
      <c r="B446" s="55" t="s">
        <v>84</v>
      </c>
      <c r="C446" s="5" t="s">
        <v>17</v>
      </c>
      <c r="D446" s="5">
        <v>1</v>
      </c>
      <c r="E446" s="7">
        <f>248*8*(A438/1979)</f>
        <v>0</v>
      </c>
      <c r="F446" s="29" t="e">
        <f>E446/A438</f>
        <v>#DIV/0!</v>
      </c>
      <c r="G446" s="40" t="e">
        <f t="shared" si="71"/>
        <v>#DIV/0!</v>
      </c>
      <c r="H446" s="7">
        <f>12000*0.48</f>
        <v>5760</v>
      </c>
      <c r="I446" s="105" t="e">
        <f t="shared" si="70"/>
        <v>#DIV/0!</v>
      </c>
    </row>
    <row r="447" spans="1:12" s="1" customFormat="1">
      <c r="A447" s="125"/>
      <c r="B447" s="55" t="s">
        <v>58</v>
      </c>
      <c r="C447" s="5" t="s">
        <v>17</v>
      </c>
      <c r="D447" s="5">
        <v>1</v>
      </c>
      <c r="E447" s="7">
        <f>248*8*(A438/1979)</f>
        <v>0</v>
      </c>
      <c r="F447" s="29" t="e">
        <f>E447/A438</f>
        <v>#DIV/0!</v>
      </c>
      <c r="G447" s="40" t="e">
        <f t="shared" si="71"/>
        <v>#DIV/0!</v>
      </c>
      <c r="H447" s="7">
        <f>2000*0.48</f>
        <v>960</v>
      </c>
      <c r="I447" s="105" t="e">
        <f t="shared" si="70"/>
        <v>#DIV/0!</v>
      </c>
    </row>
    <row r="448" spans="1:12" s="1" customFormat="1" ht="13.7" customHeight="1">
      <c r="A448" s="125"/>
      <c r="B448" s="55" t="s">
        <v>59</v>
      </c>
      <c r="C448" s="5" t="s">
        <v>17</v>
      </c>
      <c r="D448" s="5">
        <v>1</v>
      </c>
      <c r="E448" s="7">
        <f>248*8*(A438/1979)</f>
        <v>0</v>
      </c>
      <c r="F448" s="29" t="e">
        <f>E448/A438</f>
        <v>#DIV/0!</v>
      </c>
      <c r="G448" s="40" t="e">
        <f t="shared" si="71"/>
        <v>#DIV/0!</v>
      </c>
      <c r="H448" s="7">
        <f>97*0.48</f>
        <v>46.559999999999995</v>
      </c>
      <c r="I448" s="105" t="e">
        <f t="shared" si="70"/>
        <v>#DIV/0!</v>
      </c>
    </row>
    <row r="449" spans="1:12" s="1" customFormat="1" ht="15.75" thickBot="1">
      <c r="A449" s="126"/>
      <c r="B449" s="18"/>
      <c r="C449" s="18"/>
      <c r="D449" s="18"/>
      <c r="E449" s="18"/>
      <c r="F449" s="18"/>
      <c r="G449" s="21"/>
      <c r="H449" s="42"/>
      <c r="I449" s="109" t="e">
        <f>SUM(I437:I448)</f>
        <v>#DIV/0!</v>
      </c>
      <c r="J449" s="57">
        <f>(158715+24000+2097)*0</f>
        <v>0</v>
      </c>
      <c r="K449" s="57">
        <v>0</v>
      </c>
    </row>
    <row r="451" spans="1:12">
      <c r="I451" s="1">
        <v>1</v>
      </c>
      <c r="J451" s="145">
        <f>56554+161394+19200+12000+5760+30000+50400+9700+12000+4220+14000+29287+4585+7000+20982.72+10373.9+3000</f>
        <v>450456.62</v>
      </c>
      <c r="K451" s="145">
        <f>K322+K172+K22</f>
        <v>450456.69999999995</v>
      </c>
      <c r="L451" s="3">
        <f>J451-K451</f>
        <v>-7.9999999958090484E-2</v>
      </c>
    </row>
    <row r="452" spans="1:12">
      <c r="I452" s="1">
        <v>2</v>
      </c>
      <c r="J452" s="145">
        <f>87660+38400+60000+50400+14748+16800+13900+31710+4585.08+3084+129600+12000+41965.56+10557.49+3300</f>
        <v>518710.13</v>
      </c>
      <c r="K452" s="145">
        <f>K338+K188+K38</f>
        <v>518710.13</v>
      </c>
      <c r="L452" s="121">
        <f>J452-K452</f>
        <v>0</v>
      </c>
    </row>
    <row r="453" spans="1:12">
      <c r="I453" s="1">
        <v>3</v>
      </c>
      <c r="J453" s="145">
        <f>81014+75600+79200+90000+25200+27082+54000+18000+30000+43730+4585.08+4640+81990+12000+62948.16+13220.63+6000</f>
        <v>709209.87</v>
      </c>
      <c r="K453" s="145">
        <f>K354+K204+K54</f>
        <v>709209.87</v>
      </c>
      <c r="L453" s="121">
        <f t="shared" ref="L453:L459" si="72">J453-K453</f>
        <v>0</v>
      </c>
    </row>
    <row r="454" spans="1:12">
      <c r="I454" s="1">
        <v>7</v>
      </c>
      <c r="J454" s="145">
        <f>56556+161394+21600+6000+4800+30000+25200+5428.23+12000+3964.8+16000+27020+6877.62+22716+20982.72+12660.85+3000+454291.36</f>
        <v>890491.58</v>
      </c>
      <c r="K454" s="145">
        <f>K370+K220+K70</f>
        <v>890491.58000000007</v>
      </c>
      <c r="L454" s="121">
        <f t="shared" si="72"/>
        <v>0</v>
      </c>
    </row>
    <row r="455" spans="1:12">
      <c r="I455" s="1">
        <v>9</v>
      </c>
      <c r="J455" s="145">
        <f>84831+31200+31200+30000+50400+15999+12000+15120+14000+17490+6877.22+18000+20982.72+12043.24+3000</f>
        <v>363143.17999999993</v>
      </c>
      <c r="K455" s="145">
        <f>K386+K236+K86</f>
        <v>363143.17999999993</v>
      </c>
      <c r="L455" s="121">
        <f t="shared" si="72"/>
        <v>0</v>
      </c>
    </row>
    <row r="456" spans="1:12">
      <c r="I456" s="1">
        <v>14</v>
      </c>
      <c r="J456" s="145">
        <f>42415+161394+32400+6000+30000+25200+16774+12000+3445+10000+10200+5349.26+20982.72+11693.36+2500</f>
        <v>390353.33999999997</v>
      </c>
      <c r="K456" s="145">
        <f>K402+K252+K102</f>
        <v>390353.33999999997</v>
      </c>
      <c r="L456" s="121">
        <f t="shared" si="72"/>
        <v>0</v>
      </c>
    </row>
    <row r="457" spans="1:12">
      <c r="I457" s="1">
        <v>8</v>
      </c>
      <c r="J457" s="145">
        <f>140963+36000+60000+43200+25800.73+16800+14000+20955+6877.62+22700+41965.44+13277.94+6000</f>
        <v>448539.73</v>
      </c>
      <c r="K457" s="145">
        <f>K419+K269+K119</f>
        <v>448539.72999999986</v>
      </c>
      <c r="L457" s="121">
        <f t="shared" si="72"/>
        <v>0</v>
      </c>
    </row>
    <row r="458" spans="1:12">
      <c r="I458" s="1">
        <v>4</v>
      </c>
      <c r="J458" s="145">
        <f>21207+18000+6000+30000+18900+11562.2+12000+7400+5500+10200+2292.54+20982.72+8452.84+3000</f>
        <v>175497.30000000002</v>
      </c>
      <c r="K458" s="145">
        <f>K436+K286+K136</f>
        <v>175497.30000000002</v>
      </c>
      <c r="L458" s="121">
        <f t="shared" si="72"/>
        <v>0</v>
      </c>
    </row>
    <row r="459" spans="1:12">
      <c r="I459" s="1">
        <v>11</v>
      </c>
      <c r="J459" s="145">
        <f>21217+19200+6000+6000+30000+26400+15575+12000+16000+19590+2292.54+2990+20982.72+12155.03+3000</f>
        <v>213402.29</v>
      </c>
      <c r="K459" s="145">
        <f>K449+K302+K152</f>
        <v>213402.28999999998</v>
      </c>
      <c r="L459" s="121">
        <f t="shared" si="72"/>
        <v>0</v>
      </c>
    </row>
  </sheetData>
  <mergeCells count="1">
    <mergeCell ref="A1:H1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217"/>
  <sheetViews>
    <sheetView topLeftCell="A97" workbookViewId="0">
      <selection activeCell="A113" sqref="A113:XFD113"/>
    </sheetView>
  </sheetViews>
  <sheetFormatPr defaultRowHeight="15"/>
  <cols>
    <col min="1" max="1" width="11.85546875" style="129" customWidth="1"/>
    <col min="2" max="2" width="25.140625" style="1" customWidth="1"/>
    <col min="3" max="3" width="18.42578125" style="1" customWidth="1"/>
    <col min="4" max="4" width="8.28515625" style="1" customWidth="1"/>
    <col min="5" max="5" width="12.28515625" style="1" customWidth="1"/>
    <col min="6" max="6" width="15.28515625" style="1" customWidth="1"/>
    <col min="7" max="7" width="10.7109375" customWidth="1"/>
    <col min="8" max="8" width="9.7109375" style="1" customWidth="1"/>
    <col min="9" max="9" width="10.7109375" style="1" bestFit="1" customWidth="1"/>
    <col min="10" max="10" width="10" style="137" customWidth="1"/>
    <col min="11" max="11" width="9.42578125" style="137" bestFit="1" customWidth="1"/>
    <col min="12" max="12" width="9.42578125" style="1" bestFit="1" customWidth="1"/>
    <col min="13" max="13" width="10.85546875" style="1" customWidth="1"/>
    <col min="14" max="18" width="9.140625" style="1"/>
  </cols>
  <sheetData>
    <row r="1" spans="1:20" ht="18.75">
      <c r="A1" s="152" t="s">
        <v>42</v>
      </c>
      <c r="B1" s="152"/>
      <c r="C1" s="152"/>
      <c r="D1" s="152"/>
      <c r="E1" s="152"/>
      <c r="F1" s="152"/>
      <c r="G1" s="152"/>
      <c r="H1" s="152"/>
    </row>
    <row r="2" spans="1:20" ht="18.75">
      <c r="A2" s="133"/>
      <c r="B2" s="66"/>
      <c r="C2" s="66"/>
      <c r="D2" s="66"/>
      <c r="E2" s="66"/>
      <c r="F2" s="66"/>
      <c r="G2" s="66"/>
      <c r="H2" s="66"/>
    </row>
    <row r="3" spans="1:20" ht="19.5" thickBot="1">
      <c r="A3" s="128" t="s">
        <v>77</v>
      </c>
      <c r="H3"/>
      <c r="S3" s="1"/>
      <c r="T3" s="1"/>
    </row>
    <row r="4" spans="1:20" ht="96" customHeight="1">
      <c r="A4" s="130" t="s">
        <v>2</v>
      </c>
      <c r="B4" s="23" t="s">
        <v>15</v>
      </c>
      <c r="C4" s="23" t="s">
        <v>14</v>
      </c>
      <c r="D4" s="23" t="s">
        <v>16</v>
      </c>
      <c r="E4" s="23" t="s">
        <v>27</v>
      </c>
      <c r="F4" s="23" t="s">
        <v>28</v>
      </c>
      <c r="G4" s="23" t="s">
        <v>29</v>
      </c>
      <c r="H4" s="23" t="s">
        <v>30</v>
      </c>
      <c r="I4" s="23" t="s">
        <v>11</v>
      </c>
      <c r="J4" s="147" t="s">
        <v>34</v>
      </c>
      <c r="K4" s="147" t="s">
        <v>33</v>
      </c>
    </row>
    <row r="5" spans="1:20" ht="15.75" thickBot="1">
      <c r="A5" s="134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 t="s">
        <v>31</v>
      </c>
      <c r="H5" s="9">
        <v>8</v>
      </c>
      <c r="I5" s="39" t="s">
        <v>32</v>
      </c>
    </row>
    <row r="6" spans="1:20" ht="18" customHeight="1">
      <c r="A6" s="122" t="s">
        <v>64</v>
      </c>
      <c r="B6" s="13" t="s">
        <v>43</v>
      </c>
      <c r="C6" s="43" t="s">
        <v>17</v>
      </c>
      <c r="D6" s="13">
        <v>1</v>
      </c>
      <c r="E6" s="15">
        <f>248*8*(A7/1979)</f>
        <v>182.45982819605862</v>
      </c>
      <c r="F6" s="28">
        <f>E6/A7</f>
        <v>1.0025265285497726</v>
      </c>
      <c r="G6" s="41">
        <f>D6/E6*F6</f>
        <v>5.4945054945054941E-3</v>
      </c>
      <c r="H6" s="14">
        <f>10000*0.42</f>
        <v>4200</v>
      </c>
      <c r="I6" s="104">
        <f>H6*G6</f>
        <v>23.076923076923077</v>
      </c>
    </row>
    <row r="7" spans="1:20">
      <c r="A7" s="120">
        <f>ком.усл!A11</f>
        <v>182</v>
      </c>
      <c r="B7" s="5" t="s">
        <v>85</v>
      </c>
      <c r="C7" s="35" t="s">
        <v>17</v>
      </c>
      <c r="D7" s="5">
        <v>1</v>
      </c>
      <c r="E7" s="7">
        <f>248*8*(A7/1979)</f>
        <v>182.45982819605862</v>
      </c>
      <c r="F7" s="29">
        <f>E7/A7</f>
        <v>1.0025265285497726</v>
      </c>
      <c r="G7" s="40">
        <f>D7/E7*F7</f>
        <v>5.4945054945054941E-3</v>
      </c>
      <c r="H7" s="6">
        <f>(46795-10000)*0.42</f>
        <v>15453.9</v>
      </c>
      <c r="I7" s="105">
        <f t="shared" ref="I7" si="0">H7*G7</f>
        <v>84.911538461538456</v>
      </c>
    </row>
    <row r="8" spans="1:20" s="1" customFormat="1" ht="15.75" thickBot="1">
      <c r="A8" s="125"/>
      <c r="B8" s="30"/>
      <c r="C8" s="30"/>
      <c r="D8" s="30"/>
      <c r="E8" s="30"/>
      <c r="F8" s="30"/>
      <c r="G8" s="63"/>
      <c r="H8" s="64"/>
      <c r="I8" s="106">
        <f>SUM(I6:I7)</f>
        <v>107.98846153846154</v>
      </c>
      <c r="J8" s="137"/>
      <c r="K8" s="137"/>
    </row>
    <row r="9" spans="1:20" s="1" customFormat="1" ht="15.75" thickBot="1">
      <c r="A9" s="135"/>
      <c r="B9" s="59"/>
      <c r="C9" s="59"/>
      <c r="D9" s="59"/>
      <c r="E9" s="59"/>
      <c r="F9" s="59"/>
      <c r="G9" s="56" t="s">
        <v>60</v>
      </c>
      <c r="H9" s="60"/>
      <c r="I9" s="107">
        <f>I6+I7</f>
        <v>107.98846153846154</v>
      </c>
      <c r="J9" s="137">
        <f>46795*0.42</f>
        <v>19653.899999999998</v>
      </c>
      <c r="K9" s="121">
        <f>I9*A7</f>
        <v>19653.899999999998</v>
      </c>
    </row>
    <row r="10" spans="1:20" s="1" customFormat="1" ht="15.75" thickBot="1">
      <c r="A10" s="136"/>
      <c r="B10" s="70"/>
      <c r="C10" s="70"/>
      <c r="D10" s="70"/>
      <c r="E10" s="70"/>
      <c r="F10" s="70"/>
      <c r="G10" s="71" t="s">
        <v>57</v>
      </c>
      <c r="H10" s="72"/>
      <c r="I10" s="108">
        <f>I8-I9</f>
        <v>0</v>
      </c>
      <c r="J10" s="121">
        <v>0</v>
      </c>
      <c r="K10" s="121">
        <f>I10*A7</f>
        <v>0</v>
      </c>
    </row>
    <row r="11" spans="1:20" ht="18" customHeight="1">
      <c r="A11" s="122" t="s">
        <v>69</v>
      </c>
      <c r="B11" s="13" t="s">
        <v>43</v>
      </c>
      <c r="C11" s="43" t="s">
        <v>17</v>
      </c>
      <c r="D11" s="13">
        <v>1</v>
      </c>
      <c r="E11" s="15">
        <f>248*8*(A12/1979)</f>
        <v>306.7731177362304</v>
      </c>
      <c r="F11" s="28">
        <f>E11/A12</f>
        <v>1.0025265285497726</v>
      </c>
      <c r="G11" s="41">
        <f>D11/E11*F11</f>
        <v>3.2679738562091504E-3</v>
      </c>
      <c r="H11" s="14">
        <f>10000*0.44</f>
        <v>4400</v>
      </c>
      <c r="I11" s="104">
        <f>H11*G11</f>
        <v>14.379084967320262</v>
      </c>
    </row>
    <row r="12" spans="1:20">
      <c r="A12" s="120">
        <f>ком.усл!A16</f>
        <v>306</v>
      </c>
      <c r="B12" s="5" t="s">
        <v>85</v>
      </c>
      <c r="C12" s="35" t="s">
        <v>17</v>
      </c>
      <c r="D12" s="5">
        <v>1</v>
      </c>
      <c r="E12" s="7">
        <f>248*8*(A12/1979)</f>
        <v>306.7731177362304</v>
      </c>
      <c r="F12" s="29">
        <f>E12/A12</f>
        <v>1.0025265285497726</v>
      </c>
      <c r="G12" s="40">
        <f>D12/E12*F12</f>
        <v>3.2679738562091504E-3</v>
      </c>
      <c r="H12" s="6">
        <f>(48000-10000)*0.44</f>
        <v>16720</v>
      </c>
      <c r="I12" s="105">
        <f t="shared" ref="I12:I13" si="1">H12*G12</f>
        <v>54.640522875816998</v>
      </c>
    </row>
    <row r="13" spans="1:20">
      <c r="A13" s="120"/>
      <c r="B13" s="5"/>
      <c r="C13" s="35"/>
      <c r="D13" s="5"/>
      <c r="E13" s="7"/>
      <c r="F13" s="29"/>
      <c r="G13" s="40"/>
      <c r="H13" s="6"/>
      <c r="I13" s="105">
        <f t="shared" si="1"/>
        <v>0</v>
      </c>
    </row>
    <row r="14" spans="1:20" s="1" customFormat="1" ht="15.75" thickBot="1">
      <c r="A14" s="125"/>
      <c r="B14" s="30"/>
      <c r="C14" s="30"/>
      <c r="D14" s="30"/>
      <c r="E14" s="30"/>
      <c r="F14" s="30"/>
      <c r="G14" s="63"/>
      <c r="H14" s="64"/>
      <c r="I14" s="106">
        <f>SUM(I11:I13)</f>
        <v>69.019607843137265</v>
      </c>
      <c r="J14" s="137"/>
      <c r="K14" s="137"/>
    </row>
    <row r="15" spans="1:20" s="1" customFormat="1" ht="15.75" thickBot="1">
      <c r="A15" s="135"/>
      <c r="B15" s="59"/>
      <c r="C15" s="59"/>
      <c r="D15" s="59"/>
      <c r="E15" s="59"/>
      <c r="F15" s="59"/>
      <c r="G15" s="56" t="s">
        <v>60</v>
      </c>
      <c r="H15" s="60"/>
      <c r="I15" s="107">
        <f>I11+I12</f>
        <v>69.019607843137265</v>
      </c>
      <c r="J15" s="137">
        <f>48000*0.44</f>
        <v>21120</v>
      </c>
      <c r="K15" s="121">
        <f>I15*A12</f>
        <v>21120.000000000004</v>
      </c>
    </row>
    <row r="16" spans="1:20" s="1" customFormat="1" ht="15.75" thickBot="1">
      <c r="A16" s="136"/>
      <c r="B16" s="70"/>
      <c r="C16" s="70"/>
      <c r="D16" s="70"/>
      <c r="E16" s="70"/>
      <c r="F16" s="70"/>
      <c r="G16" s="71" t="s">
        <v>57</v>
      </c>
      <c r="H16" s="72"/>
      <c r="I16" s="108">
        <f>I14-I15</f>
        <v>0</v>
      </c>
      <c r="J16" s="121">
        <v>0</v>
      </c>
      <c r="K16" s="121">
        <f>I16*A12</f>
        <v>0</v>
      </c>
    </row>
    <row r="17" spans="1:11" ht="18" customHeight="1">
      <c r="A17" s="122" t="s">
        <v>70</v>
      </c>
      <c r="B17" s="13" t="s">
        <v>43</v>
      </c>
      <c r="C17" s="43" t="s">
        <v>17</v>
      </c>
      <c r="D17" s="13">
        <v>1</v>
      </c>
      <c r="E17" s="15">
        <f>248*8*(A18/1979)</f>
        <v>252.63668519454271</v>
      </c>
      <c r="F17" s="28">
        <f>E17/A18</f>
        <v>1.0025265285497726</v>
      </c>
      <c r="G17" s="41">
        <f>D17/E17*F17</f>
        <v>3.968253968253968E-3</v>
      </c>
      <c r="H17" s="14">
        <f>20000*0.44</f>
        <v>8800</v>
      </c>
      <c r="I17" s="104">
        <f>H17*G17</f>
        <v>34.920634920634917</v>
      </c>
    </row>
    <row r="18" spans="1:11">
      <c r="A18" s="120">
        <f>ком.усл!A21</f>
        <v>252</v>
      </c>
      <c r="B18" s="5" t="s">
        <v>85</v>
      </c>
      <c r="C18" s="35" t="s">
        <v>17</v>
      </c>
      <c r="D18" s="5">
        <v>1</v>
      </c>
      <c r="E18" s="7">
        <f>248*8*(A18/1979)</f>
        <v>252.63668519454271</v>
      </c>
      <c r="F18" s="29">
        <f>E18/A18</f>
        <v>1.0025265285497726</v>
      </c>
      <c r="G18" s="40">
        <f>D18/E18*F18</f>
        <v>3.968253968253968E-3</v>
      </c>
      <c r="H18" s="6">
        <f>(69000-20000)*0.44</f>
        <v>21560</v>
      </c>
      <c r="I18" s="105">
        <f t="shared" ref="I18:I19" si="2">H18*G18</f>
        <v>85.555555555555557</v>
      </c>
    </row>
    <row r="19" spans="1:11">
      <c r="A19" s="120"/>
      <c r="B19" s="5"/>
      <c r="C19" s="35"/>
      <c r="D19" s="5"/>
      <c r="E19" s="7"/>
      <c r="F19" s="29"/>
      <c r="G19" s="40"/>
      <c r="H19" s="6"/>
      <c r="I19" s="105">
        <f t="shared" si="2"/>
        <v>0</v>
      </c>
    </row>
    <row r="20" spans="1:11" s="1" customFormat="1" ht="15.75" thickBot="1">
      <c r="A20" s="125"/>
      <c r="B20" s="30"/>
      <c r="C20" s="30"/>
      <c r="D20" s="30"/>
      <c r="E20" s="30"/>
      <c r="F20" s="30"/>
      <c r="G20" s="63"/>
      <c r="H20" s="64"/>
      <c r="I20" s="106">
        <f>SUM(I17:I19)</f>
        <v>120.47619047619048</v>
      </c>
      <c r="J20" s="137"/>
      <c r="K20" s="137"/>
    </row>
    <row r="21" spans="1:11" s="1" customFormat="1" ht="15.75" thickBot="1">
      <c r="A21" s="135"/>
      <c r="B21" s="59"/>
      <c r="C21" s="59"/>
      <c r="D21" s="59"/>
      <c r="E21" s="59"/>
      <c r="F21" s="59"/>
      <c r="G21" s="56" t="s">
        <v>60</v>
      </c>
      <c r="H21" s="60"/>
      <c r="I21" s="107">
        <f>I17+I18</f>
        <v>120.47619047619048</v>
      </c>
      <c r="J21" s="137">
        <f>69000*0.44</f>
        <v>30360</v>
      </c>
      <c r="K21" s="121">
        <f>I21*A18</f>
        <v>30360</v>
      </c>
    </row>
    <row r="22" spans="1:11" s="1" customFormat="1" ht="15.75" thickBot="1">
      <c r="A22" s="136"/>
      <c r="B22" s="70"/>
      <c r="C22" s="70"/>
      <c r="D22" s="70"/>
      <c r="E22" s="70"/>
      <c r="F22" s="70"/>
      <c r="G22" s="71" t="s">
        <v>57</v>
      </c>
      <c r="H22" s="72"/>
      <c r="I22" s="108">
        <f>I20-I21</f>
        <v>0</v>
      </c>
      <c r="J22" s="121">
        <v>0</v>
      </c>
      <c r="K22" s="121">
        <f>I22*A18</f>
        <v>0</v>
      </c>
    </row>
    <row r="23" spans="1:11" ht="18" customHeight="1">
      <c r="A23" s="122" t="s">
        <v>71</v>
      </c>
      <c r="B23" s="13" t="s">
        <v>43</v>
      </c>
      <c r="C23" s="43" t="s">
        <v>17</v>
      </c>
      <c r="D23" s="13">
        <v>1</v>
      </c>
      <c r="E23" s="15">
        <f>248*8*(A24/1979)</f>
        <v>408.02829711975744</v>
      </c>
      <c r="F23" s="28">
        <f>E23/A24</f>
        <v>1.0025265285497726</v>
      </c>
      <c r="G23" s="41">
        <f>D23/E23*F23</f>
        <v>2.4570024570024574E-3</v>
      </c>
      <c r="H23" s="14">
        <f>30000*0.45</f>
        <v>13500</v>
      </c>
      <c r="I23" s="104">
        <f>H23*G23</f>
        <v>33.169533169533175</v>
      </c>
    </row>
    <row r="24" spans="1:11">
      <c r="A24" s="120">
        <f>ком.усл!A26</f>
        <v>407</v>
      </c>
      <c r="B24" s="5" t="s">
        <v>85</v>
      </c>
      <c r="C24" s="35" t="s">
        <v>17</v>
      </c>
      <c r="D24" s="5">
        <v>1</v>
      </c>
      <c r="E24" s="7">
        <f>248*8*(A24/1979)</f>
        <v>408.02829711975744</v>
      </c>
      <c r="F24" s="29">
        <f>E24/A24</f>
        <v>1.0025265285497726</v>
      </c>
      <c r="G24" s="40">
        <f>D24/E24*F24</f>
        <v>2.4570024570024574E-3</v>
      </c>
      <c r="H24" s="6">
        <f>(70000-30000)*0.45</f>
        <v>18000</v>
      </c>
      <c r="I24" s="105">
        <f t="shared" ref="I24" si="3">H24*G24</f>
        <v>44.22604422604423</v>
      </c>
    </row>
    <row r="25" spans="1:11" s="1" customFormat="1" ht="15.75" thickBot="1">
      <c r="A25" s="125"/>
      <c r="B25" s="30"/>
      <c r="C25" s="30"/>
      <c r="D25" s="30"/>
      <c r="E25" s="30"/>
      <c r="F25" s="30"/>
      <c r="G25" s="63"/>
      <c r="H25" s="64"/>
      <c r="I25" s="106">
        <f>SUM(I23:I24)</f>
        <v>77.395577395577405</v>
      </c>
      <c r="J25" s="137"/>
      <c r="K25" s="137"/>
    </row>
    <row r="26" spans="1:11" s="1" customFormat="1" ht="15.75" thickBot="1">
      <c r="A26" s="135"/>
      <c r="B26" s="59"/>
      <c r="C26" s="59"/>
      <c r="D26" s="59"/>
      <c r="E26" s="59"/>
      <c r="F26" s="59"/>
      <c r="G26" s="56" t="s">
        <v>60</v>
      </c>
      <c r="H26" s="60"/>
      <c r="I26" s="107">
        <f>I23+I24</f>
        <v>77.395577395577405</v>
      </c>
      <c r="J26" s="137">
        <f>70000*0.45</f>
        <v>31500</v>
      </c>
      <c r="K26" s="121">
        <f>I26*A24</f>
        <v>31500.000000000004</v>
      </c>
    </row>
    <row r="27" spans="1:11" s="1" customFormat="1" ht="15.75" thickBot="1">
      <c r="A27" s="136"/>
      <c r="B27" s="70"/>
      <c r="C27" s="70"/>
      <c r="D27" s="70"/>
      <c r="E27" s="70"/>
      <c r="F27" s="70"/>
      <c r="G27" s="71" t="s">
        <v>57</v>
      </c>
      <c r="H27" s="72"/>
      <c r="I27" s="108">
        <f>I25-I26</f>
        <v>0</v>
      </c>
      <c r="J27" s="121">
        <v>0</v>
      </c>
      <c r="K27" s="121">
        <f>I27*A24</f>
        <v>0</v>
      </c>
    </row>
    <row r="28" spans="1:11" ht="18" customHeight="1">
      <c r="A28" s="122" t="s">
        <v>72</v>
      </c>
      <c r="B28" s="13" t="s">
        <v>43</v>
      </c>
      <c r="C28" s="43" t="s">
        <v>17</v>
      </c>
      <c r="D28" s="13">
        <v>1</v>
      </c>
      <c r="E28" s="15">
        <f>248*8*(A29/1979)</f>
        <v>404.01819100555832</v>
      </c>
      <c r="F28" s="28">
        <f>E28/A29</f>
        <v>1.0025265285497724</v>
      </c>
      <c r="G28" s="41">
        <f>D28/E28*F28</f>
        <v>2.4813895781637713E-3</v>
      </c>
      <c r="H28" s="14">
        <f>50000*0.42</f>
        <v>21000</v>
      </c>
      <c r="I28" s="104">
        <f>H28*G28</f>
        <v>52.109181141439194</v>
      </c>
    </row>
    <row r="29" spans="1:11">
      <c r="A29" s="120">
        <f>ком.усл!A31</f>
        <v>403</v>
      </c>
      <c r="B29" s="5" t="s">
        <v>85</v>
      </c>
      <c r="C29" s="35" t="s">
        <v>17</v>
      </c>
      <c r="D29" s="5">
        <v>1</v>
      </c>
      <c r="E29" s="7">
        <f>248*8*(A29/1979)</f>
        <v>404.01819100555832</v>
      </c>
      <c r="F29" s="29">
        <f>E29/A29</f>
        <v>1.0025265285497724</v>
      </c>
      <c r="G29" s="40">
        <f>D29/E29*F29</f>
        <v>2.4813895781637713E-3</v>
      </c>
      <c r="H29" s="6">
        <f>(94325-50000)*0.42</f>
        <v>18616.5</v>
      </c>
      <c r="I29" s="105">
        <f t="shared" ref="I29:I30" si="4">H29*G29</f>
        <v>46.194789081885851</v>
      </c>
    </row>
    <row r="30" spans="1:11">
      <c r="A30" s="120"/>
      <c r="B30" s="5"/>
      <c r="C30" s="35"/>
      <c r="D30" s="5"/>
      <c r="E30" s="7"/>
      <c r="F30" s="29"/>
      <c r="G30" s="40"/>
      <c r="H30" s="6"/>
      <c r="I30" s="105">
        <f t="shared" si="4"/>
        <v>0</v>
      </c>
    </row>
    <row r="31" spans="1:11" s="1" customFormat="1" ht="15.75" thickBot="1">
      <c r="A31" s="125"/>
      <c r="B31" s="30"/>
      <c r="C31" s="30"/>
      <c r="D31" s="30"/>
      <c r="E31" s="30"/>
      <c r="F31" s="30"/>
      <c r="G31" s="63"/>
      <c r="H31" s="64"/>
      <c r="I31" s="106">
        <f>SUM(I28:I30)</f>
        <v>98.303970223325052</v>
      </c>
      <c r="J31" s="137"/>
      <c r="K31" s="137"/>
    </row>
    <row r="32" spans="1:11" s="1" customFormat="1" ht="15.75" thickBot="1">
      <c r="A32" s="135"/>
      <c r="B32" s="59"/>
      <c r="C32" s="59"/>
      <c r="D32" s="59"/>
      <c r="E32" s="59"/>
      <c r="F32" s="59"/>
      <c r="G32" s="56" t="s">
        <v>60</v>
      </c>
      <c r="H32" s="60"/>
      <c r="I32" s="107">
        <f>I28+I29</f>
        <v>98.303970223325052</v>
      </c>
      <c r="J32" s="137">
        <f>94325*0.43</f>
        <v>40559.75</v>
      </c>
      <c r="K32" s="121">
        <f>I32*A29</f>
        <v>39616.499999999993</v>
      </c>
    </row>
    <row r="33" spans="1:11" s="1" customFormat="1" ht="15.75" thickBot="1">
      <c r="A33" s="136"/>
      <c r="B33" s="70"/>
      <c r="C33" s="70"/>
      <c r="D33" s="70"/>
      <c r="E33" s="70"/>
      <c r="F33" s="70"/>
      <c r="G33" s="71" t="s">
        <v>57</v>
      </c>
      <c r="H33" s="72"/>
      <c r="I33" s="108">
        <f>I31-I32</f>
        <v>0</v>
      </c>
      <c r="J33" s="121">
        <v>0</v>
      </c>
      <c r="K33" s="121">
        <f>I33*A29</f>
        <v>0</v>
      </c>
    </row>
    <row r="34" spans="1:11" ht="18" customHeight="1">
      <c r="A34" s="122" t="s">
        <v>73</v>
      </c>
      <c r="B34" s="13" t="s">
        <v>43</v>
      </c>
      <c r="C34" s="43" t="s">
        <v>17</v>
      </c>
      <c r="D34" s="13">
        <v>1</v>
      </c>
      <c r="E34" s="15">
        <f>248*8*(A35/1979)</f>
        <v>267.67458312278927</v>
      </c>
      <c r="F34" s="28">
        <f>E34/A35</f>
        <v>1.0025265285497726</v>
      </c>
      <c r="G34" s="41">
        <f>D34/E34*F34</f>
        <v>3.7453183520599256E-3</v>
      </c>
      <c r="H34" s="14">
        <f>60000*0.44</f>
        <v>26400</v>
      </c>
      <c r="I34" s="104">
        <f>H34*G34</f>
        <v>98.876404494382029</v>
      </c>
    </row>
    <row r="35" spans="1:11">
      <c r="A35" s="120">
        <f>ком.усл!A36</f>
        <v>267</v>
      </c>
      <c r="B35" s="5" t="s">
        <v>85</v>
      </c>
      <c r="C35" s="35" t="s">
        <v>17</v>
      </c>
      <c r="D35" s="5">
        <v>1</v>
      </c>
      <c r="E35" s="7">
        <f>248*8*(A35/1979)</f>
        <v>267.67458312278927</v>
      </c>
      <c r="F35" s="29">
        <f>E35/A35</f>
        <v>1.0025265285497726</v>
      </c>
      <c r="G35" s="40">
        <f>D35/E35*F35</f>
        <v>3.7453183520599256E-3</v>
      </c>
      <c r="H35" s="6">
        <f>(235200-60000)*0.44</f>
        <v>77088</v>
      </c>
      <c r="I35" s="105">
        <f t="shared" ref="I35" si="5">H35*G35</f>
        <v>288.71910112359552</v>
      </c>
    </row>
    <row r="36" spans="1:11" s="1" customFormat="1" ht="15.75" thickBot="1">
      <c r="A36" s="125"/>
      <c r="B36" s="30"/>
      <c r="C36" s="30"/>
      <c r="D36" s="30"/>
      <c r="E36" s="30"/>
      <c r="F36" s="30"/>
      <c r="G36" s="63"/>
      <c r="H36" s="64"/>
      <c r="I36" s="106">
        <f>SUM(I34:I35)</f>
        <v>387.59550561797755</v>
      </c>
      <c r="J36" s="137"/>
      <c r="K36" s="137"/>
    </row>
    <row r="37" spans="1:11" s="1" customFormat="1" ht="15.75" thickBot="1">
      <c r="A37" s="135"/>
      <c r="B37" s="59"/>
      <c r="C37" s="59"/>
      <c r="D37" s="59"/>
      <c r="E37" s="59"/>
      <c r="F37" s="59"/>
      <c r="G37" s="56" t="s">
        <v>60</v>
      </c>
      <c r="H37" s="60"/>
      <c r="I37" s="107">
        <f>I34+I35</f>
        <v>387.59550561797755</v>
      </c>
      <c r="J37" s="137">
        <f>235200*0.44</f>
        <v>103488</v>
      </c>
      <c r="K37" s="121">
        <f>I37*A35</f>
        <v>103488</v>
      </c>
    </row>
    <row r="38" spans="1:11" s="1" customFormat="1" ht="15.75" thickBot="1">
      <c r="A38" s="136"/>
      <c r="B38" s="70"/>
      <c r="C38" s="70"/>
      <c r="D38" s="70"/>
      <c r="E38" s="70"/>
      <c r="F38" s="70"/>
      <c r="G38" s="71" t="s">
        <v>57</v>
      </c>
      <c r="H38" s="72"/>
      <c r="I38" s="108">
        <f>I36-I37</f>
        <v>0</v>
      </c>
      <c r="J38" s="121">
        <v>0</v>
      </c>
      <c r="K38" s="121">
        <f>I38*A35</f>
        <v>0</v>
      </c>
    </row>
    <row r="39" spans="1:11" ht="18" customHeight="1">
      <c r="A39" s="122" t="s">
        <v>96</v>
      </c>
      <c r="B39" s="13" t="s">
        <v>43</v>
      </c>
      <c r="C39" s="43" t="s">
        <v>17</v>
      </c>
      <c r="D39" s="13">
        <v>1</v>
      </c>
      <c r="E39" s="15">
        <f>248*8*(A40/1979)</f>
        <v>413.04092976250632</v>
      </c>
      <c r="F39" s="28">
        <f>E39/A40</f>
        <v>1.0025265285497726</v>
      </c>
      <c r="G39" s="41">
        <f>D39/E39*F39</f>
        <v>2.4271844660194173E-3</v>
      </c>
      <c r="H39" s="14">
        <f>30000*0.42</f>
        <v>12600</v>
      </c>
      <c r="I39" s="104">
        <f>H39*G39</f>
        <v>30.582524271844658</v>
      </c>
    </row>
    <row r="40" spans="1:11">
      <c r="A40" s="120">
        <f>ком.усл!A41</f>
        <v>412</v>
      </c>
      <c r="B40" s="5" t="s">
        <v>85</v>
      </c>
      <c r="C40" s="35" t="s">
        <v>17</v>
      </c>
      <c r="D40" s="5">
        <v>1</v>
      </c>
      <c r="E40" s="7">
        <f>248*8*(A40/1979)</f>
        <v>413.04092976250632</v>
      </c>
      <c r="F40" s="29">
        <f>E40/A40</f>
        <v>1.0025265285497726</v>
      </c>
      <c r="G40" s="40">
        <f>D40/E40*F40</f>
        <v>2.4271844660194173E-3</v>
      </c>
      <c r="H40" s="6">
        <f>(118000-30000)*0.42</f>
        <v>36960</v>
      </c>
      <c r="I40" s="105">
        <f t="shared" ref="I40:I41" si="6">H40*G40</f>
        <v>89.708737864077662</v>
      </c>
    </row>
    <row r="41" spans="1:11">
      <c r="A41" s="120"/>
      <c r="B41" s="5"/>
      <c r="C41" s="35"/>
      <c r="D41" s="5"/>
      <c r="E41" s="7"/>
      <c r="F41" s="29"/>
      <c r="G41" s="40"/>
      <c r="H41" s="6"/>
      <c r="I41" s="105">
        <f t="shared" si="6"/>
        <v>0</v>
      </c>
    </row>
    <row r="42" spans="1:11" s="1" customFormat="1" ht="15.75" thickBot="1">
      <c r="A42" s="125"/>
      <c r="B42" s="30"/>
      <c r="C42" s="30"/>
      <c r="D42" s="30"/>
      <c r="E42" s="30"/>
      <c r="F42" s="30"/>
      <c r="G42" s="63"/>
      <c r="H42" s="64"/>
      <c r="I42" s="106">
        <f>SUM(I39:I41)</f>
        <v>120.29126213592232</v>
      </c>
      <c r="J42" s="137"/>
      <c r="K42" s="137"/>
    </row>
    <row r="43" spans="1:11" s="1" customFormat="1" ht="15.75" thickBot="1">
      <c r="A43" s="135"/>
      <c r="B43" s="59"/>
      <c r="C43" s="59"/>
      <c r="D43" s="59"/>
      <c r="E43" s="59"/>
      <c r="F43" s="59"/>
      <c r="G43" s="56" t="s">
        <v>60</v>
      </c>
      <c r="H43" s="60"/>
      <c r="I43" s="107">
        <f>I39+I40</f>
        <v>120.29126213592232</v>
      </c>
      <c r="J43" s="137">
        <f>118000*0.42</f>
        <v>49560</v>
      </c>
      <c r="K43" s="121">
        <f>I43*A40</f>
        <v>49560</v>
      </c>
    </row>
    <row r="44" spans="1:11" s="1" customFormat="1" ht="15.75" thickBot="1">
      <c r="A44" s="136"/>
      <c r="B44" s="70"/>
      <c r="C44" s="70"/>
      <c r="D44" s="70"/>
      <c r="E44" s="70"/>
      <c r="F44" s="70"/>
      <c r="G44" s="71" t="s">
        <v>57</v>
      </c>
      <c r="H44" s="72"/>
      <c r="I44" s="108">
        <f>I42-I43</f>
        <v>0</v>
      </c>
      <c r="J44" s="121">
        <v>0</v>
      </c>
      <c r="K44" s="121">
        <f>I44*A40</f>
        <v>0</v>
      </c>
    </row>
    <row r="45" spans="1:11" ht="18" customHeight="1">
      <c r="A45" s="122" t="s">
        <v>75</v>
      </c>
      <c r="B45" s="13" t="s">
        <v>43</v>
      </c>
      <c r="C45" s="43" t="s">
        <v>17</v>
      </c>
      <c r="D45" s="13">
        <v>1</v>
      </c>
      <c r="E45" s="15">
        <f>248*8*(A46/1979)</f>
        <v>137.34613441131884</v>
      </c>
      <c r="F45" s="28">
        <f>E45/A46</f>
        <v>1.0025265285497726</v>
      </c>
      <c r="G45" s="41">
        <f>D45/E45*F45</f>
        <v>7.2992700729927014E-3</v>
      </c>
      <c r="H45" s="14">
        <f>5000*0.46</f>
        <v>2300</v>
      </c>
      <c r="I45" s="104">
        <f>H45*G45</f>
        <v>16.788321167883215</v>
      </c>
    </row>
    <row r="46" spans="1:11">
      <c r="A46" s="120">
        <f>ком.усл!A47</f>
        <v>137</v>
      </c>
      <c r="B46" s="5" t="s">
        <v>85</v>
      </c>
      <c r="C46" s="35" t="s">
        <v>17</v>
      </c>
      <c r="D46" s="5">
        <v>1</v>
      </c>
      <c r="E46" s="7">
        <f>248*8*(A46/1979)</f>
        <v>137.34613441131884</v>
      </c>
      <c r="F46" s="29">
        <f>E46/A46</f>
        <v>1.0025265285497726</v>
      </c>
      <c r="G46" s="40">
        <f>D46/E46*F46</f>
        <v>7.2992700729927014E-3</v>
      </c>
      <c r="H46" s="6">
        <f>(18380-5000)*0.46</f>
        <v>6154.8</v>
      </c>
      <c r="I46" s="105">
        <f t="shared" ref="I46:I47" si="7">H46*G46</f>
        <v>44.925547445255482</v>
      </c>
    </row>
    <row r="47" spans="1:11">
      <c r="A47" s="120"/>
      <c r="B47" s="5"/>
      <c r="C47" s="35"/>
      <c r="D47" s="5"/>
      <c r="E47" s="7"/>
      <c r="F47" s="29"/>
      <c r="G47" s="40"/>
      <c r="H47" s="6"/>
      <c r="I47" s="105">
        <f t="shared" si="7"/>
        <v>0</v>
      </c>
    </row>
    <row r="48" spans="1:11" s="1" customFormat="1" ht="15.75" thickBot="1">
      <c r="A48" s="125"/>
      <c r="B48" s="30"/>
      <c r="C48" s="30"/>
      <c r="D48" s="30"/>
      <c r="E48" s="30"/>
      <c r="F48" s="30"/>
      <c r="G48" s="63"/>
      <c r="H48" s="64"/>
      <c r="I48" s="106">
        <f>SUM(I45:I47)</f>
        <v>61.7138686131387</v>
      </c>
      <c r="J48" s="137"/>
      <c r="K48" s="137"/>
    </row>
    <row r="49" spans="1:20" s="1" customFormat="1" ht="15.75" thickBot="1">
      <c r="A49" s="135"/>
      <c r="B49" s="59"/>
      <c r="C49" s="59"/>
      <c r="D49" s="59"/>
      <c r="E49" s="59"/>
      <c r="F49" s="59"/>
      <c r="G49" s="56" t="s">
        <v>60</v>
      </c>
      <c r="H49" s="60"/>
      <c r="I49" s="107">
        <f>I45+I46</f>
        <v>61.7138686131387</v>
      </c>
      <c r="J49" s="137">
        <f>18380*0.46</f>
        <v>8454.8000000000011</v>
      </c>
      <c r="K49" s="121">
        <f>I49*A46</f>
        <v>8454.8000000000011</v>
      </c>
    </row>
    <row r="50" spans="1:20" s="1" customFormat="1" ht="15.75" thickBot="1">
      <c r="A50" s="136"/>
      <c r="B50" s="70"/>
      <c r="C50" s="70"/>
      <c r="D50" s="70"/>
      <c r="E50" s="70"/>
      <c r="F50" s="70"/>
      <c r="G50" s="71" t="s">
        <v>57</v>
      </c>
      <c r="H50" s="72"/>
      <c r="I50" s="108">
        <f>I48-I49</f>
        <v>0</v>
      </c>
      <c r="J50" s="121">
        <v>0</v>
      </c>
      <c r="K50" s="121">
        <f>I50*A46</f>
        <v>0</v>
      </c>
    </row>
    <row r="51" spans="1:20" ht="18" customHeight="1">
      <c r="A51" s="122" t="s">
        <v>76</v>
      </c>
      <c r="B51" s="13" t="s">
        <v>43</v>
      </c>
      <c r="C51" s="43" t="s">
        <v>17</v>
      </c>
      <c r="D51" s="13">
        <v>1</v>
      </c>
      <c r="E51" s="15">
        <f>248*8*(A52/1979)</f>
        <v>112.28297119757453</v>
      </c>
      <c r="F51" s="28">
        <f>E51/A52</f>
        <v>1.0025265285497726</v>
      </c>
      <c r="G51" s="41">
        <f>D51/E51*F51</f>
        <v>8.9285714285714298E-3</v>
      </c>
      <c r="H51" s="14">
        <f>10000*0.48</f>
        <v>4800</v>
      </c>
      <c r="I51" s="104">
        <f>H51*G51</f>
        <v>42.857142857142861</v>
      </c>
    </row>
    <row r="52" spans="1:20">
      <c r="A52" s="120">
        <f>ком.усл!A52</f>
        <v>112</v>
      </c>
      <c r="B52" s="5" t="s">
        <v>85</v>
      </c>
      <c r="C52" s="35" t="s">
        <v>17</v>
      </c>
      <c r="D52" s="5">
        <v>1</v>
      </c>
      <c r="E52" s="7">
        <f>248*8*(A52/1979)</f>
        <v>112.28297119757453</v>
      </c>
      <c r="F52" s="29">
        <f>E52/A52</f>
        <v>1.0025265285497726</v>
      </c>
      <c r="G52" s="40">
        <f>D52/E52*F52</f>
        <v>8.9285714285714298E-3</v>
      </c>
      <c r="H52" s="6">
        <f>(35000-10000)*0.48</f>
        <v>12000</v>
      </c>
      <c r="I52" s="105">
        <f t="shared" ref="I52:I53" si="8">H52*G52</f>
        <v>107.14285714285715</v>
      </c>
    </row>
    <row r="53" spans="1:20">
      <c r="A53" s="120"/>
      <c r="B53" s="5"/>
      <c r="C53" s="35"/>
      <c r="D53" s="5"/>
      <c r="E53" s="7"/>
      <c r="F53" s="29"/>
      <c r="G53" s="40"/>
      <c r="H53" s="6"/>
      <c r="I53" s="105">
        <f t="shared" si="8"/>
        <v>0</v>
      </c>
    </row>
    <row r="54" spans="1:20" s="1" customFormat="1" ht="15.75" thickBot="1">
      <c r="A54" s="125"/>
      <c r="B54" s="30"/>
      <c r="C54" s="30"/>
      <c r="D54" s="30"/>
      <c r="E54" s="30"/>
      <c r="F54" s="30"/>
      <c r="G54" s="63"/>
      <c r="H54" s="64"/>
      <c r="I54" s="106">
        <f>SUM(I51:I53)</f>
        <v>150</v>
      </c>
      <c r="J54" s="137"/>
      <c r="K54" s="137"/>
    </row>
    <row r="55" spans="1:20" s="1" customFormat="1" ht="15.75" thickBot="1">
      <c r="A55" s="135"/>
      <c r="B55" s="59"/>
      <c r="C55" s="59"/>
      <c r="D55" s="59"/>
      <c r="E55" s="59"/>
      <c r="F55" s="59"/>
      <c r="G55" s="56" t="s">
        <v>60</v>
      </c>
      <c r="H55" s="60"/>
      <c r="I55" s="107">
        <f>I51+I52</f>
        <v>150</v>
      </c>
      <c r="J55" s="137">
        <f>35000*0.48</f>
        <v>16800</v>
      </c>
      <c r="K55" s="121">
        <f>I55*A52</f>
        <v>16800</v>
      </c>
    </row>
    <row r="56" spans="1:20" s="1" customFormat="1" ht="15.75" thickBot="1">
      <c r="A56" s="136"/>
      <c r="B56" s="70"/>
      <c r="C56" s="70"/>
      <c r="D56" s="70"/>
      <c r="E56" s="70"/>
      <c r="F56" s="70"/>
      <c r="G56" s="71" t="s">
        <v>57</v>
      </c>
      <c r="H56" s="72"/>
      <c r="I56" s="108">
        <f>I54-I55</f>
        <v>0</v>
      </c>
      <c r="J56" s="121">
        <v>0</v>
      </c>
      <c r="K56" s="121">
        <f>I56*A52</f>
        <v>0</v>
      </c>
    </row>
    <row r="57" spans="1:20" s="1" customFormat="1">
      <c r="A57" s="132"/>
      <c r="B57" s="45"/>
      <c r="C57" s="45"/>
      <c r="D57" s="45"/>
      <c r="E57" s="45"/>
      <c r="F57" s="45"/>
      <c r="G57" s="47"/>
      <c r="H57" s="48"/>
      <c r="I57" s="86"/>
      <c r="J57" s="137"/>
      <c r="K57" s="137"/>
    </row>
    <row r="58" spans="1:20" ht="19.5" thickBot="1">
      <c r="A58" s="128" t="s">
        <v>78</v>
      </c>
      <c r="H58"/>
      <c r="I58" s="81"/>
      <c r="S58" s="1"/>
      <c r="T58" s="1"/>
    </row>
    <row r="59" spans="1:20" ht="96" customHeight="1">
      <c r="A59" s="130" t="s">
        <v>2</v>
      </c>
      <c r="B59" s="23" t="s">
        <v>15</v>
      </c>
      <c r="C59" s="23" t="s">
        <v>14</v>
      </c>
      <c r="D59" s="23" t="s">
        <v>16</v>
      </c>
      <c r="E59" s="23" t="s">
        <v>27</v>
      </c>
      <c r="F59" s="23" t="s">
        <v>28</v>
      </c>
      <c r="G59" s="23" t="s">
        <v>29</v>
      </c>
      <c r="H59" s="23" t="s">
        <v>30</v>
      </c>
      <c r="I59" s="90" t="s">
        <v>11</v>
      </c>
      <c r="J59" s="147" t="s">
        <v>34</v>
      </c>
      <c r="K59" s="147" t="s">
        <v>33</v>
      </c>
    </row>
    <row r="60" spans="1:20" ht="15.75" thickBot="1">
      <c r="A60" s="134">
        <v>1</v>
      </c>
      <c r="B60" s="10">
        <v>2</v>
      </c>
      <c r="C60" s="10">
        <v>3</v>
      </c>
      <c r="D60" s="10">
        <v>4</v>
      </c>
      <c r="E60" s="10">
        <v>5</v>
      </c>
      <c r="F60" s="10">
        <v>6</v>
      </c>
      <c r="G60" s="10" t="s">
        <v>31</v>
      </c>
      <c r="H60" s="9">
        <v>8</v>
      </c>
      <c r="I60" s="91" t="s">
        <v>32</v>
      </c>
    </row>
    <row r="61" spans="1:20" ht="18" customHeight="1">
      <c r="A61" s="122" t="s">
        <v>64</v>
      </c>
      <c r="B61" s="13" t="s">
        <v>43</v>
      </c>
      <c r="C61" s="43" t="s">
        <v>17</v>
      </c>
      <c r="D61" s="13">
        <v>1</v>
      </c>
      <c r="E61" s="15">
        <f>248*8*(A62/1979)</f>
        <v>221.55836280949973</v>
      </c>
      <c r="F61" s="28">
        <f>E61/A62</f>
        <v>1.0025265285497724</v>
      </c>
      <c r="G61" s="41">
        <f>D61/E61*F61</f>
        <v>4.5248868778280538E-3</v>
      </c>
      <c r="H61" s="102">
        <f>10000*0.49</f>
        <v>4900</v>
      </c>
      <c r="I61" s="104">
        <f>H61*G61</f>
        <v>22.171945701357465</v>
      </c>
    </row>
    <row r="62" spans="1:20">
      <c r="A62" s="120">
        <f>ком.усл!A62</f>
        <v>221</v>
      </c>
      <c r="B62" s="5" t="s">
        <v>85</v>
      </c>
      <c r="C62" s="35" t="s">
        <v>17</v>
      </c>
      <c r="D62" s="5">
        <v>1</v>
      </c>
      <c r="E62" s="7">
        <f>248*8*(A62/1979)</f>
        <v>221.55836280949973</v>
      </c>
      <c r="F62" s="29">
        <f>E62/A62</f>
        <v>1.0025265285497724</v>
      </c>
      <c r="G62" s="40">
        <f>D62/E62*F62</f>
        <v>4.5248868778280538E-3</v>
      </c>
      <c r="H62" s="103">
        <f>(46795-10000)*0.49</f>
        <v>18029.55</v>
      </c>
      <c r="I62" s="105">
        <f t="shared" ref="I62" si="9">H62*G62</f>
        <v>81.58167420814479</v>
      </c>
    </row>
    <row r="63" spans="1:20" s="1" customFormat="1" ht="15.75" thickBot="1">
      <c r="A63" s="125"/>
      <c r="B63" s="30"/>
      <c r="C63" s="30"/>
      <c r="D63" s="30"/>
      <c r="E63" s="30"/>
      <c r="F63" s="30"/>
      <c r="G63" s="63"/>
      <c r="H63" s="64"/>
      <c r="I63" s="106">
        <f>SUM(I61:I62)</f>
        <v>103.75361990950225</v>
      </c>
      <c r="J63" s="137"/>
      <c r="K63" s="137"/>
    </row>
    <row r="64" spans="1:20" s="1" customFormat="1" ht="15.75" thickBot="1">
      <c r="A64" s="135"/>
      <c r="B64" s="59"/>
      <c r="C64" s="59"/>
      <c r="D64" s="59"/>
      <c r="E64" s="59"/>
      <c r="F64" s="59"/>
      <c r="G64" s="56" t="s">
        <v>60</v>
      </c>
      <c r="H64" s="60"/>
      <c r="I64" s="107">
        <f>I61+I62</f>
        <v>103.75361990950225</v>
      </c>
      <c r="J64" s="137">
        <f>46795*0.49</f>
        <v>22929.55</v>
      </c>
      <c r="K64" s="121">
        <f>I64*A62</f>
        <v>22929.549999999996</v>
      </c>
    </row>
    <row r="65" spans="1:11" s="1" customFormat="1" ht="15.75" thickBot="1">
      <c r="A65" s="136"/>
      <c r="B65" s="70"/>
      <c r="C65" s="70"/>
      <c r="D65" s="70"/>
      <c r="E65" s="70"/>
      <c r="F65" s="70"/>
      <c r="G65" s="71" t="s">
        <v>57</v>
      </c>
      <c r="H65" s="72"/>
      <c r="I65" s="108">
        <f>I63-I64</f>
        <v>0</v>
      </c>
      <c r="J65" s="121">
        <v>0</v>
      </c>
      <c r="K65" s="121">
        <f>I65*A62</f>
        <v>0</v>
      </c>
    </row>
    <row r="66" spans="1:11" ht="18" customHeight="1">
      <c r="A66" s="122" t="s">
        <v>69</v>
      </c>
      <c r="B66" s="13" t="s">
        <v>43</v>
      </c>
      <c r="C66" s="43" t="s">
        <v>17</v>
      </c>
      <c r="D66" s="13">
        <v>1</v>
      </c>
      <c r="E66" s="15">
        <f>248*8*(A67/1979)</f>
        <v>328.82870136432547</v>
      </c>
      <c r="F66" s="28">
        <f>E66/A67</f>
        <v>1.0025265285497729</v>
      </c>
      <c r="G66" s="41">
        <f>D66/E66*F66</f>
        <v>3.0487804878048786E-3</v>
      </c>
      <c r="H66" s="14">
        <f>10000*0.48</f>
        <v>4800</v>
      </c>
      <c r="I66" s="104">
        <f>H66*G66</f>
        <v>14.634146341463417</v>
      </c>
    </row>
    <row r="67" spans="1:11">
      <c r="A67" s="120">
        <f>ком.усл!A67</f>
        <v>328</v>
      </c>
      <c r="B67" s="5" t="s">
        <v>85</v>
      </c>
      <c r="C67" s="35" t="s">
        <v>17</v>
      </c>
      <c r="D67" s="5">
        <v>1</v>
      </c>
      <c r="E67" s="7">
        <f>248*8*(A67/1979)</f>
        <v>328.82870136432547</v>
      </c>
      <c r="F67" s="29">
        <f>E67/A67</f>
        <v>1.0025265285497729</v>
      </c>
      <c r="G67" s="40">
        <f>D67/E67*F67</f>
        <v>3.0487804878048786E-3</v>
      </c>
      <c r="H67" s="6">
        <f>(48000-10000)*0.48</f>
        <v>18240</v>
      </c>
      <c r="I67" s="105">
        <f t="shared" ref="I67:I68" si="10">H67*G67</f>
        <v>55.609756097560982</v>
      </c>
    </row>
    <row r="68" spans="1:11">
      <c r="A68" s="120"/>
      <c r="B68" s="5"/>
      <c r="C68" s="35"/>
      <c r="D68" s="5"/>
      <c r="E68" s="7"/>
      <c r="F68" s="29"/>
      <c r="G68" s="40"/>
      <c r="H68" s="6"/>
      <c r="I68" s="105">
        <f t="shared" si="10"/>
        <v>0</v>
      </c>
    </row>
    <row r="69" spans="1:11" s="1" customFormat="1" ht="15.75" thickBot="1">
      <c r="A69" s="125"/>
      <c r="B69" s="30"/>
      <c r="C69" s="30"/>
      <c r="D69" s="30"/>
      <c r="E69" s="30"/>
      <c r="F69" s="30"/>
      <c r="G69" s="63"/>
      <c r="H69" s="64"/>
      <c r="I69" s="106">
        <f>SUM(I66:I68)</f>
        <v>70.243902439024396</v>
      </c>
      <c r="J69" s="137"/>
      <c r="K69" s="137"/>
    </row>
    <row r="70" spans="1:11" s="1" customFormat="1" ht="15.75" thickBot="1">
      <c r="A70" s="135"/>
      <c r="B70" s="59"/>
      <c r="C70" s="59"/>
      <c r="D70" s="59"/>
      <c r="E70" s="59"/>
      <c r="F70" s="59"/>
      <c r="G70" s="56" t="s">
        <v>60</v>
      </c>
      <c r="H70" s="60"/>
      <c r="I70" s="107">
        <f>I66+I67</f>
        <v>70.243902439024396</v>
      </c>
      <c r="J70" s="137">
        <f>48000*0.48</f>
        <v>23040</v>
      </c>
      <c r="K70" s="121">
        <f>I70*A67</f>
        <v>23040</v>
      </c>
    </row>
    <row r="71" spans="1:11" s="1" customFormat="1" ht="15.75" thickBot="1">
      <c r="A71" s="136"/>
      <c r="B71" s="70"/>
      <c r="C71" s="70"/>
      <c r="D71" s="70"/>
      <c r="E71" s="70"/>
      <c r="F71" s="70"/>
      <c r="G71" s="71" t="s">
        <v>57</v>
      </c>
      <c r="H71" s="72"/>
      <c r="I71" s="108">
        <f>I69-I70</f>
        <v>0</v>
      </c>
      <c r="J71" s="121">
        <v>0</v>
      </c>
      <c r="K71" s="121">
        <f>I71*A67</f>
        <v>0</v>
      </c>
    </row>
    <row r="72" spans="1:11" ht="18" customHeight="1">
      <c r="A72" s="122" t="s">
        <v>70</v>
      </c>
      <c r="B72" s="13" t="s">
        <v>43</v>
      </c>
      <c r="C72" s="43" t="s">
        <v>17</v>
      </c>
      <c r="D72" s="13">
        <v>1</v>
      </c>
      <c r="E72" s="15">
        <f>248*8*(A73/1979)</f>
        <v>285.72006063668522</v>
      </c>
      <c r="F72" s="28">
        <f>E72/A73</f>
        <v>1.0025265285497726</v>
      </c>
      <c r="G72" s="41">
        <f>D72/E72*F72</f>
        <v>3.508771929824561E-3</v>
      </c>
      <c r="H72" s="14">
        <f>20000*0.48</f>
        <v>9600</v>
      </c>
      <c r="I72" s="104">
        <f>H72*G72</f>
        <v>33.684210526315788</v>
      </c>
    </row>
    <row r="73" spans="1:11">
      <c r="A73" s="120">
        <f>ком.усл!A72</f>
        <v>285</v>
      </c>
      <c r="B73" s="5" t="s">
        <v>85</v>
      </c>
      <c r="C73" s="35" t="s">
        <v>17</v>
      </c>
      <c r="D73" s="5">
        <v>1</v>
      </c>
      <c r="E73" s="7">
        <f>248*8*(A73/1979)</f>
        <v>285.72006063668522</v>
      </c>
      <c r="F73" s="29">
        <f>E73/A73</f>
        <v>1.0025265285497726</v>
      </c>
      <c r="G73" s="40">
        <f>D73/E73*F73</f>
        <v>3.508771929824561E-3</v>
      </c>
      <c r="H73" s="6">
        <f>(69000-20000)*0.48</f>
        <v>23520</v>
      </c>
      <c r="I73" s="105">
        <f t="shared" ref="I73:I74" si="11">H73*G73</f>
        <v>82.526315789473671</v>
      </c>
    </row>
    <row r="74" spans="1:11">
      <c r="A74" s="120"/>
      <c r="B74" s="5"/>
      <c r="C74" s="35"/>
      <c r="D74" s="5"/>
      <c r="E74" s="7"/>
      <c r="F74" s="29"/>
      <c r="G74" s="40"/>
      <c r="H74" s="6"/>
      <c r="I74" s="105">
        <f t="shared" si="11"/>
        <v>0</v>
      </c>
    </row>
    <row r="75" spans="1:11" s="1" customFormat="1" ht="15.75" thickBot="1">
      <c r="A75" s="125"/>
      <c r="B75" s="30"/>
      <c r="C75" s="30"/>
      <c r="D75" s="30"/>
      <c r="E75" s="30"/>
      <c r="F75" s="30"/>
      <c r="G75" s="63"/>
      <c r="H75" s="64"/>
      <c r="I75" s="106">
        <f>SUM(I72:I74)</f>
        <v>116.21052631578945</v>
      </c>
      <c r="J75" s="137"/>
      <c r="K75" s="137"/>
    </row>
    <row r="76" spans="1:11" s="1" customFormat="1" ht="15.75" thickBot="1">
      <c r="A76" s="135"/>
      <c r="B76" s="59"/>
      <c r="C76" s="59"/>
      <c r="D76" s="59"/>
      <c r="E76" s="59"/>
      <c r="F76" s="59"/>
      <c r="G76" s="56" t="s">
        <v>60</v>
      </c>
      <c r="H76" s="60"/>
      <c r="I76" s="107">
        <f>I72+I73</f>
        <v>116.21052631578945</v>
      </c>
      <c r="J76" s="137">
        <f>69000*0.48</f>
        <v>33120</v>
      </c>
      <c r="K76" s="121">
        <f>I76*A73</f>
        <v>33119.999999999993</v>
      </c>
    </row>
    <row r="77" spans="1:11" s="1" customFormat="1" ht="15.75" thickBot="1">
      <c r="A77" s="136"/>
      <c r="B77" s="70"/>
      <c r="C77" s="70"/>
      <c r="D77" s="70"/>
      <c r="E77" s="70"/>
      <c r="F77" s="70"/>
      <c r="G77" s="71" t="s">
        <v>57</v>
      </c>
      <c r="H77" s="72"/>
      <c r="I77" s="108">
        <f>I75-I76</f>
        <v>0</v>
      </c>
      <c r="J77" s="121">
        <v>0</v>
      </c>
      <c r="K77" s="121">
        <f>I77*A73</f>
        <v>0</v>
      </c>
    </row>
    <row r="78" spans="1:11" ht="18" customHeight="1">
      <c r="A78" s="122" t="s">
        <v>71</v>
      </c>
      <c r="B78" s="13" t="s">
        <v>43</v>
      </c>
      <c r="C78" s="43" t="s">
        <v>17</v>
      </c>
      <c r="D78" s="13">
        <v>1</v>
      </c>
      <c r="E78" s="15">
        <f>248*8*(A79/1979)</f>
        <v>419.05608893380497</v>
      </c>
      <c r="F78" s="28">
        <f>E78/A79</f>
        <v>1.0025265285497726</v>
      </c>
      <c r="G78" s="41">
        <f>D78/E78*F78</f>
        <v>2.3923444976076554E-3</v>
      </c>
      <c r="H78" s="14">
        <f>30000*0.44</f>
        <v>13200</v>
      </c>
      <c r="I78" s="104">
        <f>H78*G78</f>
        <v>31.578947368421051</v>
      </c>
    </row>
    <row r="79" spans="1:11">
      <c r="A79" s="120">
        <f>ком.усл!A77</f>
        <v>418</v>
      </c>
      <c r="B79" s="5" t="s">
        <v>85</v>
      </c>
      <c r="C79" s="35" t="s">
        <v>17</v>
      </c>
      <c r="D79" s="5">
        <v>1</v>
      </c>
      <c r="E79" s="7">
        <f>248*8*(A79/1979)</f>
        <v>419.05608893380497</v>
      </c>
      <c r="F79" s="29">
        <f>E79/A79</f>
        <v>1.0025265285497726</v>
      </c>
      <c r="G79" s="40">
        <f>D79/E79*F79</f>
        <v>2.3923444976076554E-3</v>
      </c>
      <c r="H79" s="6">
        <f>(70000-30000)*0.44</f>
        <v>17600</v>
      </c>
      <c r="I79" s="105">
        <f t="shared" ref="I79" si="12">H79*G79</f>
        <v>42.105263157894733</v>
      </c>
    </row>
    <row r="80" spans="1:11" s="1" customFormat="1" ht="15.75" thickBot="1">
      <c r="A80" s="125"/>
      <c r="B80" s="30"/>
      <c r="C80" s="30"/>
      <c r="D80" s="30"/>
      <c r="E80" s="30"/>
      <c r="F80" s="30"/>
      <c r="G80" s="63"/>
      <c r="H80" s="64"/>
      <c r="I80" s="106">
        <f>SUM(I78:I79)</f>
        <v>73.68421052631578</v>
      </c>
      <c r="J80" s="137"/>
      <c r="K80" s="137"/>
    </row>
    <row r="81" spans="1:11" s="1" customFormat="1" ht="15.75" thickBot="1">
      <c r="A81" s="135"/>
      <c r="B81" s="59"/>
      <c r="C81" s="59"/>
      <c r="D81" s="59"/>
      <c r="E81" s="59"/>
      <c r="F81" s="59"/>
      <c r="G81" s="56" t="s">
        <v>60</v>
      </c>
      <c r="H81" s="60"/>
      <c r="I81" s="107">
        <f>I78+I79</f>
        <v>73.68421052631578</v>
      </c>
      <c r="J81" s="137">
        <f>70000*0.44</f>
        <v>30800</v>
      </c>
      <c r="K81" s="121">
        <f>I81*A79</f>
        <v>30799.999999999996</v>
      </c>
    </row>
    <row r="82" spans="1:11" s="1" customFormat="1" ht="15.75" thickBot="1">
      <c r="A82" s="136"/>
      <c r="B82" s="70"/>
      <c r="C82" s="70"/>
      <c r="D82" s="70"/>
      <c r="E82" s="70"/>
      <c r="F82" s="70"/>
      <c r="G82" s="71" t="s">
        <v>57</v>
      </c>
      <c r="H82" s="72"/>
      <c r="I82" s="108">
        <f>I80-I81</f>
        <v>0</v>
      </c>
      <c r="J82" s="121">
        <v>0</v>
      </c>
      <c r="K82" s="121">
        <f>I82*A79</f>
        <v>0</v>
      </c>
    </row>
    <row r="83" spans="1:11" ht="18" customHeight="1">
      <c r="A83" s="122" t="s">
        <v>72</v>
      </c>
      <c r="B83" s="13" t="s">
        <v>43</v>
      </c>
      <c r="C83" s="43" t="s">
        <v>17</v>
      </c>
      <c r="D83" s="13">
        <v>1</v>
      </c>
      <c r="E83" s="15">
        <f>248*8*(A84/1979)</f>
        <v>482.21526023244064</v>
      </c>
      <c r="F83" s="28">
        <f>E83/A84</f>
        <v>1.0025265285497726</v>
      </c>
      <c r="G83" s="41">
        <f>D83/E83*F83</f>
        <v>2.0790020790020791E-3</v>
      </c>
      <c r="H83" s="14">
        <f>50000*0.48</f>
        <v>24000</v>
      </c>
      <c r="I83" s="104">
        <f>H83*G83</f>
        <v>49.896049896049902</v>
      </c>
    </row>
    <row r="84" spans="1:11">
      <c r="A84" s="120">
        <f>ком.усл!A82</f>
        <v>481</v>
      </c>
      <c r="B84" s="5" t="s">
        <v>85</v>
      </c>
      <c r="C84" s="35" t="s">
        <v>17</v>
      </c>
      <c r="D84" s="5">
        <v>1</v>
      </c>
      <c r="E84" s="7">
        <f>248*8*(A84/1979)</f>
        <v>482.21526023244064</v>
      </c>
      <c r="F84" s="29">
        <f>E84/A84</f>
        <v>1.0025265285497726</v>
      </c>
      <c r="G84" s="40">
        <f>D84/E84*F84</f>
        <v>2.0790020790020791E-3</v>
      </c>
      <c r="H84" s="6">
        <f>(94325-50000)*0.48</f>
        <v>21276</v>
      </c>
      <c r="I84" s="105">
        <f t="shared" ref="I84:I85" si="13">H84*G84</f>
        <v>44.232848232848234</v>
      </c>
    </row>
    <row r="85" spans="1:11">
      <c r="A85" s="120"/>
      <c r="B85" s="5"/>
      <c r="C85" s="35"/>
      <c r="D85" s="5"/>
      <c r="E85" s="7"/>
      <c r="F85" s="29"/>
      <c r="G85" s="40"/>
      <c r="H85" s="6"/>
      <c r="I85" s="105">
        <f t="shared" si="13"/>
        <v>0</v>
      </c>
    </row>
    <row r="86" spans="1:11" s="1" customFormat="1" ht="15.75" thickBot="1">
      <c r="A86" s="125"/>
      <c r="B86" s="30"/>
      <c r="C86" s="30"/>
      <c r="D86" s="30"/>
      <c r="E86" s="30"/>
      <c r="F86" s="30"/>
      <c r="G86" s="63"/>
      <c r="H86" s="64"/>
      <c r="I86" s="106">
        <f>SUM(I83:I85)</f>
        <v>94.128898128898129</v>
      </c>
      <c r="J86" s="137"/>
      <c r="K86" s="137"/>
    </row>
    <row r="87" spans="1:11" s="1" customFormat="1" ht="15.75" thickBot="1">
      <c r="A87" s="135"/>
      <c r="B87" s="59"/>
      <c r="C87" s="59"/>
      <c r="D87" s="59"/>
      <c r="E87" s="59"/>
      <c r="F87" s="59"/>
      <c r="G87" s="56" t="s">
        <v>60</v>
      </c>
      <c r="H87" s="60"/>
      <c r="I87" s="107">
        <f>I83+I84</f>
        <v>94.128898128898129</v>
      </c>
      <c r="J87" s="137">
        <f>94325*0.48</f>
        <v>45276</v>
      </c>
      <c r="K87" s="121">
        <f>I87*A84</f>
        <v>45276</v>
      </c>
    </row>
    <row r="88" spans="1:11" s="1" customFormat="1" ht="15.75" thickBot="1">
      <c r="A88" s="136"/>
      <c r="B88" s="70"/>
      <c r="C88" s="70"/>
      <c r="D88" s="70"/>
      <c r="E88" s="70"/>
      <c r="F88" s="70"/>
      <c r="G88" s="71" t="s">
        <v>57</v>
      </c>
      <c r="H88" s="72"/>
      <c r="I88" s="108">
        <f>I86-I87</f>
        <v>0</v>
      </c>
      <c r="J88" s="121">
        <v>0</v>
      </c>
      <c r="K88" s="121">
        <f>I88*A84</f>
        <v>0</v>
      </c>
    </row>
    <row r="89" spans="1:11" ht="18" customHeight="1">
      <c r="A89" s="122" t="s">
        <v>73</v>
      </c>
      <c r="B89" s="13" t="s">
        <v>43</v>
      </c>
      <c r="C89" s="43" t="s">
        <v>17</v>
      </c>
      <c r="D89" s="13">
        <v>1</v>
      </c>
      <c r="E89" s="15">
        <f>248*8*(A90/1979)</f>
        <v>302.76301162203129</v>
      </c>
      <c r="F89" s="28">
        <f>E89/A90</f>
        <v>1.0025265285497724</v>
      </c>
      <c r="G89" s="41">
        <f>D89/E89*F89</f>
        <v>3.3112582781456954E-3</v>
      </c>
      <c r="H89" s="14">
        <f>60000*0.48</f>
        <v>28800</v>
      </c>
      <c r="I89" s="104">
        <f>H89*G89</f>
        <v>95.36423841059603</v>
      </c>
    </row>
    <row r="90" spans="1:11">
      <c r="A90" s="120">
        <f>ком.усл!A87</f>
        <v>302</v>
      </c>
      <c r="B90" s="5" t="s">
        <v>85</v>
      </c>
      <c r="C90" s="35" t="s">
        <v>17</v>
      </c>
      <c r="D90" s="5">
        <v>1</v>
      </c>
      <c r="E90" s="7">
        <f>248*8*(A90/1979)</f>
        <v>302.76301162203129</v>
      </c>
      <c r="F90" s="29">
        <f>E90/A90</f>
        <v>1.0025265285497724</v>
      </c>
      <c r="G90" s="40">
        <f>D90/E90*F90</f>
        <v>3.3112582781456954E-3</v>
      </c>
      <c r="H90" s="6">
        <f>(235200-60000)*0.48</f>
        <v>84096</v>
      </c>
      <c r="I90" s="105">
        <f t="shared" ref="I90" si="14">H90*G90</f>
        <v>278.46357615894038</v>
      </c>
    </row>
    <row r="91" spans="1:11" s="1" customFormat="1" ht="15.75" thickBot="1">
      <c r="A91" s="125"/>
      <c r="B91" s="30"/>
      <c r="C91" s="30"/>
      <c r="D91" s="30"/>
      <c r="E91" s="30"/>
      <c r="F91" s="30"/>
      <c r="G91" s="63"/>
      <c r="H91" s="64"/>
      <c r="I91" s="106">
        <f>SUM(I89:I90)</f>
        <v>373.82781456953643</v>
      </c>
      <c r="J91" s="137"/>
      <c r="K91" s="137"/>
    </row>
    <row r="92" spans="1:11" s="1" customFormat="1" ht="15.75" thickBot="1">
      <c r="A92" s="135"/>
      <c r="B92" s="59"/>
      <c r="C92" s="59"/>
      <c r="D92" s="59"/>
      <c r="E92" s="59"/>
      <c r="F92" s="59"/>
      <c r="G92" s="56" t="s">
        <v>60</v>
      </c>
      <c r="H92" s="60"/>
      <c r="I92" s="107">
        <f>I89+I90</f>
        <v>373.82781456953643</v>
      </c>
      <c r="J92" s="137">
        <f>235200*0.48</f>
        <v>112896</v>
      </c>
      <c r="K92" s="121">
        <f>I92*A90</f>
        <v>112896</v>
      </c>
    </row>
    <row r="93" spans="1:11" s="1" customFormat="1" ht="15.75" thickBot="1">
      <c r="A93" s="136"/>
      <c r="B93" s="70"/>
      <c r="C93" s="70"/>
      <c r="D93" s="70"/>
      <c r="E93" s="70"/>
      <c r="F93" s="70"/>
      <c r="G93" s="71" t="s">
        <v>57</v>
      </c>
      <c r="H93" s="72"/>
      <c r="I93" s="108">
        <f>I91-I92</f>
        <v>0</v>
      </c>
      <c r="J93" s="121">
        <v>0</v>
      </c>
      <c r="K93" s="121">
        <f>I93*A90</f>
        <v>0</v>
      </c>
    </row>
    <row r="94" spans="1:11" ht="18" customHeight="1">
      <c r="A94" s="122" t="s">
        <v>96</v>
      </c>
      <c r="B94" s="13" t="s">
        <v>43</v>
      </c>
      <c r="C94" s="43" t="s">
        <v>17</v>
      </c>
      <c r="D94" s="13">
        <v>1</v>
      </c>
      <c r="E94" s="15">
        <f>248*8*(A95/1979)</f>
        <v>465.17230924709452</v>
      </c>
      <c r="F94" s="28">
        <f>E94/A95</f>
        <v>1.0025265285497726</v>
      </c>
      <c r="G94" s="41">
        <f>D94/E94*F94</f>
        <v>2.1551724137931034E-3</v>
      </c>
      <c r="H94" s="14">
        <f>30000*0.45</f>
        <v>13500</v>
      </c>
      <c r="I94" s="104">
        <f>H94*G94</f>
        <v>29.094827586206897</v>
      </c>
    </row>
    <row r="95" spans="1:11">
      <c r="A95" s="120">
        <f>ком.усл!A92</f>
        <v>464</v>
      </c>
      <c r="B95" s="5" t="s">
        <v>85</v>
      </c>
      <c r="C95" s="35" t="s">
        <v>17</v>
      </c>
      <c r="D95" s="5">
        <v>1</v>
      </c>
      <c r="E95" s="7">
        <f>248*8*(A95/1979)</f>
        <v>465.17230924709452</v>
      </c>
      <c r="F95" s="29">
        <f>E95/A95</f>
        <v>1.0025265285497726</v>
      </c>
      <c r="G95" s="40">
        <f>D95/E95*F95</f>
        <v>2.1551724137931034E-3</v>
      </c>
      <c r="H95" s="6">
        <f>(118000-30000)*0.45</f>
        <v>39600</v>
      </c>
      <c r="I95" s="105">
        <f t="shared" ref="I95:I96" si="15">H95*G95</f>
        <v>85.34482758620689</v>
      </c>
    </row>
    <row r="96" spans="1:11">
      <c r="A96" s="120"/>
      <c r="B96" s="5"/>
      <c r="C96" s="35"/>
      <c r="D96" s="5"/>
      <c r="E96" s="7"/>
      <c r="F96" s="29"/>
      <c r="G96" s="40"/>
      <c r="H96" s="6"/>
      <c r="I96" s="105">
        <f t="shared" si="15"/>
        <v>0</v>
      </c>
    </row>
    <row r="97" spans="1:11" s="1" customFormat="1" ht="15.75" thickBot="1">
      <c r="A97" s="125"/>
      <c r="B97" s="30"/>
      <c r="C97" s="30"/>
      <c r="D97" s="30"/>
      <c r="E97" s="30"/>
      <c r="F97" s="30"/>
      <c r="G97" s="63"/>
      <c r="H97" s="64"/>
      <c r="I97" s="106">
        <f>SUM(I94:I96)</f>
        <v>114.43965517241378</v>
      </c>
      <c r="J97" s="137"/>
      <c r="K97" s="137"/>
    </row>
    <row r="98" spans="1:11" s="1" customFormat="1" ht="15.75" thickBot="1">
      <c r="A98" s="135"/>
      <c r="B98" s="59"/>
      <c r="C98" s="59"/>
      <c r="D98" s="59"/>
      <c r="E98" s="59"/>
      <c r="F98" s="59"/>
      <c r="G98" s="56" t="s">
        <v>60</v>
      </c>
      <c r="H98" s="60"/>
      <c r="I98" s="107">
        <f>I94+I95</f>
        <v>114.43965517241378</v>
      </c>
      <c r="J98" s="137">
        <f>118000*0.45</f>
        <v>53100</v>
      </c>
      <c r="K98" s="121">
        <f>I98*A95</f>
        <v>53099.999999999993</v>
      </c>
    </row>
    <row r="99" spans="1:11" s="1" customFormat="1" ht="15.75" thickBot="1">
      <c r="A99" s="136"/>
      <c r="B99" s="70"/>
      <c r="C99" s="70"/>
      <c r="D99" s="70"/>
      <c r="E99" s="70"/>
      <c r="F99" s="70"/>
      <c r="G99" s="71" t="s">
        <v>57</v>
      </c>
      <c r="H99" s="72"/>
      <c r="I99" s="108">
        <f>I97-I98</f>
        <v>0</v>
      </c>
      <c r="J99" s="121">
        <v>0</v>
      </c>
      <c r="K99" s="121">
        <f>I99*A95</f>
        <v>0</v>
      </c>
    </row>
    <row r="100" spans="1:11" ht="18" customHeight="1">
      <c r="A100" s="122" t="s">
        <v>75</v>
      </c>
      <c r="B100" s="13" t="s">
        <v>43</v>
      </c>
      <c r="C100" s="43" t="s">
        <v>17</v>
      </c>
      <c r="D100" s="13">
        <v>1</v>
      </c>
      <c r="E100" s="15">
        <f>248*8*(A101/1979)</f>
        <v>118.29813036887316</v>
      </c>
      <c r="F100" s="28">
        <f>E100/A101</f>
        <v>1.0025265285497726</v>
      </c>
      <c r="G100" s="41">
        <f>D100/E100*F100</f>
        <v>8.4745762711864406E-3</v>
      </c>
      <c r="H100" s="14">
        <f>5000*0.41</f>
        <v>2050</v>
      </c>
      <c r="I100" s="104">
        <f>H100*G100</f>
        <v>17.372881355932204</v>
      </c>
    </row>
    <row r="101" spans="1:11">
      <c r="A101" s="120">
        <f>ком.усл!A98</f>
        <v>118</v>
      </c>
      <c r="B101" s="5" t="s">
        <v>85</v>
      </c>
      <c r="C101" s="35" t="s">
        <v>17</v>
      </c>
      <c r="D101" s="5">
        <v>1</v>
      </c>
      <c r="E101" s="7">
        <f>248*8*(A101/1979)</f>
        <v>118.29813036887316</v>
      </c>
      <c r="F101" s="29">
        <f>E101/A101</f>
        <v>1.0025265285497726</v>
      </c>
      <c r="G101" s="40">
        <f>D101/E101*F101</f>
        <v>8.4745762711864406E-3</v>
      </c>
      <c r="H101" s="6">
        <f>(18380-5000)*0.41</f>
        <v>5485.7999999999993</v>
      </c>
      <c r="I101" s="105">
        <f t="shared" ref="I101:I102" si="16">H101*G101</f>
        <v>46.489830508474569</v>
      </c>
    </row>
    <row r="102" spans="1:11">
      <c r="A102" s="120"/>
      <c r="B102" s="5"/>
      <c r="C102" s="35"/>
      <c r="D102" s="5"/>
      <c r="E102" s="7"/>
      <c r="F102" s="29"/>
      <c r="G102" s="40"/>
      <c r="H102" s="6"/>
      <c r="I102" s="105">
        <f t="shared" si="16"/>
        <v>0</v>
      </c>
    </row>
    <row r="103" spans="1:11" s="1" customFormat="1" ht="15.75" thickBot="1">
      <c r="A103" s="125"/>
      <c r="B103" s="30"/>
      <c r="C103" s="30"/>
      <c r="D103" s="30"/>
      <c r="E103" s="30"/>
      <c r="F103" s="30"/>
      <c r="G103" s="63"/>
      <c r="H103" s="64"/>
      <c r="I103" s="106">
        <f>SUM(I100:I102)</f>
        <v>63.862711864406776</v>
      </c>
      <c r="J103" s="137"/>
      <c r="K103" s="137"/>
    </row>
    <row r="104" spans="1:11" s="1" customFormat="1" ht="15.75" thickBot="1">
      <c r="A104" s="135"/>
      <c r="B104" s="59"/>
      <c r="C104" s="59"/>
      <c r="D104" s="59"/>
      <c r="E104" s="59"/>
      <c r="F104" s="59"/>
      <c r="G104" s="56" t="s">
        <v>60</v>
      </c>
      <c r="H104" s="60"/>
      <c r="I104" s="107">
        <f>I100+I101</f>
        <v>63.862711864406776</v>
      </c>
      <c r="J104" s="137">
        <f>18380*0.41</f>
        <v>7535.7999999999993</v>
      </c>
      <c r="K104" s="121">
        <f>I104*A101</f>
        <v>7535.7999999999993</v>
      </c>
    </row>
    <row r="105" spans="1:11" s="1" customFormat="1" ht="15.75" thickBot="1">
      <c r="A105" s="136"/>
      <c r="B105" s="70"/>
      <c r="C105" s="70"/>
      <c r="D105" s="70"/>
      <c r="E105" s="70"/>
      <c r="F105" s="70"/>
      <c r="G105" s="71" t="s">
        <v>57</v>
      </c>
      <c r="H105" s="72"/>
      <c r="I105" s="108">
        <f>I103-I104</f>
        <v>0</v>
      </c>
      <c r="J105" s="121">
        <v>0</v>
      </c>
      <c r="K105" s="121">
        <f>I105*A101</f>
        <v>0</v>
      </c>
    </row>
    <row r="106" spans="1:11" ht="18" customHeight="1">
      <c r="A106" s="122" t="s">
        <v>76</v>
      </c>
      <c r="B106" s="13" t="s">
        <v>43</v>
      </c>
      <c r="C106" s="43" t="s">
        <v>17</v>
      </c>
      <c r="D106" s="13">
        <v>1</v>
      </c>
      <c r="E106" s="15">
        <f>248*8*(A107/1979)</f>
        <v>134.33855482566952</v>
      </c>
      <c r="F106" s="28">
        <f>E106/A107</f>
        <v>1.0025265285497724</v>
      </c>
      <c r="G106" s="41">
        <f>D106/E106*F106</f>
        <v>7.4626865671641781E-3</v>
      </c>
      <c r="H106" s="14">
        <f>10000*0.52</f>
        <v>5200</v>
      </c>
      <c r="I106" s="104">
        <f>H106*G106</f>
        <v>38.805970149253724</v>
      </c>
    </row>
    <row r="107" spans="1:11">
      <c r="A107" s="120">
        <f>ком.усл!A103</f>
        <v>134</v>
      </c>
      <c r="B107" s="5" t="s">
        <v>85</v>
      </c>
      <c r="C107" s="35" t="s">
        <v>17</v>
      </c>
      <c r="D107" s="5">
        <v>1</v>
      </c>
      <c r="E107" s="7">
        <f>248*8*(A107/1979)</f>
        <v>134.33855482566952</v>
      </c>
      <c r="F107" s="29">
        <f>E107/A107</f>
        <v>1.0025265285497724</v>
      </c>
      <c r="G107" s="40">
        <f>D107/E107*F107</f>
        <v>7.4626865671641781E-3</v>
      </c>
      <c r="H107" s="6">
        <f>(35000-10000)*0.52</f>
        <v>13000</v>
      </c>
      <c r="I107" s="105">
        <f t="shared" ref="I107:I108" si="17">H107*G107</f>
        <v>97.014925373134318</v>
      </c>
    </row>
    <row r="108" spans="1:11">
      <c r="A108" s="120"/>
      <c r="B108" s="5"/>
      <c r="C108" s="35"/>
      <c r="D108" s="5"/>
      <c r="E108" s="7"/>
      <c r="F108" s="29"/>
      <c r="G108" s="40"/>
      <c r="H108" s="6"/>
      <c r="I108" s="105">
        <f t="shared" si="17"/>
        <v>0</v>
      </c>
    </row>
    <row r="109" spans="1:11" s="1" customFormat="1" ht="15.75" thickBot="1">
      <c r="A109" s="125"/>
      <c r="B109" s="30"/>
      <c r="C109" s="30"/>
      <c r="D109" s="30"/>
      <c r="E109" s="30"/>
      <c r="F109" s="30"/>
      <c r="G109" s="63"/>
      <c r="H109" s="64"/>
      <c r="I109" s="106">
        <f>SUM(I106:I108)</f>
        <v>135.82089552238804</v>
      </c>
      <c r="J109" s="137"/>
      <c r="K109" s="137"/>
    </row>
    <row r="110" spans="1:11" s="1" customFormat="1" ht="15.75" thickBot="1">
      <c r="A110" s="135"/>
      <c r="B110" s="59"/>
      <c r="C110" s="59"/>
      <c r="D110" s="59"/>
      <c r="E110" s="59"/>
      <c r="F110" s="59"/>
      <c r="G110" s="56" t="s">
        <v>60</v>
      </c>
      <c r="H110" s="60"/>
      <c r="I110" s="107">
        <f>I106+I107</f>
        <v>135.82089552238804</v>
      </c>
      <c r="J110" s="137">
        <f>35000*0.52</f>
        <v>18200</v>
      </c>
      <c r="K110" s="121">
        <f>I110*A107</f>
        <v>18199.999999999996</v>
      </c>
    </row>
    <row r="111" spans="1:11" s="1" customFormat="1" ht="15.75" thickBot="1">
      <c r="A111" s="136"/>
      <c r="B111" s="70"/>
      <c r="C111" s="70"/>
      <c r="D111" s="70"/>
      <c r="E111" s="70"/>
      <c r="F111" s="70"/>
      <c r="G111" s="71" t="s">
        <v>57</v>
      </c>
      <c r="H111" s="72"/>
      <c r="I111" s="108">
        <f>I109-I110</f>
        <v>0</v>
      </c>
      <c r="J111" s="121">
        <v>0</v>
      </c>
      <c r="K111" s="121">
        <f>I111*A107</f>
        <v>0</v>
      </c>
    </row>
    <row r="112" spans="1:11" s="1" customFormat="1">
      <c r="A112" s="132"/>
      <c r="B112" s="45"/>
      <c r="C112" s="45"/>
      <c r="D112" s="45"/>
      <c r="E112" s="45"/>
      <c r="F112" s="45"/>
      <c r="G112" s="47"/>
      <c r="H112" s="48"/>
      <c r="I112" s="86"/>
      <c r="J112" s="137"/>
      <c r="K112" s="137"/>
    </row>
    <row r="113" spans="1:20" s="1" customFormat="1">
      <c r="A113" s="132"/>
      <c r="B113" s="45"/>
      <c r="C113" s="45"/>
      <c r="D113" s="45"/>
      <c r="E113" s="45"/>
      <c r="F113" s="45"/>
      <c r="G113" s="47"/>
      <c r="H113" s="48"/>
      <c r="I113" s="86"/>
      <c r="J113" s="137"/>
      <c r="K113" s="137"/>
    </row>
    <row r="114" spans="1:20" s="1" customFormat="1">
      <c r="A114" s="132"/>
      <c r="B114" s="45"/>
      <c r="C114" s="45"/>
      <c r="D114" s="45"/>
      <c r="E114" s="45"/>
      <c r="F114" s="45"/>
      <c r="G114" s="47"/>
      <c r="H114" s="48"/>
      <c r="I114" s="86"/>
      <c r="J114" s="137"/>
      <c r="K114" s="137"/>
    </row>
    <row r="115" spans="1:20" s="1" customFormat="1">
      <c r="A115" s="132"/>
      <c r="B115" s="45"/>
      <c r="C115" s="45"/>
      <c r="D115" s="45"/>
      <c r="E115" s="45"/>
      <c r="F115" s="45"/>
      <c r="G115" s="47"/>
      <c r="H115" s="48"/>
      <c r="I115" s="86"/>
      <c r="J115" s="137"/>
      <c r="K115" s="137"/>
    </row>
    <row r="116" spans="1:20" s="1" customFormat="1">
      <c r="A116" s="132"/>
      <c r="B116" s="45"/>
      <c r="C116" s="45"/>
      <c r="D116" s="45"/>
      <c r="E116" s="45"/>
      <c r="F116" s="45"/>
      <c r="G116" s="47"/>
      <c r="H116" s="48"/>
      <c r="I116" s="86"/>
      <c r="J116" s="137"/>
      <c r="K116" s="137"/>
    </row>
    <row r="117" spans="1:20" s="1" customFormat="1">
      <c r="A117" s="132"/>
      <c r="B117" s="45"/>
      <c r="C117" s="45"/>
      <c r="D117" s="45"/>
      <c r="E117" s="45"/>
      <c r="F117" s="45"/>
      <c r="G117" s="47"/>
      <c r="H117" s="48"/>
      <c r="I117" s="86"/>
      <c r="J117" s="137"/>
      <c r="K117" s="137"/>
    </row>
    <row r="118" spans="1:20" s="1" customFormat="1">
      <c r="A118" s="132"/>
      <c r="B118" s="45"/>
      <c r="C118" s="45"/>
      <c r="D118" s="45"/>
      <c r="E118" s="45"/>
      <c r="F118" s="45"/>
      <c r="G118" s="47"/>
      <c r="H118" s="48"/>
      <c r="I118" s="86"/>
      <c r="J118" s="137"/>
      <c r="K118" s="137"/>
    </row>
    <row r="119" spans="1:20" ht="19.5" thickBot="1">
      <c r="A119" s="128" t="s">
        <v>79</v>
      </c>
      <c r="H119"/>
      <c r="I119" s="81"/>
      <c r="S119" s="1"/>
      <c r="T119" s="1"/>
    </row>
    <row r="120" spans="1:20" ht="96" customHeight="1">
      <c r="A120" s="130" t="s">
        <v>2</v>
      </c>
      <c r="B120" s="23" t="s">
        <v>15</v>
      </c>
      <c r="C120" s="23" t="s">
        <v>14</v>
      </c>
      <c r="D120" s="23" t="s">
        <v>16</v>
      </c>
      <c r="E120" s="23" t="s">
        <v>27</v>
      </c>
      <c r="F120" s="23" t="s">
        <v>28</v>
      </c>
      <c r="G120" s="23" t="s">
        <v>29</v>
      </c>
      <c r="H120" s="23" t="s">
        <v>30</v>
      </c>
      <c r="I120" s="90" t="s">
        <v>11</v>
      </c>
      <c r="J120" s="147" t="s">
        <v>34</v>
      </c>
      <c r="K120" s="147" t="s">
        <v>33</v>
      </c>
    </row>
    <row r="121" spans="1:20" ht="15.75" thickBot="1">
      <c r="A121" s="134">
        <v>1</v>
      </c>
      <c r="B121" s="10">
        <v>2</v>
      </c>
      <c r="C121" s="10">
        <v>3</v>
      </c>
      <c r="D121" s="10">
        <v>4</v>
      </c>
      <c r="E121" s="10">
        <v>5</v>
      </c>
      <c r="F121" s="10">
        <v>6</v>
      </c>
      <c r="G121" s="10" t="s">
        <v>31</v>
      </c>
      <c r="H121" s="9">
        <v>8</v>
      </c>
      <c r="I121" s="91" t="s">
        <v>32</v>
      </c>
    </row>
    <row r="122" spans="1:20" ht="18" customHeight="1">
      <c r="A122" s="122" t="s">
        <v>64</v>
      </c>
      <c r="B122" s="13" t="s">
        <v>43</v>
      </c>
      <c r="C122" s="43" t="s">
        <v>17</v>
      </c>
      <c r="D122" s="13">
        <v>1</v>
      </c>
      <c r="E122" s="15">
        <f>248*8*(A123/1979)</f>
        <v>50.126326427488628</v>
      </c>
      <c r="F122" s="28">
        <f>E122/A123</f>
        <v>1.0025265285497726</v>
      </c>
      <c r="G122" s="41">
        <f>D122/E122*F122</f>
        <v>0.02</v>
      </c>
      <c r="H122" s="102">
        <f>10000*0.09</f>
        <v>900</v>
      </c>
      <c r="I122" s="104">
        <f>H122*G122</f>
        <v>18</v>
      </c>
    </row>
    <row r="123" spans="1:20">
      <c r="A123" s="120">
        <f>ком.усл!A113</f>
        <v>50</v>
      </c>
      <c r="B123" s="5" t="s">
        <v>85</v>
      </c>
      <c r="C123" s="35" t="s">
        <v>17</v>
      </c>
      <c r="D123" s="5">
        <v>1</v>
      </c>
      <c r="E123" s="7">
        <f>248*8*(A123/1979)</f>
        <v>50.126326427488628</v>
      </c>
      <c r="F123" s="29">
        <f>E123/A123</f>
        <v>1.0025265285497726</v>
      </c>
      <c r="G123" s="40">
        <f>D123/E123*F123</f>
        <v>0.02</v>
      </c>
      <c r="H123" s="103">
        <f>(46795-10000)*0.09</f>
        <v>3311.5499999999997</v>
      </c>
      <c r="I123" s="105">
        <f t="shared" ref="I123" si="18">H123*G123</f>
        <v>66.230999999999995</v>
      </c>
    </row>
    <row r="124" spans="1:20" s="1" customFormat="1" ht="15.75" thickBot="1">
      <c r="A124" s="125"/>
      <c r="B124" s="30"/>
      <c r="C124" s="30"/>
      <c r="D124" s="30"/>
      <c r="E124" s="30"/>
      <c r="F124" s="30"/>
      <c r="G124" s="63"/>
      <c r="H124" s="64"/>
      <c r="I124" s="106">
        <f>SUM(I122:I123)</f>
        <v>84.230999999999995</v>
      </c>
      <c r="J124" s="137"/>
      <c r="K124" s="137"/>
    </row>
    <row r="125" spans="1:20" s="1" customFormat="1" ht="15.75" thickBot="1">
      <c r="A125" s="135"/>
      <c r="B125" s="59"/>
      <c r="C125" s="59"/>
      <c r="D125" s="59"/>
      <c r="E125" s="59"/>
      <c r="F125" s="59"/>
      <c r="G125" s="56" t="s">
        <v>60</v>
      </c>
      <c r="H125" s="60"/>
      <c r="I125" s="107">
        <f>I122+I123</f>
        <v>84.230999999999995</v>
      </c>
      <c r="J125" s="137">
        <f>46795*0.09</f>
        <v>4211.55</v>
      </c>
      <c r="K125" s="121">
        <f>I125*A123</f>
        <v>4211.5499999999993</v>
      </c>
    </row>
    <row r="126" spans="1:20" s="1" customFormat="1" ht="15.75" thickBot="1">
      <c r="A126" s="136"/>
      <c r="B126" s="70"/>
      <c r="C126" s="70"/>
      <c r="D126" s="70"/>
      <c r="E126" s="70"/>
      <c r="F126" s="70"/>
      <c r="G126" s="71" t="s">
        <v>57</v>
      </c>
      <c r="H126" s="72"/>
      <c r="I126" s="108">
        <f>I124-I125</f>
        <v>0</v>
      </c>
      <c r="J126" s="121">
        <v>0</v>
      </c>
      <c r="K126" s="121">
        <f>I126*A123</f>
        <v>0</v>
      </c>
    </row>
    <row r="127" spans="1:20" ht="18" customHeight="1">
      <c r="A127" s="122" t="s">
        <v>69</v>
      </c>
      <c r="B127" s="13" t="s">
        <v>43</v>
      </c>
      <c r="C127" s="43" t="s">
        <v>17</v>
      </c>
      <c r="D127" s="13">
        <v>1</v>
      </c>
      <c r="E127" s="15">
        <f>248*8*(A128/1979)</f>
        <v>38.096008084891359</v>
      </c>
      <c r="F127" s="28">
        <f>E127/A128</f>
        <v>1.0025265285497726</v>
      </c>
      <c r="G127" s="41">
        <f>D127/E127*F127</f>
        <v>2.6315789473684209E-2</v>
      </c>
      <c r="H127" s="14">
        <f>10000*0.08</f>
        <v>800</v>
      </c>
      <c r="I127" s="104">
        <f>H127*G127</f>
        <v>21.052631578947366</v>
      </c>
    </row>
    <row r="128" spans="1:20">
      <c r="A128" s="120">
        <f>ком.усл!A118</f>
        <v>38</v>
      </c>
      <c r="B128" s="5" t="s">
        <v>85</v>
      </c>
      <c r="C128" s="35" t="s">
        <v>17</v>
      </c>
      <c r="D128" s="5">
        <v>1</v>
      </c>
      <c r="E128" s="7">
        <f>248*8*(A128/1979)</f>
        <v>38.096008084891359</v>
      </c>
      <c r="F128" s="29">
        <f>E128/A128</f>
        <v>1.0025265285497726</v>
      </c>
      <c r="G128" s="40">
        <f>D128/E128*F128</f>
        <v>2.6315789473684209E-2</v>
      </c>
      <c r="H128" s="6">
        <f>(48000-10000)*0.08</f>
        <v>3040</v>
      </c>
      <c r="I128" s="105">
        <f t="shared" ref="I128:I129" si="19">H128*G128</f>
        <v>80</v>
      </c>
    </row>
    <row r="129" spans="1:11">
      <c r="A129" s="120"/>
      <c r="B129" s="5"/>
      <c r="C129" s="35"/>
      <c r="D129" s="5"/>
      <c r="E129" s="7"/>
      <c r="F129" s="29"/>
      <c r="G129" s="40"/>
      <c r="H129" s="6"/>
      <c r="I129" s="105">
        <f t="shared" si="19"/>
        <v>0</v>
      </c>
    </row>
    <row r="130" spans="1:11" s="1" customFormat="1" ht="15.75" thickBot="1">
      <c r="A130" s="125"/>
      <c r="B130" s="30"/>
      <c r="C130" s="30"/>
      <c r="D130" s="30"/>
      <c r="E130" s="30"/>
      <c r="F130" s="30"/>
      <c r="G130" s="63"/>
      <c r="H130" s="64"/>
      <c r="I130" s="106">
        <f>SUM(I127:I129)</f>
        <v>101.05263157894737</v>
      </c>
      <c r="J130" s="137"/>
      <c r="K130" s="137"/>
    </row>
    <row r="131" spans="1:11" s="1" customFormat="1" ht="15.75" thickBot="1">
      <c r="A131" s="135"/>
      <c r="B131" s="59"/>
      <c r="C131" s="59"/>
      <c r="D131" s="59"/>
      <c r="E131" s="59"/>
      <c r="F131" s="59"/>
      <c r="G131" s="56" t="s">
        <v>60</v>
      </c>
      <c r="H131" s="60"/>
      <c r="I131" s="107">
        <f>I127+I128</f>
        <v>101.05263157894737</v>
      </c>
      <c r="J131" s="137">
        <f>48000*0.08</f>
        <v>3840</v>
      </c>
      <c r="K131" s="121">
        <f>I131*A128</f>
        <v>3840</v>
      </c>
    </row>
    <row r="132" spans="1:11" s="1" customFormat="1" ht="15.75" thickBot="1">
      <c r="A132" s="136"/>
      <c r="B132" s="70"/>
      <c r="C132" s="70"/>
      <c r="D132" s="70"/>
      <c r="E132" s="70"/>
      <c r="F132" s="70"/>
      <c r="G132" s="71" t="s">
        <v>57</v>
      </c>
      <c r="H132" s="72"/>
      <c r="I132" s="108">
        <f>I130-I131</f>
        <v>0</v>
      </c>
      <c r="J132" s="121">
        <v>0</v>
      </c>
      <c r="K132" s="121">
        <f>I132*A128</f>
        <v>0</v>
      </c>
    </row>
    <row r="133" spans="1:11" ht="18" customHeight="1">
      <c r="A133" s="122" t="s">
        <v>70</v>
      </c>
      <c r="B133" s="13" t="s">
        <v>43</v>
      </c>
      <c r="C133" s="43" t="s">
        <v>17</v>
      </c>
      <c r="D133" s="13">
        <v>1</v>
      </c>
      <c r="E133" s="15">
        <f>248*8*(A134/1979)</f>
        <v>40.101061141990904</v>
      </c>
      <c r="F133" s="28">
        <f>E133/A134</f>
        <v>1.0025265285497726</v>
      </c>
      <c r="G133" s="41">
        <f>D133/E133*F133</f>
        <v>2.5000000000000001E-2</v>
      </c>
      <c r="H133" s="14">
        <f>20000*0.08</f>
        <v>1600</v>
      </c>
      <c r="I133" s="104">
        <f>H133*G133</f>
        <v>40</v>
      </c>
    </row>
    <row r="134" spans="1:11">
      <c r="A134" s="120">
        <f>ком.усл!A123</f>
        <v>40</v>
      </c>
      <c r="B134" s="5" t="s">
        <v>85</v>
      </c>
      <c r="C134" s="35" t="s">
        <v>17</v>
      </c>
      <c r="D134" s="5">
        <v>1</v>
      </c>
      <c r="E134" s="7">
        <f>248*8*(A134/1979)</f>
        <v>40.101061141990904</v>
      </c>
      <c r="F134" s="29">
        <f>E134/A134</f>
        <v>1.0025265285497726</v>
      </c>
      <c r="G134" s="40">
        <f>D134/E134*F134</f>
        <v>2.5000000000000001E-2</v>
      </c>
      <c r="H134" s="6">
        <f>(69000-20000)*0.08</f>
        <v>3920</v>
      </c>
      <c r="I134" s="105">
        <f t="shared" ref="I134:I135" si="20">H134*G134</f>
        <v>98</v>
      </c>
    </row>
    <row r="135" spans="1:11">
      <c r="A135" s="120"/>
      <c r="B135" s="5"/>
      <c r="C135" s="35"/>
      <c r="D135" s="5"/>
      <c r="E135" s="7"/>
      <c r="F135" s="29"/>
      <c r="G135" s="40"/>
      <c r="H135" s="6"/>
      <c r="I135" s="105">
        <f t="shared" si="20"/>
        <v>0</v>
      </c>
    </row>
    <row r="136" spans="1:11" s="1" customFormat="1" ht="15.75" thickBot="1">
      <c r="A136" s="125"/>
      <c r="B136" s="30"/>
      <c r="C136" s="30"/>
      <c r="D136" s="30"/>
      <c r="E136" s="30"/>
      <c r="F136" s="30"/>
      <c r="G136" s="63"/>
      <c r="H136" s="64"/>
      <c r="I136" s="106">
        <f>SUM(I133:I135)</f>
        <v>138</v>
      </c>
      <c r="J136" s="137"/>
      <c r="K136" s="137"/>
    </row>
    <row r="137" spans="1:11" s="1" customFormat="1" ht="15.75" thickBot="1">
      <c r="A137" s="135"/>
      <c r="B137" s="59"/>
      <c r="C137" s="59"/>
      <c r="D137" s="59"/>
      <c r="E137" s="59"/>
      <c r="F137" s="59"/>
      <c r="G137" s="56" t="s">
        <v>60</v>
      </c>
      <c r="H137" s="60"/>
      <c r="I137" s="107">
        <f>I133+I134</f>
        <v>138</v>
      </c>
      <c r="J137" s="137">
        <f>69000*0.08</f>
        <v>5520</v>
      </c>
      <c r="K137" s="121">
        <f>I137*A134</f>
        <v>5520</v>
      </c>
    </row>
    <row r="138" spans="1:11" s="1" customFormat="1" ht="15.75" thickBot="1">
      <c r="A138" s="136"/>
      <c r="B138" s="70"/>
      <c r="C138" s="70"/>
      <c r="D138" s="70"/>
      <c r="E138" s="70"/>
      <c r="F138" s="70"/>
      <c r="G138" s="71" t="s">
        <v>57</v>
      </c>
      <c r="H138" s="72"/>
      <c r="I138" s="108">
        <f>I136-I137</f>
        <v>0</v>
      </c>
      <c r="J138" s="121">
        <v>0</v>
      </c>
      <c r="K138" s="121">
        <f>I138*A134</f>
        <v>0</v>
      </c>
    </row>
    <row r="139" spans="1:11" ht="18" customHeight="1">
      <c r="A139" s="122" t="s">
        <v>71</v>
      </c>
      <c r="B139" s="13" t="s">
        <v>43</v>
      </c>
      <c r="C139" s="43" t="s">
        <v>17</v>
      </c>
      <c r="D139" s="13">
        <v>1</v>
      </c>
      <c r="E139" s="15">
        <f>248*8*(A140/1979)</f>
        <v>94.237493683678622</v>
      </c>
      <c r="F139" s="28">
        <f>E139/A140</f>
        <v>1.0025265285497726</v>
      </c>
      <c r="G139" s="41">
        <f>D139/E139*F139</f>
        <v>1.0638297872340427E-2</v>
      </c>
      <c r="H139" s="14">
        <f>30000*0.11</f>
        <v>3300</v>
      </c>
      <c r="I139" s="104">
        <f>H139*G139</f>
        <v>35.10638297872341</v>
      </c>
    </row>
    <row r="140" spans="1:11">
      <c r="A140" s="120">
        <f>ком.усл!A128</f>
        <v>94</v>
      </c>
      <c r="B140" s="5" t="s">
        <v>85</v>
      </c>
      <c r="C140" s="35" t="s">
        <v>17</v>
      </c>
      <c r="D140" s="5">
        <v>1</v>
      </c>
      <c r="E140" s="7">
        <f>248*8*(A140/1979)</f>
        <v>94.237493683678622</v>
      </c>
      <c r="F140" s="29">
        <f>E140/A140</f>
        <v>1.0025265285497726</v>
      </c>
      <c r="G140" s="40">
        <f>D140/E140*F140</f>
        <v>1.0638297872340427E-2</v>
      </c>
      <c r="H140" s="6">
        <f>(70000-30000)*0.11</f>
        <v>4400</v>
      </c>
      <c r="I140" s="105">
        <f t="shared" ref="I140" si="21">H140*G140</f>
        <v>46.808510638297882</v>
      </c>
    </row>
    <row r="141" spans="1:11" s="1" customFormat="1" ht="15.75" thickBot="1">
      <c r="A141" s="125"/>
      <c r="B141" s="30"/>
      <c r="C141" s="30"/>
      <c r="D141" s="30"/>
      <c r="E141" s="30"/>
      <c r="F141" s="30"/>
      <c r="G141" s="63"/>
      <c r="H141" s="64"/>
      <c r="I141" s="106">
        <f>SUM(I139:I140)</f>
        <v>81.914893617021292</v>
      </c>
      <c r="J141" s="137"/>
      <c r="K141" s="137"/>
    </row>
    <row r="142" spans="1:11" s="1" customFormat="1" ht="15.75" thickBot="1">
      <c r="A142" s="135"/>
      <c r="B142" s="59"/>
      <c r="C142" s="59"/>
      <c r="D142" s="59"/>
      <c r="E142" s="59"/>
      <c r="F142" s="59"/>
      <c r="G142" s="56" t="s">
        <v>60</v>
      </c>
      <c r="H142" s="60"/>
      <c r="I142" s="107">
        <f>I139+I140</f>
        <v>81.914893617021292</v>
      </c>
      <c r="J142" s="137">
        <f>70000*0.11</f>
        <v>7700</v>
      </c>
      <c r="K142" s="121">
        <f>I142*A140</f>
        <v>7700.0000000000018</v>
      </c>
    </row>
    <row r="143" spans="1:11" s="1" customFormat="1" ht="15.75" thickBot="1">
      <c r="A143" s="136"/>
      <c r="B143" s="70"/>
      <c r="C143" s="70"/>
      <c r="D143" s="70"/>
      <c r="E143" s="70"/>
      <c r="F143" s="70"/>
      <c r="G143" s="71" t="s">
        <v>57</v>
      </c>
      <c r="H143" s="72"/>
      <c r="I143" s="108">
        <f>I141-I142</f>
        <v>0</v>
      </c>
      <c r="J143" s="121">
        <v>0</v>
      </c>
      <c r="K143" s="121">
        <f>I143*A140</f>
        <v>0</v>
      </c>
    </row>
    <row r="144" spans="1:11" ht="18" customHeight="1">
      <c r="A144" s="122" t="s">
        <v>72</v>
      </c>
      <c r="B144" s="13" t="s">
        <v>43</v>
      </c>
      <c r="C144" s="43" t="s">
        <v>17</v>
      </c>
      <c r="D144" s="13">
        <v>1</v>
      </c>
      <c r="E144" s="15">
        <f>248*8*(A145/1979)</f>
        <v>96.242546740778167</v>
      </c>
      <c r="F144" s="28">
        <f>E144/A145</f>
        <v>1.0025265285497726</v>
      </c>
      <c r="G144" s="41">
        <f>D144/E144*F144</f>
        <v>1.0416666666666668E-2</v>
      </c>
      <c r="H144" s="14">
        <f>50000*0.1</f>
        <v>5000</v>
      </c>
      <c r="I144" s="104">
        <f>H144*G144</f>
        <v>52.083333333333336</v>
      </c>
    </row>
    <row r="145" spans="1:11">
      <c r="A145" s="120">
        <f>ком.усл!A133</f>
        <v>96</v>
      </c>
      <c r="B145" s="5" t="s">
        <v>85</v>
      </c>
      <c r="C145" s="35" t="s">
        <v>17</v>
      </c>
      <c r="D145" s="5">
        <v>1</v>
      </c>
      <c r="E145" s="7">
        <f>248*8*(A145/1979)</f>
        <v>96.242546740778167</v>
      </c>
      <c r="F145" s="29">
        <f>E145/A145</f>
        <v>1.0025265285497726</v>
      </c>
      <c r="G145" s="40">
        <f>D145/E145*F145</f>
        <v>1.0416666666666668E-2</v>
      </c>
      <c r="H145" s="6">
        <f>(94325-50000)*0.1</f>
        <v>4432.5</v>
      </c>
      <c r="I145" s="105">
        <f t="shared" ref="I145:I146" si="22">H145*G145</f>
        <v>46.171875000000007</v>
      </c>
    </row>
    <row r="146" spans="1:11">
      <c r="A146" s="120"/>
      <c r="B146" s="5"/>
      <c r="C146" s="35"/>
      <c r="D146" s="5"/>
      <c r="E146" s="7"/>
      <c r="F146" s="29"/>
      <c r="G146" s="40"/>
      <c r="H146" s="6"/>
      <c r="I146" s="105">
        <f t="shared" si="22"/>
        <v>0</v>
      </c>
    </row>
    <row r="147" spans="1:11" s="1" customFormat="1" ht="15.75" thickBot="1">
      <c r="A147" s="125"/>
      <c r="B147" s="30"/>
      <c r="C147" s="30"/>
      <c r="D147" s="30"/>
      <c r="E147" s="30"/>
      <c r="F147" s="30"/>
      <c r="G147" s="63"/>
      <c r="H147" s="64"/>
      <c r="I147" s="106">
        <f>SUM(I144:I146)</f>
        <v>98.255208333333343</v>
      </c>
      <c r="J147" s="137"/>
      <c r="K147" s="137"/>
    </row>
    <row r="148" spans="1:11" s="1" customFormat="1" ht="15.75" thickBot="1">
      <c r="A148" s="135"/>
      <c r="B148" s="59"/>
      <c r="C148" s="59"/>
      <c r="D148" s="59"/>
      <c r="E148" s="59"/>
      <c r="F148" s="59"/>
      <c r="G148" s="56" t="s">
        <v>60</v>
      </c>
      <c r="H148" s="60"/>
      <c r="I148" s="107">
        <f>I144+I145</f>
        <v>98.255208333333343</v>
      </c>
      <c r="J148" s="137">
        <f>94325*0.1</f>
        <v>9432.5</v>
      </c>
      <c r="K148" s="121">
        <f>I148*A145</f>
        <v>9432.5</v>
      </c>
    </row>
    <row r="149" spans="1:11" s="1" customFormat="1" ht="15.75" thickBot="1">
      <c r="A149" s="136"/>
      <c r="B149" s="70"/>
      <c r="C149" s="70"/>
      <c r="D149" s="70"/>
      <c r="E149" s="70"/>
      <c r="F149" s="70"/>
      <c r="G149" s="71" t="s">
        <v>57</v>
      </c>
      <c r="H149" s="72"/>
      <c r="I149" s="108">
        <f>I147-I148</f>
        <v>0</v>
      </c>
      <c r="J149" s="121">
        <v>0</v>
      </c>
      <c r="K149" s="121">
        <f>I149*A145</f>
        <v>0</v>
      </c>
    </row>
    <row r="150" spans="1:11" ht="18" customHeight="1">
      <c r="A150" s="122" t="s">
        <v>73</v>
      </c>
      <c r="B150" s="13" t="s">
        <v>43</v>
      </c>
      <c r="C150" s="43" t="s">
        <v>17</v>
      </c>
      <c r="D150" s="13">
        <v>1</v>
      </c>
      <c r="E150" s="15">
        <f>248*8*(A151/1979)</f>
        <v>44.111167256189994</v>
      </c>
      <c r="F150" s="28">
        <f>E150/A151</f>
        <v>1.0025265285497726</v>
      </c>
      <c r="G150" s="41">
        <f>D150/E150*F150</f>
        <v>2.2727272727272728E-2</v>
      </c>
      <c r="H150" s="14">
        <f>60000*0.08</f>
        <v>4800</v>
      </c>
      <c r="I150" s="104">
        <f>H150*G150</f>
        <v>109.09090909090909</v>
      </c>
    </row>
    <row r="151" spans="1:11">
      <c r="A151" s="120">
        <f>ком.усл!A138</f>
        <v>44</v>
      </c>
      <c r="B151" s="5" t="s">
        <v>85</v>
      </c>
      <c r="C151" s="35" t="s">
        <v>17</v>
      </c>
      <c r="D151" s="5">
        <v>1</v>
      </c>
      <c r="E151" s="7">
        <f>248*8*(A151/1979)</f>
        <v>44.111167256189994</v>
      </c>
      <c r="F151" s="29">
        <f>E151/A151</f>
        <v>1.0025265285497726</v>
      </c>
      <c r="G151" s="40">
        <f>D151/E151*F151</f>
        <v>2.2727272727272728E-2</v>
      </c>
      <c r="H151" s="6">
        <f>(235200-60000)*0.08</f>
        <v>14016</v>
      </c>
      <c r="I151" s="105">
        <f t="shared" ref="I151" si="23">H151*G151</f>
        <v>318.54545454545456</v>
      </c>
    </row>
    <row r="152" spans="1:11" s="1" customFormat="1" ht="15.75" thickBot="1">
      <c r="A152" s="125"/>
      <c r="B152" s="30"/>
      <c r="C152" s="30"/>
      <c r="D152" s="30"/>
      <c r="E152" s="30"/>
      <c r="F152" s="30"/>
      <c r="G152" s="63"/>
      <c r="H152" s="64"/>
      <c r="I152" s="106">
        <f>SUM(I150:I151)</f>
        <v>427.63636363636363</v>
      </c>
      <c r="J152" s="137"/>
      <c r="K152" s="137"/>
    </row>
    <row r="153" spans="1:11" s="1" customFormat="1" ht="15.75" thickBot="1">
      <c r="A153" s="135"/>
      <c r="B153" s="59"/>
      <c r="C153" s="59"/>
      <c r="D153" s="59"/>
      <c r="E153" s="59"/>
      <c r="F153" s="59"/>
      <c r="G153" s="56" t="s">
        <v>60</v>
      </c>
      <c r="H153" s="60"/>
      <c r="I153" s="107">
        <f>I150+I151</f>
        <v>427.63636363636363</v>
      </c>
      <c r="J153" s="137">
        <f>235200*0.08</f>
        <v>18816</v>
      </c>
      <c r="K153" s="121">
        <f>I153*A151</f>
        <v>18816</v>
      </c>
    </row>
    <row r="154" spans="1:11" s="1" customFormat="1" ht="15.75" thickBot="1">
      <c r="A154" s="136"/>
      <c r="B154" s="70"/>
      <c r="C154" s="70"/>
      <c r="D154" s="70"/>
      <c r="E154" s="70"/>
      <c r="F154" s="70"/>
      <c r="G154" s="71" t="s">
        <v>57</v>
      </c>
      <c r="H154" s="72"/>
      <c r="I154" s="108">
        <f>I152-I153</f>
        <v>0</v>
      </c>
      <c r="J154" s="121">
        <v>0</v>
      </c>
      <c r="K154" s="121">
        <f>I154*A151</f>
        <v>0</v>
      </c>
    </row>
    <row r="155" spans="1:11" ht="18" customHeight="1">
      <c r="A155" s="122" t="s">
        <v>96</v>
      </c>
      <c r="B155" s="13" t="s">
        <v>43</v>
      </c>
      <c r="C155" s="43" t="s">
        <v>17</v>
      </c>
      <c r="D155" s="13">
        <v>1</v>
      </c>
      <c r="E155" s="15">
        <f>248*8*(A156/1979)</f>
        <v>116.29307731177363</v>
      </c>
      <c r="F155" s="28">
        <f>E155/A156</f>
        <v>1.0025265285497726</v>
      </c>
      <c r="G155" s="41">
        <f>D155/E155*F155</f>
        <v>8.6206896551724137E-3</v>
      </c>
      <c r="H155" s="14">
        <f>30000*0.13</f>
        <v>3900</v>
      </c>
      <c r="I155" s="104">
        <f>H155*G155</f>
        <v>33.620689655172413</v>
      </c>
    </row>
    <row r="156" spans="1:11">
      <c r="A156" s="120">
        <f>ком.усл!A143</f>
        <v>116</v>
      </c>
      <c r="B156" s="5" t="s">
        <v>85</v>
      </c>
      <c r="C156" s="35" t="s">
        <v>17</v>
      </c>
      <c r="D156" s="5">
        <v>1</v>
      </c>
      <c r="E156" s="7">
        <f>248*8*(A156/1979)</f>
        <v>116.29307731177363</v>
      </c>
      <c r="F156" s="29">
        <f>E156/A156</f>
        <v>1.0025265285497726</v>
      </c>
      <c r="G156" s="40">
        <f>D156/E156*F156</f>
        <v>8.6206896551724137E-3</v>
      </c>
      <c r="H156" s="6">
        <f>(118000-30000)*0.13</f>
        <v>11440</v>
      </c>
      <c r="I156" s="105">
        <f t="shared" ref="I156:I157" si="24">H156*G156</f>
        <v>98.620689655172413</v>
      </c>
    </row>
    <row r="157" spans="1:11">
      <c r="A157" s="120"/>
      <c r="B157" s="5"/>
      <c r="C157" s="35"/>
      <c r="D157" s="5"/>
      <c r="E157" s="7"/>
      <c r="F157" s="29"/>
      <c r="G157" s="40"/>
      <c r="H157" s="6"/>
      <c r="I157" s="105">
        <f t="shared" si="24"/>
        <v>0</v>
      </c>
    </row>
    <row r="158" spans="1:11" s="1" customFormat="1" ht="15.75" thickBot="1">
      <c r="A158" s="125"/>
      <c r="B158" s="30"/>
      <c r="C158" s="30"/>
      <c r="D158" s="30"/>
      <c r="E158" s="30"/>
      <c r="F158" s="30"/>
      <c r="G158" s="63"/>
      <c r="H158" s="64"/>
      <c r="I158" s="106">
        <f>SUM(I155:I157)</f>
        <v>132.24137931034483</v>
      </c>
      <c r="J158" s="137"/>
      <c r="K158" s="137"/>
    </row>
    <row r="159" spans="1:11" s="1" customFormat="1" ht="15.75" thickBot="1">
      <c r="A159" s="135"/>
      <c r="B159" s="59"/>
      <c r="C159" s="59"/>
      <c r="D159" s="59"/>
      <c r="E159" s="59"/>
      <c r="F159" s="59"/>
      <c r="G159" s="56" t="s">
        <v>60</v>
      </c>
      <c r="H159" s="60"/>
      <c r="I159" s="107">
        <f>I155+I156</f>
        <v>132.24137931034483</v>
      </c>
      <c r="J159" s="137">
        <f>118000*0.13</f>
        <v>15340</v>
      </c>
      <c r="K159" s="121">
        <f>I159*A156</f>
        <v>15340</v>
      </c>
    </row>
    <row r="160" spans="1:11" s="1" customFormat="1" ht="15.75" thickBot="1">
      <c r="A160" s="136"/>
      <c r="B160" s="70"/>
      <c r="C160" s="70"/>
      <c r="D160" s="70"/>
      <c r="E160" s="70"/>
      <c r="F160" s="70"/>
      <c r="G160" s="71" t="s">
        <v>57</v>
      </c>
      <c r="H160" s="72"/>
      <c r="I160" s="108">
        <f>I158-I159</f>
        <v>0</v>
      </c>
      <c r="J160" s="121">
        <v>0</v>
      </c>
      <c r="K160" s="121">
        <f>I160*A156</f>
        <v>0</v>
      </c>
    </row>
    <row r="161" spans="1:20" ht="18" customHeight="1">
      <c r="A161" s="122" t="s">
        <v>75</v>
      </c>
      <c r="B161" s="13" t="s">
        <v>43</v>
      </c>
      <c r="C161" s="43" t="s">
        <v>17</v>
      </c>
      <c r="D161" s="13">
        <v>1</v>
      </c>
      <c r="E161" s="15">
        <f>248*8*(A162/1979)</f>
        <v>34.085901970692269</v>
      </c>
      <c r="F161" s="28">
        <f>E161/A162</f>
        <v>1.0025265285497726</v>
      </c>
      <c r="G161" s="41">
        <f>D161/E161*F161</f>
        <v>2.9411764705882356E-2</v>
      </c>
      <c r="H161" s="14">
        <f>5000*0.13</f>
        <v>650</v>
      </c>
      <c r="I161" s="104">
        <f>H161*G161</f>
        <v>19.117647058823533</v>
      </c>
    </row>
    <row r="162" spans="1:20">
      <c r="A162" s="120">
        <f>ком.усл!A149</f>
        <v>34</v>
      </c>
      <c r="B162" s="5" t="s">
        <v>85</v>
      </c>
      <c r="C162" s="35" t="s">
        <v>17</v>
      </c>
      <c r="D162" s="5">
        <v>1</v>
      </c>
      <c r="E162" s="7">
        <f>248*8*(A162/1979)</f>
        <v>34.085901970692269</v>
      </c>
      <c r="F162" s="29">
        <f>E162/A162</f>
        <v>1.0025265285497726</v>
      </c>
      <c r="G162" s="40">
        <f>D162/E162*F162</f>
        <v>2.9411764705882356E-2</v>
      </c>
      <c r="H162" s="6">
        <f>(18380-5000)*0.13</f>
        <v>1739.4</v>
      </c>
      <c r="I162" s="105">
        <f t="shared" ref="I162:I163" si="25">H162*G162</f>
        <v>51.158823529411769</v>
      </c>
    </row>
    <row r="163" spans="1:20">
      <c r="A163" s="120"/>
      <c r="B163" s="5"/>
      <c r="C163" s="35"/>
      <c r="D163" s="5"/>
      <c r="E163" s="7"/>
      <c r="F163" s="29"/>
      <c r="G163" s="40"/>
      <c r="H163" s="6"/>
      <c r="I163" s="105">
        <f t="shared" si="25"/>
        <v>0</v>
      </c>
    </row>
    <row r="164" spans="1:20" s="1" customFormat="1" ht="15.75" thickBot="1">
      <c r="A164" s="125"/>
      <c r="B164" s="30"/>
      <c r="C164" s="30"/>
      <c r="D164" s="30"/>
      <c r="E164" s="30"/>
      <c r="F164" s="30"/>
      <c r="G164" s="63"/>
      <c r="H164" s="64"/>
      <c r="I164" s="106">
        <f>SUM(I161:I163)</f>
        <v>70.276470588235298</v>
      </c>
      <c r="J164" s="137"/>
      <c r="K164" s="137"/>
    </row>
    <row r="165" spans="1:20" s="1" customFormat="1" ht="15.75" thickBot="1">
      <c r="A165" s="135"/>
      <c r="B165" s="59"/>
      <c r="C165" s="59"/>
      <c r="D165" s="59"/>
      <c r="E165" s="59"/>
      <c r="F165" s="59"/>
      <c r="G165" s="56" t="s">
        <v>60</v>
      </c>
      <c r="H165" s="60"/>
      <c r="I165" s="107">
        <f>I161+I162</f>
        <v>70.276470588235298</v>
      </c>
      <c r="J165" s="137">
        <f>18380*0.13</f>
        <v>2389.4</v>
      </c>
      <c r="K165" s="121">
        <f>I165*A162</f>
        <v>2389.4</v>
      </c>
    </row>
    <row r="166" spans="1:20" s="1" customFormat="1" ht="15.75" thickBot="1">
      <c r="A166" s="136"/>
      <c r="B166" s="70"/>
      <c r="C166" s="70"/>
      <c r="D166" s="70"/>
      <c r="E166" s="70"/>
      <c r="F166" s="70"/>
      <c r="G166" s="71" t="s">
        <v>57</v>
      </c>
      <c r="H166" s="72"/>
      <c r="I166" s="108">
        <f>I164-I165</f>
        <v>0</v>
      </c>
      <c r="J166" s="121">
        <v>0</v>
      </c>
      <c r="K166" s="121">
        <f>I166*A162</f>
        <v>0</v>
      </c>
    </row>
    <row r="167" spans="1:20" ht="18" customHeight="1">
      <c r="A167" s="122" t="s">
        <v>76</v>
      </c>
      <c r="B167" s="13" t="s">
        <v>43</v>
      </c>
      <c r="C167" s="43" t="s">
        <v>17</v>
      </c>
      <c r="D167" s="13">
        <v>1</v>
      </c>
      <c r="E167" s="15">
        <f>248*8*(A168/1979)</f>
        <v>0</v>
      </c>
      <c r="F167" s="28" t="e">
        <f>E167/A168</f>
        <v>#DIV/0!</v>
      </c>
      <c r="G167" s="41" t="e">
        <f>D167/E167*F167</f>
        <v>#DIV/0!</v>
      </c>
      <c r="H167" s="14">
        <f>10000*0.48</f>
        <v>4800</v>
      </c>
      <c r="I167" s="104" t="e">
        <f>H167*G167</f>
        <v>#DIV/0!</v>
      </c>
    </row>
    <row r="168" spans="1:20">
      <c r="A168" s="120"/>
      <c r="B168" s="5" t="s">
        <v>85</v>
      </c>
      <c r="C168" s="35" t="s">
        <v>17</v>
      </c>
      <c r="D168" s="5">
        <v>1</v>
      </c>
      <c r="E168" s="7">
        <f>248*8*(A168/1979)</f>
        <v>0</v>
      </c>
      <c r="F168" s="29" t="e">
        <f>E168/A168</f>
        <v>#DIV/0!</v>
      </c>
      <c r="G168" s="40" t="e">
        <f>D168/E168*F168</f>
        <v>#DIV/0!</v>
      </c>
      <c r="H168" s="6">
        <f>(25000-10000)*0.48</f>
        <v>7200</v>
      </c>
      <c r="I168" s="105" t="e">
        <f t="shared" ref="I168:I169" si="26">H168*G168</f>
        <v>#DIV/0!</v>
      </c>
    </row>
    <row r="169" spans="1:20">
      <c r="A169" s="120"/>
      <c r="B169" s="5"/>
      <c r="C169" s="35"/>
      <c r="D169" s="5"/>
      <c r="E169" s="7"/>
      <c r="F169" s="29"/>
      <c r="G169" s="40"/>
      <c r="H169" s="6"/>
      <c r="I169" s="105">
        <f t="shared" si="26"/>
        <v>0</v>
      </c>
    </row>
    <row r="170" spans="1:20" s="1" customFormat="1" ht="15.75" thickBot="1">
      <c r="A170" s="125"/>
      <c r="B170" s="30"/>
      <c r="C170" s="30"/>
      <c r="D170" s="30"/>
      <c r="E170" s="30"/>
      <c r="F170" s="30"/>
      <c r="G170" s="63"/>
      <c r="H170" s="64"/>
      <c r="I170" s="106" t="e">
        <f>SUM(I167:I169)</f>
        <v>#DIV/0!</v>
      </c>
      <c r="J170" s="137"/>
      <c r="K170" s="137"/>
    </row>
    <row r="171" spans="1:20" s="1" customFormat="1" ht="15.75" thickBot="1">
      <c r="A171" s="135"/>
      <c r="B171" s="59"/>
      <c r="C171" s="59"/>
      <c r="D171" s="59"/>
      <c r="E171" s="59"/>
      <c r="F171" s="59"/>
      <c r="G171" s="56" t="s">
        <v>60</v>
      </c>
      <c r="H171" s="60"/>
      <c r="I171" s="107" t="e">
        <f>I167+I168</f>
        <v>#DIV/0!</v>
      </c>
      <c r="J171" s="137">
        <v>0</v>
      </c>
      <c r="K171" s="121">
        <v>0</v>
      </c>
    </row>
    <row r="172" spans="1:20" s="1" customFormat="1" ht="15.75" thickBot="1">
      <c r="A172" s="136"/>
      <c r="B172" s="70"/>
      <c r="C172" s="70"/>
      <c r="D172" s="70"/>
      <c r="E172" s="70"/>
      <c r="F172" s="70"/>
      <c r="G172" s="71" t="s">
        <v>57</v>
      </c>
      <c r="H172" s="72"/>
      <c r="I172" s="108" t="e">
        <f>I170-I171</f>
        <v>#DIV/0!</v>
      </c>
      <c r="J172" s="121">
        <v>0</v>
      </c>
      <c r="K172" s="121">
        <v>0</v>
      </c>
    </row>
    <row r="173" spans="1:20" s="1" customFormat="1">
      <c r="A173" s="132"/>
      <c r="B173" s="45"/>
      <c r="C173" s="45"/>
      <c r="D173" s="45"/>
      <c r="E173" s="45"/>
      <c r="F173" s="45"/>
      <c r="G173" s="47"/>
      <c r="H173" s="48"/>
      <c r="I173" s="48"/>
      <c r="J173" s="137"/>
      <c r="K173" s="137"/>
    </row>
    <row r="174" spans="1:20" ht="19.5" thickBot="1">
      <c r="A174" s="128" t="s">
        <v>99</v>
      </c>
      <c r="H174"/>
      <c r="S174" s="1"/>
      <c r="T174" s="1"/>
    </row>
    <row r="175" spans="1:20" ht="96" customHeight="1">
      <c r="A175" s="130" t="s">
        <v>2</v>
      </c>
      <c r="B175" s="23" t="s">
        <v>15</v>
      </c>
      <c r="C175" s="23" t="s">
        <v>14</v>
      </c>
      <c r="D175" s="23" t="s">
        <v>16</v>
      </c>
      <c r="E175" s="23" t="s">
        <v>27</v>
      </c>
      <c r="F175" s="23" t="s">
        <v>100</v>
      </c>
      <c r="G175" s="23" t="s">
        <v>29</v>
      </c>
      <c r="H175" s="23" t="s">
        <v>30</v>
      </c>
      <c r="I175" s="23" t="s">
        <v>11</v>
      </c>
      <c r="J175" s="147" t="s">
        <v>34</v>
      </c>
      <c r="K175" s="147" t="s">
        <v>33</v>
      </c>
    </row>
    <row r="176" spans="1:20" ht="15.75" thickBot="1">
      <c r="A176" s="134">
        <v>1</v>
      </c>
      <c r="B176" s="10">
        <v>2</v>
      </c>
      <c r="C176" s="10">
        <v>3</v>
      </c>
      <c r="D176" s="10">
        <v>4</v>
      </c>
      <c r="E176" s="10">
        <v>5</v>
      </c>
      <c r="F176" s="10">
        <v>6</v>
      </c>
      <c r="G176" s="10" t="s">
        <v>31</v>
      </c>
      <c r="H176" s="9">
        <v>8</v>
      </c>
      <c r="I176" s="39" t="s">
        <v>32</v>
      </c>
    </row>
    <row r="177" spans="1:11" ht="18" customHeight="1">
      <c r="A177" s="122" t="s">
        <v>64</v>
      </c>
      <c r="B177" s="13" t="s">
        <v>102</v>
      </c>
      <c r="C177" s="43" t="s">
        <v>17</v>
      </c>
      <c r="D177" s="13">
        <v>1</v>
      </c>
      <c r="E177" s="15">
        <f>248*8*(A178/1979)</f>
        <v>1178.9711975745327</v>
      </c>
      <c r="F177" s="28">
        <f>E177/A178</f>
        <v>1.0025265285497726</v>
      </c>
      <c r="G177" s="41">
        <f>D177/E177*F177</f>
        <v>8.5034013605442174E-4</v>
      </c>
      <c r="H177" s="14">
        <v>25346</v>
      </c>
      <c r="I177" s="104">
        <f>H177*G177</f>
        <v>21.552721088435373</v>
      </c>
    </row>
    <row r="178" spans="1:11">
      <c r="A178" s="120">
        <v>1176</v>
      </c>
      <c r="B178" s="5" t="s">
        <v>89</v>
      </c>
      <c r="C178" s="35" t="s">
        <v>17</v>
      </c>
      <c r="D178" s="5">
        <v>1</v>
      </c>
      <c r="E178" s="7">
        <f>248*8*(A178/1979)</f>
        <v>1178.9711975745327</v>
      </c>
      <c r="F178" s="29">
        <f>E178/A178</f>
        <v>1.0025265285497726</v>
      </c>
      <c r="G178" s="40">
        <f>D178/E178*F178</f>
        <v>8.5034013605442174E-4</v>
      </c>
      <c r="H178" s="6">
        <v>245590</v>
      </c>
      <c r="I178" s="105">
        <f t="shared" ref="I178:I183" si="27">H178*G178</f>
        <v>208.83503401360542</v>
      </c>
    </row>
    <row r="179" spans="1:11">
      <c r="A179" s="120"/>
      <c r="B179" s="5" t="s">
        <v>86</v>
      </c>
      <c r="C179" s="35" t="s">
        <v>17</v>
      </c>
      <c r="D179" s="5">
        <v>1</v>
      </c>
      <c r="E179" s="7">
        <f>248*8*(A178/1979)</f>
        <v>1178.9711975745327</v>
      </c>
      <c r="F179" s="29">
        <f>E179/A178</f>
        <v>1.0025265285497726</v>
      </c>
      <c r="G179" s="40">
        <f>D179/E179*F179</f>
        <v>8.5034013605442174E-4</v>
      </c>
      <c r="H179" s="6">
        <v>7080</v>
      </c>
      <c r="I179" s="105">
        <f t="shared" si="27"/>
        <v>6.0204081632653059</v>
      </c>
    </row>
    <row r="180" spans="1:11">
      <c r="A180" s="120"/>
      <c r="B180" s="5" t="s">
        <v>87</v>
      </c>
      <c r="C180" s="35" t="s">
        <v>17</v>
      </c>
      <c r="D180" s="5">
        <v>1</v>
      </c>
      <c r="E180" s="7">
        <f>248*8*(A178/1979)</f>
        <v>1178.9711975745327</v>
      </c>
      <c r="F180" s="29">
        <f>E180/A178</f>
        <v>1.0025265285497726</v>
      </c>
      <c r="G180" s="40">
        <f t="shared" ref="G180:G183" si="28">D180/E180*F180</f>
        <v>8.5034013605442174E-4</v>
      </c>
      <c r="H180" s="6">
        <v>7842</v>
      </c>
      <c r="I180" s="105">
        <f t="shared" si="27"/>
        <v>6.6683673469387754</v>
      </c>
    </row>
    <row r="181" spans="1:11">
      <c r="A181" s="120"/>
      <c r="B181" s="5" t="s">
        <v>88</v>
      </c>
      <c r="C181" s="35" t="s">
        <v>17</v>
      </c>
      <c r="D181" s="5">
        <v>1</v>
      </c>
      <c r="E181" s="7">
        <f>248*8*(A178/1979)</f>
        <v>1178.9711975745327</v>
      </c>
      <c r="F181" s="29">
        <f>E181/A178</f>
        <v>1.0025265285497726</v>
      </c>
      <c r="G181" s="40">
        <f t="shared" si="28"/>
        <v>8.5034013605442174E-4</v>
      </c>
      <c r="H181" s="6">
        <v>20741</v>
      </c>
      <c r="I181" s="105">
        <f t="shared" si="27"/>
        <v>17.636904761904763</v>
      </c>
    </row>
    <row r="182" spans="1:11">
      <c r="A182" s="120"/>
      <c r="B182" s="5" t="s">
        <v>101</v>
      </c>
      <c r="C182" s="35" t="s">
        <v>17</v>
      </c>
      <c r="D182" s="5">
        <v>1</v>
      </c>
      <c r="E182" s="7">
        <f>248*8*(A178/1979)</f>
        <v>1178.9711975745327</v>
      </c>
      <c r="F182" s="29">
        <f>E182/A178</f>
        <v>1.0025265285497726</v>
      </c>
      <c r="G182" s="40">
        <f t="shared" si="28"/>
        <v>8.5034013605442174E-4</v>
      </c>
      <c r="H182" s="6">
        <v>2348</v>
      </c>
      <c r="I182" s="105">
        <f t="shared" si="27"/>
        <v>1.9965986394557822</v>
      </c>
    </row>
    <row r="183" spans="1:11">
      <c r="A183" s="120"/>
      <c r="B183" s="5"/>
      <c r="C183" s="35" t="s">
        <v>17</v>
      </c>
      <c r="D183" s="5">
        <v>1</v>
      </c>
      <c r="E183" s="7">
        <f>248*8*(A178/1979)</f>
        <v>1178.9711975745327</v>
      </c>
      <c r="F183" s="29">
        <f>E183/A178</f>
        <v>1.0025265285497726</v>
      </c>
      <c r="G183" s="40">
        <f t="shared" si="28"/>
        <v>8.5034013605442174E-4</v>
      </c>
      <c r="H183" s="6"/>
      <c r="I183" s="105">
        <f t="shared" si="27"/>
        <v>0</v>
      </c>
    </row>
    <row r="184" spans="1:11" s="1" customFormat="1" ht="15.75" thickBot="1">
      <c r="A184" s="125"/>
      <c r="B184" s="30"/>
      <c r="C184" s="30"/>
      <c r="D184" s="30"/>
      <c r="E184" s="30"/>
      <c r="F184" s="30"/>
      <c r="G184" s="63"/>
      <c r="H184" s="64"/>
      <c r="I184" s="106">
        <f>SUM(I177:I183)</f>
        <v>262.71003401360542</v>
      </c>
      <c r="J184" s="137"/>
      <c r="K184" s="137"/>
    </row>
    <row r="185" spans="1:11" s="1" customFormat="1" ht="15.75" thickBot="1">
      <c r="A185" s="135"/>
      <c r="B185" s="59"/>
      <c r="C185" s="59"/>
      <c r="D185" s="59"/>
      <c r="E185" s="59"/>
      <c r="F185" s="59"/>
      <c r="G185" s="56" t="s">
        <v>60</v>
      </c>
      <c r="H185" s="60"/>
      <c r="I185" s="107">
        <v>0</v>
      </c>
      <c r="J185" s="137"/>
      <c r="K185" s="121">
        <f>I185*A178</f>
        <v>0</v>
      </c>
    </row>
    <row r="186" spans="1:11" s="1" customFormat="1" ht="15.75" thickBot="1">
      <c r="A186" s="136"/>
      <c r="B186" s="70"/>
      <c r="C186" s="70"/>
      <c r="D186" s="70"/>
      <c r="E186" s="70"/>
      <c r="F186" s="70"/>
      <c r="G186" s="71" t="s">
        <v>57</v>
      </c>
      <c r="H186" s="72"/>
      <c r="I186" s="108">
        <f>I184-I185</f>
        <v>262.71003401360542</v>
      </c>
      <c r="J186" s="121">
        <f>20741+7080+7842+245590+25346+2348</f>
        <v>308947</v>
      </c>
      <c r="K186" s="121">
        <f>I186*A178</f>
        <v>308947</v>
      </c>
    </row>
    <row r="187" spans="1:11" ht="18" customHeight="1">
      <c r="A187" s="122" t="s">
        <v>71</v>
      </c>
      <c r="B187" s="13" t="s">
        <v>102</v>
      </c>
      <c r="C187" s="43" t="s">
        <v>17</v>
      </c>
      <c r="D187" s="13">
        <v>1</v>
      </c>
      <c r="E187" s="15">
        <f>248*8*(A188/1979)</f>
        <v>1283.2339565437089</v>
      </c>
      <c r="F187" s="28">
        <f>E187/A188</f>
        <v>1.0025265285497726</v>
      </c>
      <c r="G187" s="41">
        <f>D187/E187*F187</f>
        <v>7.8125000000000004E-4</v>
      </c>
      <c r="H187" s="14">
        <v>25346</v>
      </c>
      <c r="I187" s="104">
        <f>H187*G187</f>
        <v>19.801562500000003</v>
      </c>
    </row>
    <row r="188" spans="1:11">
      <c r="A188" s="120">
        <v>1280</v>
      </c>
      <c r="B188" s="5" t="s">
        <v>89</v>
      </c>
      <c r="C188" s="35" t="s">
        <v>17</v>
      </c>
      <c r="D188" s="5">
        <v>1</v>
      </c>
      <c r="E188" s="7">
        <f>248*8*(A188/1979)</f>
        <v>1283.2339565437089</v>
      </c>
      <c r="F188" s="29">
        <f>E188/A188</f>
        <v>1.0025265285497726</v>
      </c>
      <c r="G188" s="40">
        <f>D188/E188*F188</f>
        <v>7.8125000000000004E-4</v>
      </c>
      <c r="H188" s="6">
        <v>182920</v>
      </c>
      <c r="I188" s="105">
        <f t="shared" ref="I188:I193" si="29">H188*G188</f>
        <v>142.90625</v>
      </c>
    </row>
    <row r="189" spans="1:11">
      <c r="A189" s="120"/>
      <c r="B189" s="5" t="s">
        <v>86</v>
      </c>
      <c r="C189" s="35" t="s">
        <v>17</v>
      </c>
      <c r="D189" s="5">
        <v>1</v>
      </c>
      <c r="E189" s="7">
        <f>248*8*(A188/1979)</f>
        <v>1283.2339565437089</v>
      </c>
      <c r="F189" s="29">
        <f>E189/A188</f>
        <v>1.0025265285497726</v>
      </c>
      <c r="G189" s="40">
        <f>D189/E189*F189</f>
        <v>7.8125000000000004E-4</v>
      </c>
      <c r="H189" s="6">
        <v>7080</v>
      </c>
      <c r="I189" s="105">
        <f t="shared" si="29"/>
        <v>5.53125</v>
      </c>
    </row>
    <row r="190" spans="1:11">
      <c r="A190" s="120"/>
      <c r="B190" s="5" t="s">
        <v>87</v>
      </c>
      <c r="C190" s="35" t="s">
        <v>17</v>
      </c>
      <c r="D190" s="5">
        <v>1</v>
      </c>
      <c r="E190" s="7">
        <f>248*8*(A188/1979)</f>
        <v>1283.2339565437089</v>
      </c>
      <c r="F190" s="29">
        <f>E190/A188</f>
        <v>1.0025265285497726</v>
      </c>
      <c r="G190" s="40">
        <f t="shared" ref="G190:G193" si="30">D190/E190*F190</f>
        <v>7.8125000000000004E-4</v>
      </c>
      <c r="H190" s="6">
        <v>10684.49</v>
      </c>
      <c r="I190" s="105">
        <f t="shared" si="29"/>
        <v>8.3472578125000005</v>
      </c>
    </row>
    <row r="191" spans="1:11">
      <c r="A191" s="120"/>
      <c r="B191" s="5" t="s">
        <v>88</v>
      </c>
      <c r="C191" s="35" t="s">
        <v>17</v>
      </c>
      <c r="D191" s="5">
        <v>1</v>
      </c>
      <c r="E191" s="7">
        <f>248*8*(A188/1979)</f>
        <v>1283.2339565437089</v>
      </c>
      <c r="F191" s="29">
        <f>E191/A188</f>
        <v>1.0025265285497726</v>
      </c>
      <c r="G191" s="40">
        <f t="shared" si="30"/>
        <v>7.8125000000000004E-4</v>
      </c>
      <c r="H191" s="6">
        <v>29272</v>
      </c>
      <c r="I191" s="105">
        <f t="shared" si="29"/>
        <v>22.868750000000002</v>
      </c>
    </row>
    <row r="192" spans="1:11">
      <c r="A192" s="120"/>
      <c r="B192" s="5" t="s">
        <v>101</v>
      </c>
      <c r="C192" s="35" t="s">
        <v>17</v>
      </c>
      <c r="D192" s="5">
        <v>1</v>
      </c>
      <c r="E192" s="7">
        <f>248*8*(A188/1979)</f>
        <v>1283.2339565437089</v>
      </c>
      <c r="F192" s="29">
        <f>E192/A188</f>
        <v>1.0025265285497726</v>
      </c>
      <c r="G192" s="40">
        <f t="shared" si="30"/>
        <v>7.8125000000000004E-4</v>
      </c>
      <c r="H192" s="6">
        <v>2348</v>
      </c>
      <c r="I192" s="105">
        <f t="shared" si="29"/>
        <v>1.8343750000000001</v>
      </c>
    </row>
    <row r="193" spans="1:11">
      <c r="A193" s="120"/>
      <c r="B193" s="5"/>
      <c r="C193" s="35" t="s">
        <v>17</v>
      </c>
      <c r="D193" s="5">
        <v>1</v>
      </c>
      <c r="E193" s="7">
        <f>248*8*(A188/1979)</f>
        <v>1283.2339565437089</v>
      </c>
      <c r="F193" s="29">
        <f>E193/A188</f>
        <v>1.0025265285497726</v>
      </c>
      <c r="G193" s="40">
        <f t="shared" si="30"/>
        <v>7.8125000000000004E-4</v>
      </c>
      <c r="H193" s="6"/>
      <c r="I193" s="105">
        <f t="shared" si="29"/>
        <v>0</v>
      </c>
    </row>
    <row r="194" spans="1:11" s="1" customFormat="1" ht="15.75" thickBot="1">
      <c r="A194" s="125"/>
      <c r="B194" s="30"/>
      <c r="C194" s="30"/>
      <c r="D194" s="30"/>
      <c r="E194" s="30"/>
      <c r="F194" s="30"/>
      <c r="G194" s="63"/>
      <c r="H194" s="64"/>
      <c r="I194" s="106">
        <f>SUM(I187:I193)</f>
        <v>201.28944531249999</v>
      </c>
      <c r="J194" s="137"/>
      <c r="K194" s="137"/>
    </row>
    <row r="195" spans="1:11" s="1" customFormat="1" ht="15.75" thickBot="1">
      <c r="A195" s="135"/>
      <c r="B195" s="59"/>
      <c r="C195" s="59"/>
      <c r="D195" s="59"/>
      <c r="E195" s="59"/>
      <c r="F195" s="59"/>
      <c r="G195" s="56" t="s">
        <v>60</v>
      </c>
      <c r="H195" s="60"/>
      <c r="I195" s="107">
        <v>0</v>
      </c>
      <c r="J195" s="137"/>
      <c r="K195" s="121">
        <f>I195*A188</f>
        <v>0</v>
      </c>
    </row>
    <row r="196" spans="1:11" s="1" customFormat="1" ht="15.75" thickBot="1">
      <c r="A196" s="136"/>
      <c r="B196" s="70"/>
      <c r="C196" s="70"/>
      <c r="D196" s="70"/>
      <c r="E196" s="70"/>
      <c r="F196" s="70"/>
      <c r="G196" s="71" t="s">
        <v>57</v>
      </c>
      <c r="H196" s="72"/>
      <c r="I196" s="108">
        <f>I194-I195</f>
        <v>201.28944531249999</v>
      </c>
      <c r="J196" s="121">
        <f>2348+29272+7080+10684.49+182920+25346</f>
        <v>257650.49</v>
      </c>
      <c r="K196" s="121">
        <f>I196*A188</f>
        <v>257650.49</v>
      </c>
    </row>
    <row r="197" spans="1:11" ht="18" customHeight="1">
      <c r="A197" s="122" t="s">
        <v>73</v>
      </c>
      <c r="B197" s="13" t="s">
        <v>102</v>
      </c>
      <c r="C197" s="43" t="s">
        <v>17</v>
      </c>
      <c r="D197" s="13">
        <v>1</v>
      </c>
      <c r="E197" s="15">
        <f>248*8*(A198/1979)</f>
        <v>370.93481556341584</v>
      </c>
      <c r="F197" s="28">
        <f>E197/A198</f>
        <v>1.0025265285497726</v>
      </c>
      <c r="G197" s="41">
        <f>D197/E197*F197</f>
        <v>2.7027027027027029E-3</v>
      </c>
      <c r="H197" s="14">
        <v>25346</v>
      </c>
      <c r="I197" s="104">
        <f>H197*G197</f>
        <v>68.502702702702706</v>
      </c>
    </row>
    <row r="198" spans="1:11">
      <c r="A198" s="120">
        <v>370</v>
      </c>
      <c r="B198" s="5" t="s">
        <v>89</v>
      </c>
      <c r="C198" s="35" t="s">
        <v>17</v>
      </c>
      <c r="D198" s="5">
        <v>1</v>
      </c>
      <c r="E198" s="7">
        <f>248*8*(A198/1979)</f>
        <v>370.93481556341584</v>
      </c>
      <c r="F198" s="29">
        <f>E198/A198</f>
        <v>1.0025265285497726</v>
      </c>
      <c r="G198" s="40">
        <f>D198/E198*F198</f>
        <v>2.7027027027027029E-3</v>
      </c>
      <c r="H198" s="6">
        <v>151700</v>
      </c>
      <c r="I198" s="105">
        <f t="shared" ref="I198:I203" si="31">H198*G198</f>
        <v>410</v>
      </c>
    </row>
    <row r="199" spans="1:11">
      <c r="A199" s="120"/>
      <c r="B199" s="5" t="s">
        <v>86</v>
      </c>
      <c r="C199" s="35" t="s">
        <v>17</v>
      </c>
      <c r="D199" s="5">
        <v>1</v>
      </c>
      <c r="E199" s="7">
        <f>248*8*(A198/1979)</f>
        <v>370.93481556341584</v>
      </c>
      <c r="F199" s="29">
        <f>E199/A198</f>
        <v>1.0025265285497726</v>
      </c>
      <c r="G199" s="40">
        <f>D199/E199*F199</f>
        <v>2.7027027027027029E-3</v>
      </c>
      <c r="H199" s="6">
        <v>7080</v>
      </c>
      <c r="I199" s="105">
        <f t="shared" si="31"/>
        <v>19.135135135135137</v>
      </c>
    </row>
    <row r="200" spans="1:11">
      <c r="A200" s="120"/>
      <c r="B200" s="5" t="s">
        <v>87</v>
      </c>
      <c r="C200" s="35" t="s">
        <v>17</v>
      </c>
      <c r="D200" s="5">
        <v>1</v>
      </c>
      <c r="E200" s="7">
        <f>248*8*(A198/1979)</f>
        <v>370.93481556341584</v>
      </c>
      <c r="F200" s="29">
        <f>E200/A198</f>
        <v>1.0025265285497726</v>
      </c>
      <c r="G200" s="40">
        <f t="shared" ref="G200:G203" si="32">D200/E200*F200</f>
        <v>2.7027027027027029E-3</v>
      </c>
      <c r="H200" s="6">
        <v>4678.79</v>
      </c>
      <c r="I200" s="105">
        <f t="shared" si="31"/>
        <v>12.645378378378378</v>
      </c>
    </row>
    <row r="201" spans="1:11">
      <c r="A201" s="120"/>
      <c r="B201" s="5" t="s">
        <v>88</v>
      </c>
      <c r="C201" s="35" t="s">
        <v>17</v>
      </c>
      <c r="D201" s="5">
        <v>1</v>
      </c>
      <c r="E201" s="7">
        <f>248*8*(A198/1979)</f>
        <v>370.93481556341584</v>
      </c>
      <c r="F201" s="29">
        <f>E201/A198</f>
        <v>1.0025265285497726</v>
      </c>
      <c r="G201" s="40">
        <f t="shared" si="32"/>
        <v>2.7027027027027029E-3</v>
      </c>
      <c r="H201" s="6">
        <v>10000</v>
      </c>
      <c r="I201" s="105">
        <f t="shared" si="31"/>
        <v>27.027027027027028</v>
      </c>
    </row>
    <row r="202" spans="1:11">
      <c r="A202" s="120"/>
      <c r="B202" s="5" t="s">
        <v>101</v>
      </c>
      <c r="C202" s="35" t="s">
        <v>17</v>
      </c>
      <c r="D202" s="5">
        <v>1</v>
      </c>
      <c r="E202" s="7">
        <f>248*8*(A198/1979)</f>
        <v>370.93481556341584</v>
      </c>
      <c r="F202" s="29">
        <f>E202/A198</f>
        <v>1.0025265285497726</v>
      </c>
      <c r="G202" s="40">
        <f t="shared" si="32"/>
        <v>2.7027027027027029E-3</v>
      </c>
      <c r="H202" s="6">
        <v>3888</v>
      </c>
      <c r="I202" s="105">
        <f t="shared" si="31"/>
        <v>10.508108108108109</v>
      </c>
    </row>
    <row r="203" spans="1:11">
      <c r="A203" s="120"/>
      <c r="B203" s="5"/>
      <c r="C203" s="35" t="s">
        <v>17</v>
      </c>
      <c r="D203" s="5">
        <v>1</v>
      </c>
      <c r="E203" s="7">
        <f>248*8*(A198/1979)</f>
        <v>370.93481556341584</v>
      </c>
      <c r="F203" s="29">
        <f>E203/A198</f>
        <v>1.0025265285497726</v>
      </c>
      <c r="G203" s="40">
        <f t="shared" si="32"/>
        <v>2.7027027027027029E-3</v>
      </c>
      <c r="H203" s="6"/>
      <c r="I203" s="105">
        <f t="shared" si="31"/>
        <v>0</v>
      </c>
    </row>
    <row r="204" spans="1:11" s="1" customFormat="1" ht="15.75" thickBot="1">
      <c r="A204" s="125"/>
      <c r="B204" s="30"/>
      <c r="C204" s="30"/>
      <c r="D204" s="30"/>
      <c r="E204" s="30"/>
      <c r="F204" s="30"/>
      <c r="G204" s="63"/>
      <c r="H204" s="64"/>
      <c r="I204" s="106">
        <f>SUM(I197:I203)</f>
        <v>547.81835135135134</v>
      </c>
      <c r="J204" s="137"/>
      <c r="K204" s="137"/>
    </row>
    <row r="205" spans="1:11" s="1" customFormat="1" ht="15.75" thickBot="1">
      <c r="A205" s="135"/>
      <c r="B205" s="59"/>
      <c r="C205" s="59"/>
      <c r="D205" s="59"/>
      <c r="E205" s="59"/>
      <c r="F205" s="59"/>
      <c r="G205" s="56" t="s">
        <v>60</v>
      </c>
      <c r="H205" s="60"/>
      <c r="I205" s="107">
        <v>0</v>
      </c>
      <c r="J205" s="137"/>
      <c r="K205" s="121">
        <f>I205*A198</f>
        <v>0</v>
      </c>
    </row>
    <row r="206" spans="1:11" s="1" customFormat="1" ht="15.75" thickBot="1">
      <c r="A206" s="136"/>
      <c r="B206" s="70"/>
      <c r="C206" s="70"/>
      <c r="D206" s="70"/>
      <c r="E206" s="70"/>
      <c r="F206" s="70"/>
      <c r="G206" s="71" t="s">
        <v>57</v>
      </c>
      <c r="H206" s="72"/>
      <c r="I206" s="108">
        <f>I204-I205</f>
        <v>547.81835135135134</v>
      </c>
      <c r="J206" s="121">
        <f>3888+10000+7080+4678.79+151700+25346</f>
        <v>202692.79</v>
      </c>
      <c r="K206" s="121">
        <f>I206*A198</f>
        <v>202692.79</v>
      </c>
    </row>
    <row r="208" spans="1:11">
      <c r="J208" s="137" t="s">
        <v>60</v>
      </c>
    </row>
    <row r="209" spans="9:12">
      <c r="I209" s="1">
        <v>1</v>
      </c>
      <c r="J209" s="121">
        <f>46795</f>
        <v>46795</v>
      </c>
      <c r="K209" s="121">
        <f>K125+K126+K64+K65+K9+K10</f>
        <v>46794.999999999993</v>
      </c>
      <c r="L209" s="3">
        <f>J209-K209</f>
        <v>0</v>
      </c>
    </row>
    <row r="210" spans="9:12">
      <c r="I210" s="1">
        <v>2</v>
      </c>
      <c r="J210" s="121">
        <v>48000</v>
      </c>
      <c r="K210" s="121">
        <f>K132+K131+K71+K70+K15</f>
        <v>48000</v>
      </c>
      <c r="L210" s="3">
        <f t="shared" ref="L210:L217" si="33">J210-K210</f>
        <v>0</v>
      </c>
    </row>
    <row r="211" spans="9:12">
      <c r="I211" s="1">
        <v>3</v>
      </c>
      <c r="J211" s="121">
        <v>69000</v>
      </c>
      <c r="K211" s="121">
        <f>K137+K138+K76+K77+K21+K22</f>
        <v>69000</v>
      </c>
      <c r="L211" s="3">
        <f t="shared" si="33"/>
        <v>0</v>
      </c>
    </row>
    <row r="212" spans="9:12">
      <c r="I212" s="1">
        <v>7</v>
      </c>
      <c r="J212" s="121">
        <f>70000</f>
        <v>70000</v>
      </c>
      <c r="K212" s="121">
        <f>K142+K143+K81+K82+K26+K27</f>
        <v>70000</v>
      </c>
      <c r="L212" s="3">
        <f t="shared" si="33"/>
        <v>0</v>
      </c>
    </row>
    <row r="213" spans="9:12">
      <c r="I213" s="1">
        <v>9</v>
      </c>
      <c r="J213" s="121">
        <v>94325</v>
      </c>
      <c r="K213" s="121">
        <f>K149+K148+K88+K87+K33+K32</f>
        <v>94325</v>
      </c>
      <c r="L213" s="87">
        <f t="shared" si="33"/>
        <v>0</v>
      </c>
    </row>
    <row r="214" spans="9:12">
      <c r="I214" s="1">
        <v>14</v>
      </c>
      <c r="J214" s="121">
        <f>235200</f>
        <v>235200</v>
      </c>
      <c r="K214" s="121">
        <f>K154+K153+K92+K93+K37+K38</f>
        <v>235200</v>
      </c>
      <c r="L214" s="3">
        <f t="shared" si="33"/>
        <v>0</v>
      </c>
    </row>
    <row r="215" spans="9:12">
      <c r="I215" s="1">
        <v>8</v>
      </c>
      <c r="J215" s="121">
        <v>118000</v>
      </c>
      <c r="K215" s="121">
        <f>K159+K160+K98+K99+K43+K44</f>
        <v>118000</v>
      </c>
      <c r="L215" s="3">
        <f t="shared" si="33"/>
        <v>0</v>
      </c>
    </row>
    <row r="216" spans="9:12">
      <c r="I216" s="1">
        <v>4</v>
      </c>
      <c r="J216" s="121">
        <v>18380</v>
      </c>
      <c r="K216" s="121">
        <f>K166+K165+K104+K105+K49+K50</f>
        <v>18380</v>
      </c>
      <c r="L216" s="3">
        <f t="shared" si="33"/>
        <v>0</v>
      </c>
    </row>
    <row r="217" spans="9:12">
      <c r="I217" s="1">
        <v>11</v>
      </c>
      <c r="J217" s="121">
        <v>35000</v>
      </c>
      <c r="K217" s="121">
        <f>K171+K172+K110+K111+K55+K56</f>
        <v>35000</v>
      </c>
      <c r="L217" s="3">
        <f t="shared" si="33"/>
        <v>0</v>
      </c>
    </row>
  </sheetData>
  <mergeCells count="1">
    <mergeCell ref="A1:H1"/>
  </mergeCells>
  <pageMargins left="0.31496062992125984" right="0" top="0.15748031496062992" bottom="0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372"/>
  <sheetViews>
    <sheetView tabSelected="1" workbookViewId="0">
      <pane xSplit="3" ySplit="5" topLeftCell="D209" activePane="bottomRight" state="frozen"/>
      <selection pane="topRight" activeCell="D1" sqref="D1"/>
      <selection pane="bottomLeft" activeCell="A7" sqref="A7"/>
      <selection pane="bottomRight" activeCell="E225" sqref="E225"/>
    </sheetView>
  </sheetViews>
  <sheetFormatPr defaultRowHeight="15"/>
  <cols>
    <col min="1" max="1" width="17" customWidth="1"/>
    <col min="2" max="2" width="24" style="1" customWidth="1"/>
    <col min="3" max="3" width="9.7109375" style="1" customWidth="1"/>
    <col min="4" max="4" width="11.42578125" style="1" customWidth="1"/>
    <col min="5" max="5" width="8.42578125" style="1" customWidth="1"/>
    <col min="6" max="6" width="10.42578125" style="1" customWidth="1"/>
    <col min="7" max="7" width="12.5703125" customWidth="1"/>
    <col min="8" max="8" width="11.7109375" customWidth="1"/>
    <col min="9" max="9" width="9.42578125" style="1" customWidth="1"/>
    <col min="10" max="10" width="12.7109375" style="1" customWidth="1"/>
    <col min="11" max="11" width="10.85546875" style="1" customWidth="1"/>
    <col min="12" max="12" width="14.140625" style="1" customWidth="1"/>
    <col min="13" max="13" width="3.7109375" style="1" customWidth="1"/>
    <col min="14" max="14" width="10.85546875" style="1" customWidth="1"/>
    <col min="15" max="20" width="9.140625" style="1"/>
  </cols>
  <sheetData>
    <row r="1" spans="1:14" ht="18.75">
      <c r="A1" s="74" t="s">
        <v>44</v>
      </c>
      <c r="B1" s="74"/>
      <c r="C1" s="74"/>
      <c r="D1" s="74"/>
      <c r="E1" s="74"/>
      <c r="F1" s="74"/>
      <c r="G1" s="74"/>
      <c r="H1" s="74"/>
      <c r="I1" s="74"/>
      <c r="J1" s="74"/>
    </row>
    <row r="2" spans="1:14" ht="18.75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4" ht="15" customHeight="1">
      <c r="A3" s="153" t="s">
        <v>77</v>
      </c>
      <c r="B3" s="153"/>
      <c r="C3" s="153"/>
      <c r="D3" s="153"/>
      <c r="E3" s="153"/>
      <c r="F3" s="153"/>
      <c r="G3" s="153"/>
      <c r="H3" s="153"/>
      <c r="I3" s="153"/>
      <c r="J3" s="153"/>
      <c r="K3" s="1" t="s">
        <v>95</v>
      </c>
    </row>
    <row r="4" spans="1:14" ht="79.900000000000006" customHeight="1">
      <c r="A4" s="4" t="s">
        <v>2</v>
      </c>
      <c r="B4" s="4" t="s">
        <v>4</v>
      </c>
      <c r="C4" s="79" t="s">
        <v>0</v>
      </c>
      <c r="D4" s="79" t="s">
        <v>13</v>
      </c>
      <c r="E4" s="79" t="s">
        <v>3</v>
      </c>
      <c r="F4" s="79" t="s">
        <v>1</v>
      </c>
      <c r="G4" s="79" t="s">
        <v>5</v>
      </c>
      <c r="H4" s="79" t="s">
        <v>7</v>
      </c>
      <c r="I4" s="79" t="s">
        <v>9</v>
      </c>
      <c r="J4" s="79" t="s">
        <v>11</v>
      </c>
      <c r="K4" s="2" t="s">
        <v>33</v>
      </c>
      <c r="L4" s="2" t="s">
        <v>34</v>
      </c>
      <c r="M4" s="2"/>
    </row>
    <row r="5" spans="1:14" ht="15.75" thickBot="1">
      <c r="A5" s="9">
        <v>1</v>
      </c>
      <c r="B5" s="10">
        <v>2</v>
      </c>
      <c r="C5" s="10">
        <v>3</v>
      </c>
      <c r="D5" s="10">
        <v>4</v>
      </c>
      <c r="E5" s="10">
        <v>5</v>
      </c>
      <c r="F5" s="10">
        <v>6</v>
      </c>
      <c r="G5" s="10" t="s">
        <v>6</v>
      </c>
      <c r="H5" s="9" t="s">
        <v>8</v>
      </c>
      <c r="I5" s="10" t="s">
        <v>10</v>
      </c>
      <c r="J5" s="10" t="s">
        <v>12</v>
      </c>
    </row>
    <row r="6" spans="1:14">
      <c r="A6" s="12" t="s">
        <v>64</v>
      </c>
      <c r="B6" s="13" t="s">
        <v>45</v>
      </c>
      <c r="C6" s="93">
        <v>3.25</v>
      </c>
      <c r="D6" s="7">
        <v>7259.3486000000003</v>
      </c>
      <c r="E6" s="139">
        <f>ком.усл!A11</f>
        <v>182</v>
      </c>
      <c r="F6" s="5">
        <v>1979</v>
      </c>
      <c r="G6" s="14">
        <f>C6*F6</f>
        <v>6431.75</v>
      </c>
      <c r="H6" s="14">
        <f>G6/E6</f>
        <v>35.339285714285715</v>
      </c>
      <c r="I6" s="7">
        <f>D6*12*1.302/1979</f>
        <v>57.311805217988883</v>
      </c>
      <c r="J6" s="104">
        <f>I6*H6</f>
        <v>2025.3582594000002</v>
      </c>
    </row>
    <row r="7" spans="1:14">
      <c r="A7" s="16"/>
      <c r="B7" s="5" t="s">
        <v>116</v>
      </c>
      <c r="C7" s="94">
        <v>0.125</v>
      </c>
      <c r="D7" s="7">
        <v>7259.3486000000003</v>
      </c>
      <c r="E7" s="139">
        <f>E6</f>
        <v>182</v>
      </c>
      <c r="F7" s="5">
        <v>1979</v>
      </c>
      <c r="G7" s="6">
        <f t="shared" ref="G7:G8" si="0">C7*F7</f>
        <v>247.375</v>
      </c>
      <c r="H7" s="6">
        <f t="shared" ref="H7:H8" si="1">G7/E7</f>
        <v>1.3592032967032968</v>
      </c>
      <c r="I7" s="7">
        <f t="shared" ref="I7:I11" si="2">D7*12*1.302/1979</f>
        <v>57.311805217988883</v>
      </c>
      <c r="J7" s="105">
        <f t="shared" ref="J7:J8" si="3">I7*H7</f>
        <v>77.898394592307696</v>
      </c>
    </row>
    <row r="8" spans="1:14">
      <c r="A8" s="16"/>
      <c r="B8" s="5" t="s">
        <v>46</v>
      </c>
      <c r="C8" s="95">
        <v>3</v>
      </c>
      <c r="D8" s="7">
        <v>7259.3486000000003</v>
      </c>
      <c r="E8" s="139">
        <f>E6</f>
        <v>182</v>
      </c>
      <c r="F8" s="5">
        <v>1979</v>
      </c>
      <c r="G8" s="6">
        <f t="shared" si="0"/>
        <v>5937</v>
      </c>
      <c r="H8" s="6">
        <f t="shared" si="1"/>
        <v>32.620879120879124</v>
      </c>
      <c r="I8" s="7">
        <f t="shared" si="2"/>
        <v>57.311805217988883</v>
      </c>
      <c r="J8" s="105">
        <f t="shared" si="3"/>
        <v>1869.5614702153848</v>
      </c>
    </row>
    <row r="9" spans="1:14">
      <c r="A9" s="16"/>
      <c r="B9" s="5" t="s">
        <v>90</v>
      </c>
      <c r="C9" s="94">
        <v>0.75</v>
      </c>
      <c r="D9" s="7">
        <v>7259.3486000000003</v>
      </c>
      <c r="E9" s="139">
        <f>E6</f>
        <v>182</v>
      </c>
      <c r="F9" s="5">
        <v>1979</v>
      </c>
      <c r="G9" s="6">
        <f t="shared" ref="G9:G10" si="4">C9*F9</f>
        <v>1484.25</v>
      </c>
      <c r="H9" s="6">
        <f>G9/E9</f>
        <v>8.155219780219781</v>
      </c>
      <c r="I9" s="7">
        <f t="shared" si="2"/>
        <v>57.311805217988883</v>
      </c>
      <c r="J9" s="105">
        <f t="shared" ref="J9:J12" si="5">I9*H9</f>
        <v>467.3903675538462</v>
      </c>
    </row>
    <row r="10" spans="1:14">
      <c r="A10" s="16"/>
      <c r="B10" s="5" t="s">
        <v>47</v>
      </c>
      <c r="C10" s="94">
        <v>0.75</v>
      </c>
      <c r="D10" s="7">
        <v>7259.3486000000003</v>
      </c>
      <c r="E10" s="139">
        <f>E6</f>
        <v>182</v>
      </c>
      <c r="F10" s="5">
        <v>1979</v>
      </c>
      <c r="G10" s="6">
        <f t="shared" si="4"/>
        <v>1484.25</v>
      </c>
      <c r="H10" s="6">
        <f t="shared" ref="H10" si="6">G10/E10</f>
        <v>8.155219780219781</v>
      </c>
      <c r="I10" s="7">
        <f t="shared" si="2"/>
        <v>57.311805217988883</v>
      </c>
      <c r="J10" s="105">
        <f t="shared" si="5"/>
        <v>467.3903675538462</v>
      </c>
    </row>
    <row r="11" spans="1:14">
      <c r="A11" s="16"/>
      <c r="B11" s="5" t="s">
        <v>108</v>
      </c>
      <c r="C11" s="94">
        <v>0.75</v>
      </c>
      <c r="D11" s="7">
        <v>7259.3486000000003</v>
      </c>
      <c r="E11" s="139">
        <f>E6</f>
        <v>182</v>
      </c>
      <c r="F11" s="5">
        <v>1979</v>
      </c>
      <c r="G11" s="6">
        <f t="shared" ref="G11" si="7">C11*F11</f>
        <v>1484.25</v>
      </c>
      <c r="H11" s="6">
        <f t="shared" ref="H11" si="8">G11/E11</f>
        <v>8.155219780219781</v>
      </c>
      <c r="I11" s="7">
        <f t="shared" si="2"/>
        <v>57.311805217988883</v>
      </c>
      <c r="J11" s="105">
        <f t="shared" ref="J11" si="9">I11*H11</f>
        <v>467.3903675538462</v>
      </c>
    </row>
    <row r="12" spans="1:14">
      <c r="A12" s="16"/>
      <c r="B12" s="5"/>
      <c r="C12" s="94"/>
      <c r="D12" s="5"/>
      <c r="E12" s="139"/>
      <c r="F12" s="5"/>
      <c r="G12" s="6"/>
      <c r="H12" s="6"/>
      <c r="I12" s="7"/>
      <c r="J12" s="105">
        <f t="shared" si="5"/>
        <v>0</v>
      </c>
    </row>
    <row r="13" spans="1:14" ht="15.75" thickBot="1">
      <c r="A13" s="17"/>
      <c r="B13" s="18"/>
      <c r="C13" s="96">
        <f>SUM(C6:C12)</f>
        <v>8.625</v>
      </c>
      <c r="D13" s="18"/>
      <c r="E13" s="140"/>
      <c r="F13" s="18"/>
      <c r="G13" s="19"/>
      <c r="H13" s="19"/>
      <c r="I13" s="20"/>
      <c r="J13" s="109">
        <f>SUM(J6:J12)</f>
        <v>5374.9892268692302</v>
      </c>
    </row>
    <row r="14" spans="1:14" ht="15.75" thickBot="1">
      <c r="A14" s="58"/>
      <c r="B14" s="59"/>
      <c r="C14" s="59"/>
      <c r="D14" s="59"/>
      <c r="E14" s="141"/>
      <c r="F14" s="59"/>
      <c r="G14" s="62"/>
      <c r="H14" s="154" t="s">
        <v>60</v>
      </c>
      <c r="I14" s="155"/>
      <c r="J14" s="107">
        <f>J13-J15</f>
        <v>0</v>
      </c>
      <c r="K14" s="57">
        <f>J14*122</f>
        <v>0</v>
      </c>
      <c r="L14" s="57"/>
      <c r="M14" s="57">
        <f>L14-K14</f>
        <v>0</v>
      </c>
    </row>
    <row r="15" spans="1:14" ht="15.75" thickBot="1">
      <c r="A15" s="58"/>
      <c r="B15" s="59"/>
      <c r="C15" s="59"/>
      <c r="D15" s="80"/>
      <c r="E15" s="143"/>
      <c r="F15" s="59"/>
      <c r="G15" s="62"/>
      <c r="H15" s="154" t="s">
        <v>57</v>
      </c>
      <c r="I15" s="155"/>
      <c r="J15" s="107">
        <f>J6+J7+J8+J9+J10+J11</f>
        <v>5374.9892268692302</v>
      </c>
      <c r="K15" s="142">
        <f>J15*E6</f>
        <v>978248.03929019987</v>
      </c>
      <c r="L15" s="142">
        <f>(2389013+721482-644661.3-20213.6)*0.4</f>
        <v>978248.04</v>
      </c>
      <c r="M15" s="57">
        <f>L15-K15</f>
        <v>7.0980016607791185E-4</v>
      </c>
      <c r="N15" s="81">
        <f>L15/1.302/12/8.625</f>
        <v>7259.3486052672588</v>
      </c>
    </row>
    <row r="16" spans="1:14">
      <c r="A16" s="12" t="s">
        <v>69</v>
      </c>
      <c r="B16" s="13" t="s">
        <v>45</v>
      </c>
      <c r="C16" s="93">
        <v>4.5</v>
      </c>
      <c r="D16" s="7">
        <v>9327.7363000000005</v>
      </c>
      <c r="E16" s="139">
        <f>ком.усл!A16</f>
        <v>306</v>
      </c>
      <c r="F16" s="5">
        <v>1979</v>
      </c>
      <c r="G16" s="14">
        <f>C16*F16</f>
        <v>8905.5</v>
      </c>
      <c r="H16" s="14">
        <f>G16/E16</f>
        <v>29.102941176470587</v>
      </c>
      <c r="I16" s="7">
        <f>D16*12*1.302/1979</f>
        <v>73.641511850025267</v>
      </c>
      <c r="J16" s="104">
        <f>I16*H16</f>
        <v>2143.1845875176468</v>
      </c>
    </row>
    <row r="17" spans="1:14">
      <c r="A17" s="16"/>
      <c r="B17" s="5" t="s">
        <v>108</v>
      </c>
      <c r="C17" s="94">
        <v>3</v>
      </c>
      <c r="D17" s="7">
        <v>9327.7363000000005</v>
      </c>
      <c r="E17" s="139">
        <f>E16</f>
        <v>306</v>
      </c>
      <c r="F17" s="5">
        <v>1979</v>
      </c>
      <c r="G17" s="6">
        <f t="shared" ref="G17:G20" si="10">C17*F17</f>
        <v>5937</v>
      </c>
      <c r="H17" s="6">
        <f t="shared" ref="H17:H18" si="11">G17/E17</f>
        <v>19.401960784313726</v>
      </c>
      <c r="I17" s="7">
        <f t="shared" ref="I17:I20" si="12">D17*12*1.302/1979</f>
        <v>73.641511850025267</v>
      </c>
      <c r="J17" s="105">
        <f t="shared" ref="J17:J20" si="13">I17*H17</f>
        <v>1428.7897250117649</v>
      </c>
    </row>
    <row r="18" spans="1:14">
      <c r="A18" s="16"/>
      <c r="B18" s="5" t="s">
        <v>46</v>
      </c>
      <c r="C18" s="94">
        <v>6</v>
      </c>
      <c r="D18" s="7">
        <v>9327.7363000000005</v>
      </c>
      <c r="E18" s="139">
        <f>E16</f>
        <v>306</v>
      </c>
      <c r="F18" s="5">
        <v>1979</v>
      </c>
      <c r="G18" s="6">
        <f t="shared" si="10"/>
        <v>11874</v>
      </c>
      <c r="H18" s="6">
        <f t="shared" si="11"/>
        <v>38.803921568627452</v>
      </c>
      <c r="I18" s="7">
        <f t="shared" si="12"/>
        <v>73.641511850025267</v>
      </c>
      <c r="J18" s="105">
        <f t="shared" si="13"/>
        <v>2857.5794500235297</v>
      </c>
    </row>
    <row r="19" spans="1:14">
      <c r="A19" s="16"/>
      <c r="B19" s="5" t="s">
        <v>90</v>
      </c>
      <c r="C19" s="94">
        <v>1.5</v>
      </c>
      <c r="D19" s="7">
        <v>9327.7363000000005</v>
      </c>
      <c r="E19" s="139">
        <f>E16</f>
        <v>306</v>
      </c>
      <c r="F19" s="5">
        <v>1979</v>
      </c>
      <c r="G19" s="6">
        <f t="shared" si="10"/>
        <v>2968.5</v>
      </c>
      <c r="H19" s="6">
        <f>G19/E19</f>
        <v>9.7009803921568629</v>
      </c>
      <c r="I19" s="7">
        <f t="shared" si="12"/>
        <v>73.641511850025267</v>
      </c>
      <c r="J19" s="105">
        <f t="shared" si="13"/>
        <v>714.39486250588243</v>
      </c>
    </row>
    <row r="20" spans="1:14">
      <c r="A20" s="16"/>
      <c r="B20" s="5" t="s">
        <v>47</v>
      </c>
      <c r="C20" s="94">
        <v>1.5</v>
      </c>
      <c r="D20" s="7">
        <v>9327.7363000000005</v>
      </c>
      <c r="E20" s="139">
        <f>E16</f>
        <v>306</v>
      </c>
      <c r="F20" s="5">
        <v>1979</v>
      </c>
      <c r="G20" s="6">
        <f t="shared" si="10"/>
        <v>2968.5</v>
      </c>
      <c r="H20" s="6">
        <f t="shared" ref="H20" si="14">G20/E20</f>
        <v>9.7009803921568629</v>
      </c>
      <c r="I20" s="7">
        <f t="shared" si="12"/>
        <v>73.641511850025267</v>
      </c>
      <c r="J20" s="105">
        <f t="shared" si="13"/>
        <v>714.39486250588243</v>
      </c>
    </row>
    <row r="21" spans="1:14">
      <c r="A21" s="16"/>
      <c r="B21" s="5"/>
      <c r="C21" s="94"/>
      <c r="D21" s="5"/>
      <c r="E21" s="139">
        <f>E16</f>
        <v>306</v>
      </c>
      <c r="F21" s="5"/>
      <c r="G21" s="6"/>
      <c r="H21" s="6"/>
      <c r="I21" s="7"/>
      <c r="J21" s="105">
        <f t="shared" ref="J21" si="15">I21*H21</f>
        <v>0</v>
      </c>
    </row>
    <row r="22" spans="1:14" ht="15.75" thickBot="1">
      <c r="A22" s="17"/>
      <c r="B22" s="18"/>
      <c r="C22" s="96">
        <f>SUM(C16:C21)</f>
        <v>16.5</v>
      </c>
      <c r="D22" s="18"/>
      <c r="E22" s="140"/>
      <c r="F22" s="18"/>
      <c r="G22" s="19"/>
      <c r="H22" s="19"/>
      <c r="I22" s="20"/>
      <c r="J22" s="109">
        <f>SUM(J16:J21)</f>
        <v>7858.3434875647054</v>
      </c>
    </row>
    <row r="23" spans="1:14" ht="15.75" thickBot="1">
      <c r="A23" s="58"/>
      <c r="B23" s="59"/>
      <c r="C23" s="59"/>
      <c r="D23" s="59"/>
      <c r="E23" s="141"/>
      <c r="F23" s="59"/>
      <c r="G23" s="62"/>
      <c r="H23" s="154" t="s">
        <v>60</v>
      </c>
      <c r="I23" s="155"/>
      <c r="J23" s="107">
        <f>J22-J24</f>
        <v>0</v>
      </c>
      <c r="K23" s="57">
        <f>J23*122</f>
        <v>0</v>
      </c>
      <c r="L23" s="57"/>
      <c r="M23" s="57">
        <f>L23-K23</f>
        <v>0</v>
      </c>
    </row>
    <row r="24" spans="1:14" ht="15.75" thickBot="1">
      <c r="A24" s="58"/>
      <c r="B24" s="59"/>
      <c r="C24" s="59"/>
      <c r="D24" s="80"/>
      <c r="E24" s="143"/>
      <c r="F24" s="59"/>
      <c r="G24" s="62"/>
      <c r="H24" s="154" t="s">
        <v>57</v>
      </c>
      <c r="I24" s="155"/>
      <c r="J24" s="107">
        <f>J16+J17+J18+J19+J20</f>
        <v>7858.3434875647054</v>
      </c>
      <c r="K24" s="142">
        <f>J24*E16</f>
        <v>2404653.1071947999</v>
      </c>
      <c r="L24" s="142">
        <f>(5382343-38669.4)*0.45</f>
        <v>2404653.12</v>
      </c>
      <c r="M24" s="142">
        <f>L24-K24</f>
        <v>1.2805200181901455E-2</v>
      </c>
      <c r="N24" s="82">
        <f>L24/1.302/12/16.5</f>
        <v>9327.7363496718335</v>
      </c>
    </row>
    <row r="25" spans="1:14">
      <c r="A25" s="12" t="s">
        <v>70</v>
      </c>
      <c r="B25" s="13" t="s">
        <v>45</v>
      </c>
      <c r="C25" s="93">
        <f>3.5+4</f>
        <v>7.5</v>
      </c>
      <c r="D25" s="7">
        <v>8477.0766000000003</v>
      </c>
      <c r="E25" s="139">
        <f>ком.усл!A21</f>
        <v>252</v>
      </c>
      <c r="F25" s="5">
        <v>1979</v>
      </c>
      <c r="G25" s="14">
        <f>C25*F25</f>
        <v>14842.5</v>
      </c>
      <c r="H25" s="14">
        <f>G25/E25</f>
        <v>58.898809523809526</v>
      </c>
      <c r="I25" s="7">
        <f>D25*12*1.302/1979</f>
        <v>66.925641636382011</v>
      </c>
      <c r="J25" s="104">
        <f>I25*H25</f>
        <v>3941.8406190000001</v>
      </c>
    </row>
    <row r="26" spans="1:14">
      <c r="A26" s="16"/>
      <c r="B26" s="5" t="s">
        <v>108</v>
      </c>
      <c r="C26" s="94">
        <v>1.75</v>
      </c>
      <c r="D26" s="7">
        <v>8477.0766000000003</v>
      </c>
      <c r="E26" s="139">
        <f>E25</f>
        <v>252</v>
      </c>
      <c r="F26" s="5">
        <v>1979</v>
      </c>
      <c r="G26" s="6">
        <f t="shared" ref="G26:G30" si="16">C26*F26</f>
        <v>3463.25</v>
      </c>
      <c r="H26" s="6">
        <f t="shared" ref="H26:H27" si="17">G26/E26</f>
        <v>13.743055555555555</v>
      </c>
      <c r="I26" s="7">
        <f t="shared" ref="I26:I30" si="18">D26*12*1.302/1979</f>
        <v>66.925641636382011</v>
      </c>
      <c r="J26" s="105">
        <f t="shared" ref="J26:J29" si="19">I26*H26</f>
        <v>919.76281110000002</v>
      </c>
    </row>
    <row r="27" spans="1:14">
      <c r="A27" s="16"/>
      <c r="B27" s="5" t="s">
        <v>46</v>
      </c>
      <c r="C27" s="94">
        <v>9</v>
      </c>
      <c r="D27" s="7">
        <v>8477.0766000000003</v>
      </c>
      <c r="E27" s="139">
        <f>E25</f>
        <v>252</v>
      </c>
      <c r="F27" s="5">
        <v>1979</v>
      </c>
      <c r="G27" s="6">
        <f t="shared" si="16"/>
        <v>17811</v>
      </c>
      <c r="H27" s="6">
        <f t="shared" si="17"/>
        <v>70.678571428571431</v>
      </c>
      <c r="I27" s="7">
        <f t="shared" si="18"/>
        <v>66.925641636382011</v>
      </c>
      <c r="J27" s="105">
        <f t="shared" si="19"/>
        <v>4730.2087428000004</v>
      </c>
    </row>
    <row r="28" spans="1:14">
      <c r="A28" s="16"/>
      <c r="B28" s="5" t="s">
        <v>90</v>
      </c>
      <c r="C28" s="94">
        <v>1.5</v>
      </c>
      <c r="D28" s="7">
        <v>8477.0766000000003</v>
      </c>
      <c r="E28" s="139">
        <f>E25</f>
        <v>252</v>
      </c>
      <c r="F28" s="5">
        <v>1979</v>
      </c>
      <c r="G28" s="6">
        <f t="shared" si="16"/>
        <v>2968.5</v>
      </c>
      <c r="H28" s="6">
        <f>G28/E28</f>
        <v>11.779761904761905</v>
      </c>
      <c r="I28" s="7">
        <f t="shared" si="18"/>
        <v>66.925641636382011</v>
      </c>
      <c r="J28" s="105">
        <f t="shared" si="19"/>
        <v>788.36812380000003</v>
      </c>
    </row>
    <row r="29" spans="1:14">
      <c r="A29" s="16"/>
      <c r="B29" s="5" t="s">
        <v>47</v>
      </c>
      <c r="C29" s="94">
        <f>2.45+1.5</f>
        <v>3.95</v>
      </c>
      <c r="D29" s="7">
        <v>8477.0766000000003</v>
      </c>
      <c r="E29" s="139">
        <f>E25</f>
        <v>252</v>
      </c>
      <c r="F29" s="5">
        <v>1979</v>
      </c>
      <c r="G29" s="6">
        <f t="shared" si="16"/>
        <v>7817.05</v>
      </c>
      <c r="H29" s="6">
        <f t="shared" ref="H29:H30" si="20">G29/E29</f>
        <v>31.020039682539682</v>
      </c>
      <c r="I29" s="7">
        <f t="shared" si="18"/>
        <v>66.925641636382011</v>
      </c>
      <c r="J29" s="105">
        <f t="shared" si="19"/>
        <v>2076.0360593400001</v>
      </c>
    </row>
    <row r="30" spans="1:14">
      <c r="A30" s="16"/>
      <c r="B30" s="5" t="s">
        <v>117</v>
      </c>
      <c r="C30" s="94">
        <v>1</v>
      </c>
      <c r="D30" s="7">
        <v>8477.0766000000003</v>
      </c>
      <c r="E30" s="139">
        <f>E25</f>
        <v>252</v>
      </c>
      <c r="F30" s="5">
        <v>1979</v>
      </c>
      <c r="G30" s="6">
        <f t="shared" si="16"/>
        <v>1979</v>
      </c>
      <c r="H30" s="6">
        <f t="shared" si="20"/>
        <v>7.8531746031746028</v>
      </c>
      <c r="I30" s="7">
        <f t="shared" si="18"/>
        <v>66.925641636382011</v>
      </c>
      <c r="J30" s="105">
        <f t="shared" ref="J30" si="21">I30*H30</f>
        <v>525.57874919999995</v>
      </c>
    </row>
    <row r="31" spans="1:14" ht="15.75" thickBot="1">
      <c r="A31" s="17"/>
      <c r="B31" s="18"/>
      <c r="C31" s="97">
        <f>SUM(C25:C30)</f>
        <v>24.7</v>
      </c>
      <c r="D31" s="18"/>
      <c r="E31" s="140"/>
      <c r="F31" s="18"/>
      <c r="G31" s="19"/>
      <c r="H31" s="19"/>
      <c r="I31" s="20"/>
      <c r="J31" s="109">
        <f>SUM(J25:J30)</f>
        <v>12981.795105240002</v>
      </c>
    </row>
    <row r="32" spans="1:14" ht="15.75" thickBot="1">
      <c r="A32" s="58"/>
      <c r="B32" s="59"/>
      <c r="C32" s="59"/>
      <c r="D32" s="59"/>
      <c r="E32" s="141"/>
      <c r="F32" s="59"/>
      <c r="G32" s="62"/>
      <c r="H32" s="154" t="s">
        <v>60</v>
      </c>
      <c r="I32" s="155"/>
      <c r="J32" s="107">
        <f>J31-J33</f>
        <v>0</v>
      </c>
      <c r="K32" s="57">
        <f>J32*122</f>
        <v>0</v>
      </c>
      <c r="L32" s="57"/>
      <c r="M32" s="57">
        <f>L32-K32</f>
        <v>0</v>
      </c>
    </row>
    <row r="33" spans="1:14" ht="15.75" thickBot="1">
      <c r="A33" s="58"/>
      <c r="B33" s="59"/>
      <c r="C33" s="59"/>
      <c r="D33" s="80"/>
      <c r="E33" s="143"/>
      <c r="F33" s="59"/>
      <c r="G33" s="62"/>
      <c r="H33" s="154" t="s">
        <v>57</v>
      </c>
      <c r="I33" s="155"/>
      <c r="J33" s="107">
        <f>J25+J26+J27+J28+J29+J30</f>
        <v>12981.795105240002</v>
      </c>
      <c r="K33" s="142">
        <f>J33*E25</f>
        <v>3271412.3665204807</v>
      </c>
      <c r="L33" s="142">
        <f>(7492915-57886.9)*0.44</f>
        <v>3271412.3640000001</v>
      </c>
      <c r="M33" s="142">
        <f>L33-K33</f>
        <v>-2.5204806588590145E-3</v>
      </c>
      <c r="N33" s="82">
        <f>L33/1.302/12/24.7</f>
        <v>8477.0765934687843</v>
      </c>
    </row>
    <row r="34" spans="1:14">
      <c r="A34" s="12" t="s">
        <v>71</v>
      </c>
      <c r="B34" s="13" t="s">
        <v>45</v>
      </c>
      <c r="C34" s="93">
        <v>6.25</v>
      </c>
      <c r="D34" s="7">
        <v>8205.4112000000005</v>
      </c>
      <c r="E34" s="139">
        <f>ком.усл!A26</f>
        <v>407</v>
      </c>
      <c r="F34" s="5">
        <v>1979</v>
      </c>
      <c r="G34" s="14">
        <f>C34*F34</f>
        <v>12368.75</v>
      </c>
      <c r="H34" s="14">
        <f>G34/E34</f>
        <v>30.39004914004914</v>
      </c>
      <c r="I34" s="7">
        <f>D34*12*1.302/1979</f>
        <v>64.780871444567964</v>
      </c>
      <c r="J34" s="104">
        <f>I34*H34</f>
        <v>1968.6938665356265</v>
      </c>
    </row>
    <row r="35" spans="1:14">
      <c r="A35" s="16"/>
      <c r="B35" s="5" t="s">
        <v>108</v>
      </c>
      <c r="C35" s="94">
        <v>0.75</v>
      </c>
      <c r="D35" s="7">
        <v>8205.4112000000005</v>
      </c>
      <c r="E35" s="139">
        <f>E34</f>
        <v>407</v>
      </c>
      <c r="F35" s="5">
        <v>1979</v>
      </c>
      <c r="G35" s="6">
        <f t="shared" ref="G35:G39" si="22">C35*F35</f>
        <v>1484.25</v>
      </c>
      <c r="H35" s="6">
        <f t="shared" ref="H35:H36" si="23">G35/E35</f>
        <v>3.6468058968058967</v>
      </c>
      <c r="I35" s="7">
        <f t="shared" ref="I35:I39" si="24">D35*12*1.302/1979</f>
        <v>64.780871444567964</v>
      </c>
      <c r="J35" s="105">
        <f t="shared" ref="J35:J38" si="25">I35*H35</f>
        <v>236.24326398427519</v>
      </c>
    </row>
    <row r="36" spans="1:14">
      <c r="A36" s="16"/>
      <c r="B36" s="5" t="s">
        <v>46</v>
      </c>
      <c r="C36" s="94">
        <v>3</v>
      </c>
      <c r="D36" s="7">
        <v>8205.4112000000005</v>
      </c>
      <c r="E36" s="139">
        <f>E34</f>
        <v>407</v>
      </c>
      <c r="F36" s="5">
        <v>1979</v>
      </c>
      <c r="G36" s="6">
        <f t="shared" si="22"/>
        <v>5937</v>
      </c>
      <c r="H36" s="6">
        <f t="shared" si="23"/>
        <v>14.587223587223587</v>
      </c>
      <c r="I36" s="7">
        <f t="shared" si="24"/>
        <v>64.780871444567964</v>
      </c>
      <c r="J36" s="105">
        <f t="shared" si="25"/>
        <v>944.97305593710075</v>
      </c>
    </row>
    <row r="37" spans="1:14">
      <c r="A37" s="16"/>
      <c r="B37" s="5" t="s">
        <v>90</v>
      </c>
      <c r="C37" s="94">
        <v>1.5</v>
      </c>
      <c r="D37" s="7">
        <v>8205.4112000000005</v>
      </c>
      <c r="E37" s="139">
        <f>E34</f>
        <v>407</v>
      </c>
      <c r="F37" s="5">
        <v>1979</v>
      </c>
      <c r="G37" s="6">
        <f t="shared" si="22"/>
        <v>2968.5</v>
      </c>
      <c r="H37" s="6">
        <f>G37/E37</f>
        <v>7.2936117936117935</v>
      </c>
      <c r="I37" s="7">
        <f t="shared" si="24"/>
        <v>64.780871444567964</v>
      </c>
      <c r="J37" s="105">
        <f t="shared" si="25"/>
        <v>472.48652796855038</v>
      </c>
    </row>
    <row r="38" spans="1:14">
      <c r="A38" s="16"/>
      <c r="B38" s="5" t="s">
        <v>47</v>
      </c>
      <c r="C38" s="94">
        <v>3</v>
      </c>
      <c r="D38" s="7">
        <v>8205.4112000000005</v>
      </c>
      <c r="E38" s="139">
        <f>E34</f>
        <v>407</v>
      </c>
      <c r="F38" s="5">
        <v>1979</v>
      </c>
      <c r="G38" s="6">
        <f t="shared" si="22"/>
        <v>5937</v>
      </c>
      <c r="H38" s="6">
        <f t="shared" ref="H38:H39" si="26">G38/E38</f>
        <v>14.587223587223587</v>
      </c>
      <c r="I38" s="7">
        <f t="shared" si="24"/>
        <v>64.780871444567964</v>
      </c>
      <c r="J38" s="105">
        <f t="shared" si="25"/>
        <v>944.97305593710075</v>
      </c>
    </row>
    <row r="39" spans="1:14">
      <c r="A39" s="16"/>
      <c r="B39" s="5" t="s">
        <v>116</v>
      </c>
      <c r="C39" s="94">
        <v>0.125</v>
      </c>
      <c r="D39" s="7">
        <v>8205.4112000000005</v>
      </c>
      <c r="E39" s="139">
        <f>E34</f>
        <v>407</v>
      </c>
      <c r="F39" s="5">
        <v>1979</v>
      </c>
      <c r="G39" s="6">
        <f t="shared" si="22"/>
        <v>247.375</v>
      </c>
      <c r="H39" s="6">
        <f t="shared" si="26"/>
        <v>0.60780098280098283</v>
      </c>
      <c r="I39" s="7">
        <f t="shared" si="24"/>
        <v>64.780871444567964</v>
      </c>
      <c r="J39" s="105">
        <f t="shared" ref="J39" si="27">I39*H39</f>
        <v>39.373877330712531</v>
      </c>
    </row>
    <row r="40" spans="1:14" ht="15.75" thickBot="1">
      <c r="A40" s="17"/>
      <c r="B40" s="18"/>
      <c r="C40" s="96">
        <f>SUM(C34:C39)</f>
        <v>14.625</v>
      </c>
      <c r="D40" s="18"/>
      <c r="E40" s="139"/>
      <c r="F40" s="18"/>
      <c r="G40" s="19"/>
      <c r="H40" s="19"/>
      <c r="I40" s="20"/>
      <c r="J40" s="109">
        <f>SUM(J34:J39)</f>
        <v>4606.7436476933653</v>
      </c>
    </row>
    <row r="41" spans="1:14" ht="15.75" thickBot="1">
      <c r="A41" s="58"/>
      <c r="B41" s="59"/>
      <c r="C41" s="59"/>
      <c r="D41" s="59"/>
      <c r="E41" s="144"/>
      <c r="F41" s="59"/>
      <c r="G41" s="62"/>
      <c r="H41" s="154" t="s">
        <v>60</v>
      </c>
      <c r="I41" s="155"/>
      <c r="J41" s="107">
        <f>J40-J42</f>
        <v>0</v>
      </c>
      <c r="K41" s="57">
        <f>J41*122</f>
        <v>0</v>
      </c>
      <c r="L41" s="57"/>
      <c r="M41" s="57">
        <f>L41-K41</f>
        <v>0</v>
      </c>
    </row>
    <row r="42" spans="1:14" ht="15.75" thickBot="1">
      <c r="A42" s="58"/>
      <c r="B42" s="59"/>
      <c r="C42" s="59"/>
      <c r="D42" s="80"/>
      <c r="E42" s="143"/>
      <c r="F42" s="59"/>
      <c r="G42" s="62"/>
      <c r="H42" s="154" t="s">
        <v>57</v>
      </c>
      <c r="I42" s="155"/>
      <c r="J42" s="107">
        <f>J34+J35+J36+J37+J38+J39</f>
        <v>4606.7436476933653</v>
      </c>
      <c r="K42" s="142">
        <f>J42*E34</f>
        <v>1874944.6646111996</v>
      </c>
      <c r="L42" s="142">
        <f>(3760205+1135580-600271.9-34275.2)*0.44</f>
        <v>1874944.6759999997</v>
      </c>
      <c r="M42" s="142">
        <f>L42-K42</f>
        <v>1.1388800106942654E-2</v>
      </c>
      <c r="N42" s="82">
        <f>L42/1.302/12/14.625</f>
        <v>8205.411249841356</v>
      </c>
    </row>
    <row r="43" spans="1:14">
      <c r="A43" s="12" t="s">
        <v>72</v>
      </c>
      <c r="B43" s="13" t="s">
        <v>45</v>
      </c>
      <c r="C43" s="93">
        <v>9</v>
      </c>
      <c r="D43" s="7">
        <v>7895.7776000000003</v>
      </c>
      <c r="E43" s="139">
        <f>ком.усл!A31</f>
        <v>403</v>
      </c>
      <c r="F43" s="5">
        <v>1979</v>
      </c>
      <c r="G43" s="14">
        <f>C43*F43</f>
        <v>17811</v>
      </c>
      <c r="H43" s="14">
        <f>G43/E43</f>
        <v>44.196029776674941</v>
      </c>
      <c r="I43" s="7">
        <f>D43*12*1.302/1979</f>
        <v>62.336346246791315</v>
      </c>
      <c r="J43" s="104">
        <f>I43*H43</f>
        <v>2755.019014892308</v>
      </c>
    </row>
    <row r="44" spans="1:14">
      <c r="A44" s="16"/>
      <c r="B44" s="5" t="s">
        <v>108</v>
      </c>
      <c r="C44" s="94">
        <v>1</v>
      </c>
      <c r="D44" s="7">
        <v>7895.7776000000003</v>
      </c>
      <c r="E44" s="139">
        <f>E43</f>
        <v>403</v>
      </c>
      <c r="F44" s="5">
        <v>1979</v>
      </c>
      <c r="G44" s="6">
        <f t="shared" ref="G44:G47" si="28">C44*F44</f>
        <v>1979</v>
      </c>
      <c r="H44" s="6">
        <f t="shared" ref="H44:H45" si="29">G44/E44</f>
        <v>4.9106699751861038</v>
      </c>
      <c r="I44" s="7">
        <f t="shared" ref="I44:I47" si="30">D44*12*1.302/1979</f>
        <v>62.336346246791315</v>
      </c>
      <c r="J44" s="105">
        <f t="shared" ref="J44:J47" si="31">I44*H44</f>
        <v>306.11322387692309</v>
      </c>
    </row>
    <row r="45" spans="1:14">
      <c r="A45" s="16"/>
      <c r="B45" s="5" t="s">
        <v>46</v>
      </c>
      <c r="C45" s="94">
        <v>3</v>
      </c>
      <c r="D45" s="7">
        <v>7895.7776000000003</v>
      </c>
      <c r="E45" s="139">
        <f>E43</f>
        <v>403</v>
      </c>
      <c r="F45" s="5">
        <v>1979</v>
      </c>
      <c r="G45" s="6">
        <f t="shared" si="28"/>
        <v>5937</v>
      </c>
      <c r="H45" s="6">
        <f t="shared" si="29"/>
        <v>14.732009925558312</v>
      </c>
      <c r="I45" s="7">
        <f t="shared" si="30"/>
        <v>62.336346246791315</v>
      </c>
      <c r="J45" s="105">
        <f t="shared" si="31"/>
        <v>918.33967163076932</v>
      </c>
    </row>
    <row r="46" spans="1:14">
      <c r="A46" s="16"/>
      <c r="B46" s="5" t="s">
        <v>90</v>
      </c>
      <c r="C46" s="94">
        <v>1.5</v>
      </c>
      <c r="D46" s="7">
        <v>7895.7776000000003</v>
      </c>
      <c r="E46" s="139">
        <f>E43</f>
        <v>403</v>
      </c>
      <c r="F46" s="5">
        <v>1979</v>
      </c>
      <c r="G46" s="6">
        <f t="shared" si="28"/>
        <v>2968.5</v>
      </c>
      <c r="H46" s="6">
        <f>G46/E46</f>
        <v>7.3660049627791562</v>
      </c>
      <c r="I46" s="7">
        <f t="shared" si="30"/>
        <v>62.336346246791315</v>
      </c>
      <c r="J46" s="105">
        <f t="shared" si="31"/>
        <v>459.16983581538466</v>
      </c>
    </row>
    <row r="47" spans="1:14">
      <c r="A47" s="16"/>
      <c r="B47" s="5" t="s">
        <v>47</v>
      </c>
      <c r="C47" s="94">
        <v>1.5</v>
      </c>
      <c r="D47" s="7">
        <v>7895.7776000000003</v>
      </c>
      <c r="E47" s="139">
        <f>E43</f>
        <v>403</v>
      </c>
      <c r="F47" s="5">
        <v>1979</v>
      </c>
      <c r="G47" s="6">
        <f t="shared" si="28"/>
        <v>2968.5</v>
      </c>
      <c r="H47" s="6">
        <f t="shared" ref="H47" si="32">G47/E47</f>
        <v>7.3660049627791562</v>
      </c>
      <c r="I47" s="7">
        <f t="shared" si="30"/>
        <v>62.336346246791315</v>
      </c>
      <c r="J47" s="105">
        <f t="shared" si="31"/>
        <v>459.16983581538466</v>
      </c>
    </row>
    <row r="48" spans="1:14">
      <c r="A48" s="16"/>
      <c r="B48" s="5"/>
      <c r="C48" s="94"/>
      <c r="D48" s="5"/>
      <c r="E48" s="139">
        <f>E43</f>
        <v>403</v>
      </c>
      <c r="F48" s="5"/>
      <c r="G48" s="6"/>
      <c r="H48" s="6"/>
      <c r="I48" s="7"/>
      <c r="J48" s="105">
        <f t="shared" ref="J48" si="33">I48*H48</f>
        <v>0</v>
      </c>
    </row>
    <row r="49" spans="1:14" ht="15.75" thickBot="1">
      <c r="A49" s="17"/>
      <c r="B49" s="18"/>
      <c r="C49" s="98">
        <f>SUM(C43:C48)</f>
        <v>16</v>
      </c>
      <c r="D49" s="18"/>
      <c r="E49" s="140"/>
      <c r="F49" s="18"/>
      <c r="G49" s="19"/>
      <c r="H49" s="19"/>
      <c r="I49" s="20"/>
      <c r="J49" s="109">
        <f>SUM(J43:J48)</f>
        <v>4897.8115820307694</v>
      </c>
    </row>
    <row r="50" spans="1:14" ht="15.75" thickBot="1">
      <c r="A50" s="58"/>
      <c r="B50" s="59"/>
      <c r="C50" s="59"/>
      <c r="D50" s="59"/>
      <c r="E50" s="141"/>
      <c r="F50" s="59"/>
      <c r="G50" s="62"/>
      <c r="H50" s="154" t="s">
        <v>60</v>
      </c>
      <c r="I50" s="155"/>
      <c r="J50" s="107">
        <f>J49-J51</f>
        <v>0</v>
      </c>
      <c r="K50" s="57">
        <f>J50*122</f>
        <v>0</v>
      </c>
      <c r="L50" s="57"/>
      <c r="M50" s="57">
        <f>L50-K50</f>
        <v>0</v>
      </c>
    </row>
    <row r="51" spans="1:14" ht="15.75" thickBot="1">
      <c r="A51" s="58"/>
      <c r="B51" s="59"/>
      <c r="C51" s="59"/>
      <c r="D51" s="80"/>
      <c r="E51" s="143"/>
      <c r="F51" s="59"/>
      <c r="G51" s="62"/>
      <c r="H51" s="154" t="s">
        <v>57</v>
      </c>
      <c r="I51" s="155"/>
      <c r="J51" s="107">
        <f>J43+J44+J45+J46+J47</f>
        <v>4897.8115820307694</v>
      </c>
      <c r="K51" s="142">
        <f>J51*E43</f>
        <v>1973818.0675584001</v>
      </c>
      <c r="L51" s="142">
        <f>(3726335+1125353-37497.6)*0.41</f>
        <v>1973818.064</v>
      </c>
      <c r="M51" s="142">
        <f>L51-K51</f>
        <v>-3.5584000870585442E-3</v>
      </c>
      <c r="N51" s="82">
        <f>L51/1.302/12/16</f>
        <v>7895.7775857654888</v>
      </c>
    </row>
    <row r="52" spans="1:14">
      <c r="A52" s="12" t="s">
        <v>73</v>
      </c>
      <c r="B52" s="13" t="s">
        <v>45</v>
      </c>
      <c r="C52" s="93">
        <v>6.75</v>
      </c>
      <c r="D52" s="7">
        <v>7882.4385000000002</v>
      </c>
      <c r="E52" s="139">
        <f>ком.усл!A36</f>
        <v>267</v>
      </c>
      <c r="F52" s="5">
        <v>1979</v>
      </c>
      <c r="G52" s="14">
        <f>C52*F52</f>
        <v>13358.25</v>
      </c>
      <c r="H52" s="14">
        <f>G52/E52</f>
        <v>50.030898876404493</v>
      </c>
      <c r="I52" s="7">
        <f>D52*12*1.302/1979</f>
        <v>62.23103543405761</v>
      </c>
      <c r="J52" s="104">
        <f>I52*H52</f>
        <v>3113.4746407752809</v>
      </c>
    </row>
    <row r="53" spans="1:14">
      <c r="A53" s="16"/>
      <c r="B53" s="5" t="s">
        <v>116</v>
      </c>
      <c r="C53" s="94">
        <v>0.25</v>
      </c>
      <c r="D53" s="7">
        <v>7882.4385000000002</v>
      </c>
      <c r="E53" s="139">
        <f>E52</f>
        <v>267</v>
      </c>
      <c r="F53" s="5">
        <v>1979</v>
      </c>
      <c r="G53" s="6">
        <f t="shared" ref="G53:G57" si="34">C53*F53</f>
        <v>494.75</v>
      </c>
      <c r="H53" s="6">
        <f t="shared" ref="H53:H54" si="35">G53/E53</f>
        <v>1.8529962546816479</v>
      </c>
      <c r="I53" s="7">
        <f t="shared" ref="I53:I57" si="36">D53*12*1.302/1979</f>
        <v>62.23103543405761</v>
      </c>
      <c r="J53" s="105">
        <f t="shared" ref="J53:J56" si="37">I53*H53</f>
        <v>115.31387558426967</v>
      </c>
    </row>
    <row r="54" spans="1:14">
      <c r="A54" s="16"/>
      <c r="B54" s="5" t="s">
        <v>46</v>
      </c>
      <c r="C54" s="94">
        <v>3</v>
      </c>
      <c r="D54" s="7">
        <v>7882.4385000000002</v>
      </c>
      <c r="E54" s="139">
        <f>E52</f>
        <v>267</v>
      </c>
      <c r="F54" s="5">
        <v>1979</v>
      </c>
      <c r="G54" s="6">
        <f t="shared" si="34"/>
        <v>5937</v>
      </c>
      <c r="H54" s="6">
        <f t="shared" si="35"/>
        <v>22.235955056179776</v>
      </c>
      <c r="I54" s="7">
        <f t="shared" si="36"/>
        <v>62.23103543405761</v>
      </c>
      <c r="J54" s="105">
        <f t="shared" si="37"/>
        <v>1383.7665070112362</v>
      </c>
    </row>
    <row r="55" spans="1:14">
      <c r="A55" s="16"/>
      <c r="B55" s="5" t="s">
        <v>90</v>
      </c>
      <c r="C55" s="94">
        <v>0.75</v>
      </c>
      <c r="D55" s="7">
        <v>7882.4385000000002</v>
      </c>
      <c r="E55" s="139">
        <f>E52</f>
        <v>267</v>
      </c>
      <c r="F55" s="5">
        <v>1979</v>
      </c>
      <c r="G55" s="6">
        <f t="shared" si="34"/>
        <v>1484.25</v>
      </c>
      <c r="H55" s="6">
        <f>G55/E55</f>
        <v>5.558988764044944</v>
      </c>
      <c r="I55" s="7">
        <f t="shared" si="36"/>
        <v>62.23103543405761</v>
      </c>
      <c r="J55" s="105">
        <f t="shared" si="37"/>
        <v>345.94162675280904</v>
      </c>
    </row>
    <row r="56" spans="1:14">
      <c r="A56" s="16"/>
      <c r="B56" s="5" t="s">
        <v>47</v>
      </c>
      <c r="C56" s="94">
        <v>1.5</v>
      </c>
      <c r="D56" s="7">
        <v>7882.4385000000002</v>
      </c>
      <c r="E56" s="139">
        <f>E52</f>
        <v>267</v>
      </c>
      <c r="F56" s="5">
        <v>1979</v>
      </c>
      <c r="G56" s="6">
        <f t="shared" si="34"/>
        <v>2968.5</v>
      </c>
      <c r="H56" s="6">
        <f t="shared" ref="H56:H57" si="38">G56/E56</f>
        <v>11.117977528089888</v>
      </c>
      <c r="I56" s="7">
        <f t="shared" si="36"/>
        <v>62.23103543405761</v>
      </c>
      <c r="J56" s="105">
        <f t="shared" si="37"/>
        <v>691.88325350561809</v>
      </c>
    </row>
    <row r="57" spans="1:14">
      <c r="A57" s="16"/>
      <c r="B57" s="5" t="s">
        <v>108</v>
      </c>
      <c r="C57" s="94">
        <v>0.75</v>
      </c>
      <c r="D57" s="7">
        <v>7882.4385000000002</v>
      </c>
      <c r="E57" s="139">
        <f>E52</f>
        <v>267</v>
      </c>
      <c r="F57" s="5">
        <v>1979</v>
      </c>
      <c r="G57" s="6">
        <f t="shared" si="34"/>
        <v>1484.25</v>
      </c>
      <c r="H57" s="6">
        <f t="shared" si="38"/>
        <v>5.558988764044944</v>
      </c>
      <c r="I57" s="7">
        <f t="shared" si="36"/>
        <v>62.23103543405761</v>
      </c>
      <c r="J57" s="105">
        <f t="shared" ref="J57" si="39">I57*H57</f>
        <v>345.94162675280904</v>
      </c>
    </row>
    <row r="58" spans="1:14" ht="15.75" thickBot="1">
      <c r="A58" s="17"/>
      <c r="B58" s="18"/>
      <c r="C58" s="98">
        <f>SUM(C52:C57)</f>
        <v>13</v>
      </c>
      <c r="D58" s="18"/>
      <c r="E58" s="140"/>
      <c r="F58" s="18"/>
      <c r="G58" s="19"/>
      <c r="H58" s="19"/>
      <c r="I58" s="20"/>
      <c r="J58" s="109">
        <f>SUM(J52:J57)</f>
        <v>5996.3215303820234</v>
      </c>
    </row>
    <row r="59" spans="1:14" ht="15.75" thickBot="1">
      <c r="A59" s="58"/>
      <c r="B59" s="59"/>
      <c r="C59" s="59"/>
      <c r="D59" s="59"/>
      <c r="E59" s="141"/>
      <c r="F59" s="59"/>
      <c r="G59" s="62"/>
      <c r="H59" s="154" t="s">
        <v>60</v>
      </c>
      <c r="I59" s="155"/>
      <c r="J59" s="107">
        <f>J58-J60</f>
        <v>0</v>
      </c>
      <c r="K59" s="57">
        <f>J59*122</f>
        <v>0</v>
      </c>
      <c r="L59" s="57"/>
      <c r="M59" s="57">
        <f>L59-K59</f>
        <v>0</v>
      </c>
    </row>
    <row r="60" spans="1:14" ht="15.75" thickBot="1">
      <c r="A60" s="58"/>
      <c r="B60" s="59"/>
      <c r="C60" s="59"/>
      <c r="D60" s="80"/>
      <c r="E60" s="143"/>
      <c r="F60" s="59"/>
      <c r="G60" s="62"/>
      <c r="H60" s="154" t="s">
        <v>57</v>
      </c>
      <c r="I60" s="155"/>
      <c r="J60" s="107">
        <f>J52+J53+J54+J55+J56+J57</f>
        <v>5996.3215303820234</v>
      </c>
      <c r="K60" s="142">
        <f>J60*E52</f>
        <v>1601017.8486120002</v>
      </c>
      <c r="L60" s="142">
        <f>(4401868-648103.9-30466.8)*0.43</f>
        <v>1601017.8390000002</v>
      </c>
      <c r="M60" s="142">
        <f>L60-K60</f>
        <v>-9.6120000816881657E-3</v>
      </c>
      <c r="N60" s="82">
        <f>L60/1.302/12/13</f>
        <v>7882.4384526763561</v>
      </c>
    </row>
    <row r="61" spans="1:14">
      <c r="A61" s="12" t="s">
        <v>74</v>
      </c>
      <c r="B61" s="13" t="s">
        <v>45</v>
      </c>
      <c r="C61" s="93">
        <v>8.25</v>
      </c>
      <c r="D61" s="7">
        <v>7897.5783000000001</v>
      </c>
      <c r="E61" s="139">
        <f>ком.усл!A41</f>
        <v>412</v>
      </c>
      <c r="F61" s="5">
        <v>1979</v>
      </c>
      <c r="G61" s="14">
        <f>C61*F61</f>
        <v>16326.75</v>
      </c>
      <c r="H61" s="14">
        <f>G61/E61</f>
        <v>39.628033980582522</v>
      </c>
      <c r="I61" s="7">
        <f>D61*12*1.302/1979</f>
        <v>62.350562586760994</v>
      </c>
      <c r="J61" s="104">
        <f>I61*H61</f>
        <v>2470.830212896602</v>
      </c>
    </row>
    <row r="62" spans="1:14">
      <c r="A62" s="16"/>
      <c r="B62" s="5" t="s">
        <v>108</v>
      </c>
      <c r="C62" s="94">
        <v>2</v>
      </c>
      <c r="D62" s="7">
        <v>7897.5783000000001</v>
      </c>
      <c r="E62" s="139">
        <f>E61</f>
        <v>412</v>
      </c>
      <c r="F62" s="5">
        <v>1979</v>
      </c>
      <c r="G62" s="6">
        <f t="shared" ref="G62:G65" si="40">C62*F62</f>
        <v>3958</v>
      </c>
      <c r="H62" s="6">
        <f t="shared" ref="H62:H63" si="41">G62/E62</f>
        <v>9.6067961165048548</v>
      </c>
      <c r="I62" s="7">
        <f t="shared" ref="I62:I65" si="42">D62*12*1.302/1979</f>
        <v>62.350562586760994</v>
      </c>
      <c r="J62" s="105">
        <f t="shared" ref="J62:J65" si="43">I62*H62</f>
        <v>598.98914252038844</v>
      </c>
    </row>
    <row r="63" spans="1:14">
      <c r="A63" s="16"/>
      <c r="B63" s="5" t="s">
        <v>46</v>
      </c>
      <c r="C63" s="94">
        <v>6</v>
      </c>
      <c r="D63" s="7">
        <v>7897.5783000000001</v>
      </c>
      <c r="E63" s="139">
        <f>E61</f>
        <v>412</v>
      </c>
      <c r="F63" s="5">
        <v>1979</v>
      </c>
      <c r="G63" s="6">
        <f t="shared" si="40"/>
        <v>11874</v>
      </c>
      <c r="H63" s="6">
        <f t="shared" si="41"/>
        <v>28.820388349514563</v>
      </c>
      <c r="I63" s="7">
        <f t="shared" si="42"/>
        <v>62.350562586760994</v>
      </c>
      <c r="J63" s="105">
        <f t="shared" si="43"/>
        <v>1796.9674275611651</v>
      </c>
    </row>
    <row r="64" spans="1:14">
      <c r="A64" s="16"/>
      <c r="B64" s="5" t="s">
        <v>90</v>
      </c>
      <c r="C64" s="94">
        <v>2.75</v>
      </c>
      <c r="D64" s="7">
        <v>7897.5783000000001</v>
      </c>
      <c r="E64" s="139">
        <f>E61</f>
        <v>412</v>
      </c>
      <c r="F64" s="5">
        <v>1979</v>
      </c>
      <c r="G64" s="6">
        <f t="shared" si="40"/>
        <v>5442.25</v>
      </c>
      <c r="H64" s="6">
        <f>G64/E64</f>
        <v>13.209344660194175</v>
      </c>
      <c r="I64" s="7">
        <f t="shared" si="42"/>
        <v>62.350562586760994</v>
      </c>
      <c r="J64" s="105">
        <f t="shared" si="43"/>
        <v>823.61007096553396</v>
      </c>
    </row>
    <row r="65" spans="1:14">
      <c r="A65" s="16"/>
      <c r="B65" s="5" t="s">
        <v>47</v>
      </c>
      <c r="C65" s="94">
        <v>3.75</v>
      </c>
      <c r="D65" s="7">
        <v>7897.5783000000001</v>
      </c>
      <c r="E65" s="139">
        <f>E61</f>
        <v>412</v>
      </c>
      <c r="F65" s="5">
        <v>1979</v>
      </c>
      <c r="G65" s="6">
        <f t="shared" si="40"/>
        <v>7421.25</v>
      </c>
      <c r="H65" s="6">
        <f t="shared" ref="H65" si="44">G65/E65</f>
        <v>18.012742718446603</v>
      </c>
      <c r="I65" s="7">
        <f t="shared" si="42"/>
        <v>62.350562586760994</v>
      </c>
      <c r="J65" s="105">
        <f t="shared" si="43"/>
        <v>1123.1046422257282</v>
      </c>
    </row>
    <row r="66" spans="1:14">
      <c r="A66" s="16"/>
      <c r="B66" s="5"/>
      <c r="C66" s="94"/>
      <c r="D66" s="5"/>
      <c r="E66" s="139">
        <f>E61</f>
        <v>412</v>
      </c>
      <c r="F66" s="5"/>
      <c r="G66" s="6"/>
      <c r="H66" s="6"/>
      <c r="I66" s="7"/>
      <c r="J66" s="105">
        <f t="shared" ref="J66" si="45">I66*H66</f>
        <v>0</v>
      </c>
    </row>
    <row r="67" spans="1:14" ht="15.75" thickBot="1">
      <c r="A67" s="17"/>
      <c r="B67" s="18"/>
      <c r="C67" s="96">
        <f>SUM(C61:C66)</f>
        <v>22.75</v>
      </c>
      <c r="D67" s="18"/>
      <c r="E67" s="140"/>
      <c r="F67" s="18"/>
      <c r="G67" s="19"/>
      <c r="H67" s="19"/>
      <c r="I67" s="20"/>
      <c r="J67" s="109">
        <f>SUM(J61:J66)</f>
        <v>6813.5014961694178</v>
      </c>
    </row>
    <row r="68" spans="1:14" ht="15.75" thickBot="1">
      <c r="A68" s="58"/>
      <c r="B68" s="59"/>
      <c r="C68" s="59"/>
      <c r="D68" s="59"/>
      <c r="E68" s="141"/>
      <c r="F68" s="59"/>
      <c r="G68" s="62"/>
      <c r="H68" s="154" t="s">
        <v>60</v>
      </c>
      <c r="I68" s="155"/>
      <c r="J68" s="107">
        <f>J67-J69</f>
        <v>0</v>
      </c>
      <c r="K68" s="57">
        <f>J68*122</f>
        <v>0</v>
      </c>
      <c r="L68" s="57"/>
      <c r="M68" s="57">
        <f>L68-K68</f>
        <v>0</v>
      </c>
    </row>
    <row r="69" spans="1:14" ht="15.75" thickBot="1">
      <c r="A69" s="58"/>
      <c r="B69" s="59"/>
      <c r="C69" s="59"/>
      <c r="D69" s="80"/>
      <c r="E69" s="143"/>
      <c r="F69" s="59"/>
      <c r="G69" s="62"/>
      <c r="H69" s="154" t="s">
        <v>57</v>
      </c>
      <c r="I69" s="155"/>
      <c r="J69" s="107">
        <f>J61+J62+J63+J64+J65</f>
        <v>6813.5014961694178</v>
      </c>
      <c r="K69" s="142">
        <f>J69*E61</f>
        <v>2807162.6164218001</v>
      </c>
      <c r="L69" s="142">
        <f>(6900055-53316.9)*0.41</f>
        <v>2807162.6209999998</v>
      </c>
      <c r="M69" s="142">
        <f>L69-K69</f>
        <v>4.5781997032463551E-3</v>
      </c>
      <c r="N69" s="82">
        <f>L69/1.302/12/22.75</f>
        <v>7897.578312880155</v>
      </c>
    </row>
    <row r="70" spans="1:14">
      <c r="A70" s="12" t="s">
        <v>75</v>
      </c>
      <c r="B70" s="13" t="s">
        <v>45</v>
      </c>
      <c r="C70" s="93">
        <v>3</v>
      </c>
      <c r="D70" s="7">
        <v>9051.2549999999992</v>
      </c>
      <c r="E70" s="139">
        <f>ком.усл!A47</f>
        <v>137</v>
      </c>
      <c r="F70" s="5">
        <v>1979</v>
      </c>
      <c r="G70" s="14">
        <f>C70*F70</f>
        <v>5937</v>
      </c>
      <c r="H70" s="14">
        <f>G70/E70</f>
        <v>43.335766423357661</v>
      </c>
      <c r="I70" s="7">
        <f>D70*12*1.302/1979</f>
        <v>71.45872062657908</v>
      </c>
      <c r="J70" s="104">
        <f>I70*H70</f>
        <v>3096.7184259854012</v>
      </c>
    </row>
    <row r="71" spans="1:14">
      <c r="A71" s="16"/>
      <c r="B71" s="5" t="s">
        <v>108</v>
      </c>
      <c r="C71" s="94">
        <v>0.75</v>
      </c>
      <c r="D71" s="7">
        <v>9051.2549999999992</v>
      </c>
      <c r="E71" s="139">
        <f>E70</f>
        <v>137</v>
      </c>
      <c r="F71" s="5">
        <v>1979</v>
      </c>
      <c r="G71" s="6">
        <f t="shared" ref="G71:G74" si="46">C71*F71</f>
        <v>1484.25</v>
      </c>
      <c r="H71" s="6">
        <f t="shared" ref="H71:H72" si="47">G71/E71</f>
        <v>10.833941605839415</v>
      </c>
      <c r="I71" s="7">
        <f t="shared" ref="I71:I74" si="48">D71*12*1.302/1979</f>
        <v>71.45872062657908</v>
      </c>
      <c r="J71" s="105">
        <f t="shared" ref="J71:J74" si="49">I71*H71</f>
        <v>774.17960649635029</v>
      </c>
    </row>
    <row r="72" spans="1:14">
      <c r="A72" s="16"/>
      <c r="B72" s="5" t="s">
        <v>46</v>
      </c>
      <c r="C72" s="94">
        <v>3</v>
      </c>
      <c r="D72" s="7">
        <v>9051.2549999999992</v>
      </c>
      <c r="E72" s="139">
        <f>E70</f>
        <v>137</v>
      </c>
      <c r="F72" s="5">
        <v>1979</v>
      </c>
      <c r="G72" s="6">
        <f t="shared" si="46"/>
        <v>5937</v>
      </c>
      <c r="H72" s="6">
        <f t="shared" si="47"/>
        <v>43.335766423357661</v>
      </c>
      <c r="I72" s="7">
        <f t="shared" si="48"/>
        <v>71.45872062657908</v>
      </c>
      <c r="J72" s="105">
        <f t="shared" si="49"/>
        <v>3096.7184259854012</v>
      </c>
    </row>
    <row r="73" spans="1:14">
      <c r="A73" s="16"/>
      <c r="B73" s="5" t="s">
        <v>90</v>
      </c>
      <c r="C73" s="94">
        <v>0.75</v>
      </c>
      <c r="D73" s="7">
        <v>9051.2549999999992</v>
      </c>
      <c r="E73" s="139">
        <f>E70</f>
        <v>137</v>
      </c>
      <c r="F73" s="5">
        <v>1979</v>
      </c>
      <c r="G73" s="6">
        <f t="shared" si="46"/>
        <v>1484.25</v>
      </c>
      <c r="H73" s="6">
        <f>G73/E73</f>
        <v>10.833941605839415</v>
      </c>
      <c r="I73" s="7">
        <f t="shared" si="48"/>
        <v>71.45872062657908</v>
      </c>
      <c r="J73" s="105">
        <f t="shared" si="49"/>
        <v>774.17960649635029</v>
      </c>
    </row>
    <row r="74" spans="1:14">
      <c r="A74" s="16"/>
      <c r="B74" s="5" t="s">
        <v>47</v>
      </c>
      <c r="C74" s="94">
        <v>0.75</v>
      </c>
      <c r="D74" s="7">
        <v>9051.2549999999992</v>
      </c>
      <c r="E74" s="139">
        <f>E70</f>
        <v>137</v>
      </c>
      <c r="F74" s="5">
        <v>1979</v>
      </c>
      <c r="G74" s="6">
        <f t="shared" si="46"/>
        <v>1484.25</v>
      </c>
      <c r="H74" s="6">
        <f t="shared" ref="H74" si="50">G74/E74</f>
        <v>10.833941605839415</v>
      </c>
      <c r="I74" s="7">
        <f t="shared" si="48"/>
        <v>71.45872062657908</v>
      </c>
      <c r="J74" s="105">
        <f t="shared" si="49"/>
        <v>774.17960649635029</v>
      </c>
    </row>
    <row r="75" spans="1:14">
      <c r="A75" s="16"/>
      <c r="B75" s="5"/>
      <c r="C75" s="94"/>
      <c r="D75" s="5"/>
      <c r="E75" s="139">
        <f>E70</f>
        <v>137</v>
      </c>
      <c r="F75" s="5"/>
      <c r="G75" s="6"/>
      <c r="H75" s="6"/>
      <c r="I75" s="7"/>
      <c r="J75" s="105">
        <f t="shared" ref="J75" si="51">I75*H75</f>
        <v>0</v>
      </c>
    </row>
    <row r="76" spans="1:14" ht="15.75" thickBot="1">
      <c r="A76" s="17"/>
      <c r="B76" s="18"/>
      <c r="C76" s="98">
        <f>SUM(C70:C75)</f>
        <v>8.25</v>
      </c>
      <c r="D76" s="18"/>
      <c r="E76" s="140"/>
      <c r="F76" s="18"/>
      <c r="G76" s="19"/>
      <c r="H76" s="19"/>
      <c r="I76" s="20"/>
      <c r="J76" s="109">
        <f>SUM(J70:J75)</f>
        <v>8515.9756714598534</v>
      </c>
    </row>
    <row r="77" spans="1:14" ht="15.75" thickBot="1">
      <c r="A77" s="58"/>
      <c r="B77" s="59"/>
      <c r="C77" s="59"/>
      <c r="D77" s="59"/>
      <c r="E77" s="141"/>
      <c r="F77" s="59"/>
      <c r="G77" s="62"/>
      <c r="H77" s="154" t="s">
        <v>60</v>
      </c>
      <c r="I77" s="155"/>
      <c r="J77" s="107">
        <f>J76-J78</f>
        <v>0</v>
      </c>
      <c r="K77" s="57">
        <f>J77*122</f>
        <v>0</v>
      </c>
      <c r="L77" s="57"/>
      <c r="M77" s="57">
        <f>L77-K77</f>
        <v>0</v>
      </c>
    </row>
    <row r="78" spans="1:14" ht="15.75" thickBot="1">
      <c r="A78" s="58"/>
      <c r="B78" s="59"/>
      <c r="C78" s="59"/>
      <c r="D78" s="80"/>
      <c r="E78" s="143"/>
      <c r="F78" s="59"/>
      <c r="G78" s="62"/>
      <c r="H78" s="154" t="s">
        <v>57</v>
      </c>
      <c r="I78" s="155"/>
      <c r="J78" s="107">
        <f>J70+J71+J72+J73+J74</f>
        <v>8515.9756714598534</v>
      </c>
      <c r="K78" s="142">
        <f>J78*E70</f>
        <v>1166688.6669899998</v>
      </c>
      <c r="L78" s="142">
        <f>(2501651-19334.7)*0.47</f>
        <v>1166688.6609999998</v>
      </c>
      <c r="M78" s="142">
        <f>L78-K78</f>
        <v>-5.9899999760091305E-3</v>
      </c>
      <c r="N78" s="82">
        <f>L78/1.302/12/8.25</f>
        <v>9051.2549535291455</v>
      </c>
    </row>
    <row r="79" spans="1:14">
      <c r="A79" s="12" t="s">
        <v>76</v>
      </c>
      <c r="B79" s="13" t="s">
        <v>45</v>
      </c>
      <c r="C79" s="93">
        <v>3.75</v>
      </c>
      <c r="D79" s="7">
        <v>8858.6798999999992</v>
      </c>
      <c r="E79" s="139">
        <f>ком.усл!A52</f>
        <v>112</v>
      </c>
      <c r="F79" s="5">
        <v>1979</v>
      </c>
      <c r="G79" s="14">
        <f>C79*F79</f>
        <v>7421.25</v>
      </c>
      <c r="H79" s="14">
        <f>G79/E79</f>
        <v>66.261160714285708</v>
      </c>
      <c r="I79" s="7">
        <f>D79*12*1.302/1979</f>
        <v>69.93836016048509</v>
      </c>
      <c r="J79" s="104">
        <f>I79*H79</f>
        <v>4634.196922687499</v>
      </c>
    </row>
    <row r="80" spans="1:14">
      <c r="A80" s="16"/>
      <c r="B80" s="5" t="s">
        <v>109</v>
      </c>
      <c r="C80" s="94"/>
      <c r="D80" s="7">
        <v>8858.6798999999992</v>
      </c>
      <c r="E80" s="139">
        <f>E79</f>
        <v>112</v>
      </c>
      <c r="F80" s="5">
        <v>1979</v>
      </c>
      <c r="G80" s="6">
        <f t="shared" ref="G80:G83" si="52">C80*F80</f>
        <v>0</v>
      </c>
      <c r="H80" s="6">
        <f t="shared" ref="H80:H81" si="53">G80/E80</f>
        <v>0</v>
      </c>
      <c r="I80" s="7">
        <f t="shared" ref="I80:I83" si="54">D80*12*1.302/1979</f>
        <v>69.93836016048509</v>
      </c>
      <c r="J80" s="105">
        <f t="shared" ref="J80:J83" si="55">I80*H80</f>
        <v>0</v>
      </c>
    </row>
    <row r="81" spans="1:14">
      <c r="A81" s="16"/>
      <c r="B81" s="5" t="s">
        <v>46</v>
      </c>
      <c r="C81" s="94">
        <v>3</v>
      </c>
      <c r="D81" s="7">
        <v>8858.6798999999992</v>
      </c>
      <c r="E81" s="139">
        <f>E79</f>
        <v>112</v>
      </c>
      <c r="F81" s="5">
        <v>1979</v>
      </c>
      <c r="G81" s="6">
        <f t="shared" si="52"/>
        <v>5937</v>
      </c>
      <c r="H81" s="6">
        <f t="shared" si="53"/>
        <v>53.008928571428569</v>
      </c>
      <c r="I81" s="7">
        <f t="shared" si="54"/>
        <v>69.93836016048509</v>
      </c>
      <c r="J81" s="105">
        <f t="shared" si="55"/>
        <v>3707.3575381499995</v>
      </c>
    </row>
    <row r="82" spans="1:14">
      <c r="A82" s="16"/>
      <c r="B82" s="5" t="s">
        <v>90</v>
      </c>
      <c r="C82" s="94">
        <v>0.75</v>
      </c>
      <c r="D82" s="7">
        <v>8858.6798999999992</v>
      </c>
      <c r="E82" s="139">
        <f>E79</f>
        <v>112</v>
      </c>
      <c r="F82" s="5">
        <v>1979</v>
      </c>
      <c r="G82" s="6">
        <f t="shared" si="52"/>
        <v>1484.25</v>
      </c>
      <c r="H82" s="6">
        <f>G82/E82</f>
        <v>13.252232142857142</v>
      </c>
      <c r="I82" s="7">
        <f t="shared" si="54"/>
        <v>69.93836016048509</v>
      </c>
      <c r="J82" s="105">
        <f t="shared" si="55"/>
        <v>926.83938453749988</v>
      </c>
    </row>
    <row r="83" spans="1:14">
      <c r="A83" s="16"/>
      <c r="B83" s="5" t="s">
        <v>47</v>
      </c>
      <c r="C83" s="94">
        <v>1</v>
      </c>
      <c r="D83" s="7">
        <v>8858.6798999999992</v>
      </c>
      <c r="E83" s="139">
        <f>E79</f>
        <v>112</v>
      </c>
      <c r="F83" s="5">
        <v>1979</v>
      </c>
      <c r="G83" s="6">
        <f t="shared" si="52"/>
        <v>1979</v>
      </c>
      <c r="H83" s="6">
        <f t="shared" ref="H83" si="56">G83/E83</f>
        <v>17.669642857142858</v>
      </c>
      <c r="I83" s="7">
        <f t="shared" si="54"/>
        <v>69.93836016048509</v>
      </c>
      <c r="J83" s="105">
        <f t="shared" si="55"/>
        <v>1235.7858460499999</v>
      </c>
    </row>
    <row r="84" spans="1:14">
      <c r="A84" s="16"/>
      <c r="B84" s="5"/>
      <c r="C84" s="94"/>
      <c r="D84" s="5"/>
      <c r="E84" s="139">
        <f>E79</f>
        <v>112</v>
      </c>
      <c r="F84" s="5"/>
      <c r="G84" s="6"/>
      <c r="H84" s="6"/>
      <c r="I84" s="7"/>
      <c r="J84" s="105">
        <f t="shared" ref="J84" si="57">I84*H84</f>
        <v>0</v>
      </c>
    </row>
    <row r="85" spans="1:14" ht="15.75" thickBot="1">
      <c r="A85" s="17"/>
      <c r="B85" s="18"/>
      <c r="C85" s="96">
        <f>SUM(C79:C84)</f>
        <v>8.5</v>
      </c>
      <c r="D85" s="18"/>
      <c r="E85" s="18"/>
      <c r="F85" s="18"/>
      <c r="G85" s="19"/>
      <c r="H85" s="19"/>
      <c r="I85" s="20"/>
      <c r="J85" s="109">
        <f>SUM(J79:J84)</f>
        <v>10504.179691424997</v>
      </c>
    </row>
    <row r="86" spans="1:14" ht="15.75" thickBot="1">
      <c r="A86" s="58"/>
      <c r="B86" s="59"/>
      <c r="C86" s="59"/>
      <c r="D86" s="59"/>
      <c r="E86" s="59"/>
      <c r="F86" s="59"/>
      <c r="G86" s="62"/>
      <c r="H86" s="154" t="s">
        <v>60</v>
      </c>
      <c r="I86" s="155"/>
      <c r="J86" s="107">
        <f>J85-J87</f>
        <v>0</v>
      </c>
      <c r="K86" s="57">
        <f>J86*122</f>
        <v>0</v>
      </c>
      <c r="L86" s="57"/>
      <c r="M86" s="57">
        <f>L86-K86</f>
        <v>0</v>
      </c>
    </row>
    <row r="87" spans="1:14" ht="15.75" thickBot="1">
      <c r="A87" s="58"/>
      <c r="B87" s="59"/>
      <c r="C87" s="59"/>
      <c r="D87" s="59"/>
      <c r="E87" s="59"/>
      <c r="F87" s="59"/>
      <c r="G87" s="62"/>
      <c r="H87" s="154" t="s">
        <v>57</v>
      </c>
      <c r="I87" s="155"/>
      <c r="J87" s="107">
        <f>J79+J80+J81+J82+J83</f>
        <v>10504.179691424997</v>
      </c>
      <c r="K87" s="142">
        <f>J87*E79</f>
        <v>1176468.1254395996</v>
      </c>
      <c r="L87" s="142">
        <f>(2577460-19920.6)*0.46</f>
        <v>1176468.1240000001</v>
      </c>
      <c r="M87" s="142">
        <f>L87-K87</f>
        <v>-1.4395995531231165E-3</v>
      </c>
      <c r="N87" s="82">
        <f>L87/1.302/12/8.5</f>
        <v>8858.6798891599647</v>
      </c>
    </row>
    <row r="88" spans="1:14">
      <c r="J88" s="81"/>
    </row>
    <row r="89" spans="1:14" ht="18.75">
      <c r="A89" s="61" t="s">
        <v>78</v>
      </c>
      <c r="J89" s="81"/>
    </row>
    <row r="90" spans="1:14" ht="87" customHeight="1">
      <c r="A90" s="4" t="s">
        <v>2</v>
      </c>
      <c r="B90" s="79" t="s">
        <v>4</v>
      </c>
      <c r="C90" s="79" t="s">
        <v>0</v>
      </c>
      <c r="D90" s="79" t="s">
        <v>13</v>
      </c>
      <c r="E90" s="79" t="s">
        <v>3</v>
      </c>
      <c r="F90" s="79" t="s">
        <v>1</v>
      </c>
      <c r="G90" s="79" t="s">
        <v>5</v>
      </c>
      <c r="H90" s="79" t="s">
        <v>7</v>
      </c>
      <c r="I90" s="79" t="s">
        <v>9</v>
      </c>
      <c r="J90" s="83" t="s">
        <v>11</v>
      </c>
      <c r="K90" s="2" t="s">
        <v>33</v>
      </c>
      <c r="L90" s="2" t="s">
        <v>34</v>
      </c>
      <c r="M90" s="2"/>
    </row>
    <row r="91" spans="1:14" ht="15.75" thickBot="1">
      <c r="A91" s="9">
        <v>1</v>
      </c>
      <c r="B91" s="10">
        <v>2</v>
      </c>
      <c r="C91" s="10">
        <v>3</v>
      </c>
      <c r="D91" s="10">
        <v>4</v>
      </c>
      <c r="E91" s="10">
        <v>5</v>
      </c>
      <c r="F91" s="10">
        <v>6</v>
      </c>
      <c r="G91" s="10" t="s">
        <v>6</v>
      </c>
      <c r="H91" s="9" t="s">
        <v>8</v>
      </c>
      <c r="I91" s="10" t="s">
        <v>10</v>
      </c>
      <c r="J91" s="84" t="s">
        <v>12</v>
      </c>
    </row>
    <row r="92" spans="1:14">
      <c r="A92" s="12" t="s">
        <v>64</v>
      </c>
      <c r="B92" s="13" t="s">
        <v>45</v>
      </c>
      <c r="C92" s="93">
        <v>3.25</v>
      </c>
      <c r="D92" s="7">
        <v>8892.7019999999993</v>
      </c>
      <c r="E92" s="139">
        <f>ком.усл!A62</f>
        <v>221</v>
      </c>
      <c r="F92" s="5">
        <v>1979</v>
      </c>
      <c r="G92" s="14">
        <f>C92*F92</f>
        <v>6431.75</v>
      </c>
      <c r="H92" s="14">
        <f>G92/E92</f>
        <v>29.102941176470587</v>
      </c>
      <c r="I92" s="7">
        <f>D92*12*1.302/1979</f>
        <v>70.206961115715018</v>
      </c>
      <c r="J92" s="104">
        <f>I92*H92</f>
        <v>2043.2290595294119</v>
      </c>
    </row>
    <row r="93" spans="1:14">
      <c r="A93" s="16"/>
      <c r="B93" s="5" t="s">
        <v>116</v>
      </c>
      <c r="C93" s="94">
        <v>0.125</v>
      </c>
      <c r="D93" s="7">
        <v>8892.7019999999993</v>
      </c>
      <c r="E93" s="139">
        <f>E92</f>
        <v>221</v>
      </c>
      <c r="F93" s="5">
        <v>1979</v>
      </c>
      <c r="G93" s="6">
        <f t="shared" ref="G93:G96" si="58">C93*F93</f>
        <v>247.375</v>
      </c>
      <c r="H93" s="6">
        <f t="shared" ref="H93:H94" si="59">G93/E93</f>
        <v>1.119343891402715</v>
      </c>
      <c r="I93" s="7">
        <f t="shared" ref="I93:I96" si="60">D93*12*1.302/1979</f>
        <v>70.206961115715018</v>
      </c>
      <c r="J93" s="105">
        <f t="shared" ref="J93:J96" si="61">I93*H93</f>
        <v>78.585733058823536</v>
      </c>
    </row>
    <row r="94" spans="1:14">
      <c r="A94" s="16"/>
      <c r="B94" s="5" t="s">
        <v>46</v>
      </c>
      <c r="C94" s="95">
        <v>3</v>
      </c>
      <c r="D94" s="7">
        <v>8892.7019999999993</v>
      </c>
      <c r="E94" s="139">
        <f>E92</f>
        <v>221</v>
      </c>
      <c r="F94" s="5">
        <v>1979</v>
      </c>
      <c r="G94" s="6">
        <f t="shared" si="58"/>
        <v>5937</v>
      </c>
      <c r="H94" s="6">
        <f t="shared" si="59"/>
        <v>26.864253393665159</v>
      </c>
      <c r="I94" s="7">
        <f t="shared" si="60"/>
        <v>70.206961115715018</v>
      </c>
      <c r="J94" s="105">
        <f t="shared" si="61"/>
        <v>1886.0575934117651</v>
      </c>
    </row>
    <row r="95" spans="1:14">
      <c r="A95" s="16"/>
      <c r="B95" s="5" t="s">
        <v>90</v>
      </c>
      <c r="C95" s="94">
        <v>0.75</v>
      </c>
      <c r="D95" s="7">
        <v>8892.7019999999993</v>
      </c>
      <c r="E95" s="139">
        <f>E92</f>
        <v>221</v>
      </c>
      <c r="F95" s="5">
        <v>1979</v>
      </c>
      <c r="G95" s="6">
        <f t="shared" si="58"/>
        <v>1484.25</v>
      </c>
      <c r="H95" s="6">
        <f>G95/E95</f>
        <v>6.7160633484162897</v>
      </c>
      <c r="I95" s="7">
        <f t="shared" si="60"/>
        <v>70.206961115715018</v>
      </c>
      <c r="J95" s="105">
        <f t="shared" si="61"/>
        <v>471.51439835294127</v>
      </c>
    </row>
    <row r="96" spans="1:14">
      <c r="A96" s="16"/>
      <c r="B96" s="5" t="s">
        <v>47</v>
      </c>
      <c r="C96" s="94">
        <v>0.75</v>
      </c>
      <c r="D96" s="7">
        <v>8892.7019999999993</v>
      </c>
      <c r="E96" s="139">
        <f>E92</f>
        <v>221</v>
      </c>
      <c r="F96" s="5">
        <v>1979</v>
      </c>
      <c r="G96" s="6">
        <f t="shared" si="58"/>
        <v>1484.25</v>
      </c>
      <c r="H96" s="6">
        <f t="shared" ref="H96" si="62">G96/E96</f>
        <v>6.7160633484162897</v>
      </c>
      <c r="I96" s="7">
        <f t="shared" si="60"/>
        <v>70.206961115715018</v>
      </c>
      <c r="J96" s="105">
        <f t="shared" si="61"/>
        <v>471.51439835294127</v>
      </c>
    </row>
    <row r="97" spans="1:14">
      <c r="A97" s="16"/>
      <c r="B97" s="5" t="s">
        <v>108</v>
      </c>
      <c r="C97" s="94">
        <v>0.75</v>
      </c>
      <c r="D97" s="7">
        <v>8892.7019999999993</v>
      </c>
      <c r="E97" s="139">
        <f>E92</f>
        <v>221</v>
      </c>
      <c r="F97" s="5">
        <v>1979</v>
      </c>
      <c r="G97" s="6">
        <f t="shared" ref="G97" si="63">C97*F97</f>
        <v>1484.25</v>
      </c>
      <c r="H97" s="6">
        <f t="shared" ref="H97" si="64">G97/E97</f>
        <v>6.7160633484162897</v>
      </c>
      <c r="I97" s="7">
        <f t="shared" ref="I97" si="65">D97*12*1.302/1979</f>
        <v>70.206961115715018</v>
      </c>
      <c r="J97" s="105">
        <f t="shared" ref="J97" si="66">I97*H97</f>
        <v>471.51439835294127</v>
      </c>
    </row>
    <row r="98" spans="1:14">
      <c r="A98" s="16"/>
      <c r="B98" s="5"/>
      <c r="C98" s="94"/>
      <c r="D98" s="5"/>
      <c r="E98" s="139"/>
      <c r="F98" s="5"/>
      <c r="G98" s="6"/>
      <c r="H98" s="6"/>
      <c r="I98" s="7"/>
      <c r="J98" s="105">
        <f t="shared" ref="J98" si="67">I98*H98</f>
        <v>0</v>
      </c>
    </row>
    <row r="99" spans="1:14" ht="15.75" thickBot="1">
      <c r="A99" s="17"/>
      <c r="B99" s="18"/>
      <c r="C99" s="96">
        <f>SUM(C92:C98)</f>
        <v>8.625</v>
      </c>
      <c r="D99" s="18"/>
      <c r="E99" s="140"/>
      <c r="F99" s="18"/>
      <c r="G99" s="19"/>
      <c r="H99" s="19"/>
      <c r="I99" s="20"/>
      <c r="J99" s="109">
        <f>SUM(J92:J98)</f>
        <v>5422.4155810588245</v>
      </c>
    </row>
    <row r="100" spans="1:14" ht="15.75" thickBot="1">
      <c r="A100" s="58"/>
      <c r="B100" s="59"/>
      <c r="C100" s="59"/>
      <c r="D100" s="59"/>
      <c r="E100" s="141"/>
      <c r="F100" s="59"/>
      <c r="G100" s="62"/>
      <c r="H100" s="154" t="s">
        <v>60</v>
      </c>
      <c r="I100" s="155"/>
      <c r="J100" s="107">
        <f>J99-J101</f>
        <v>0</v>
      </c>
      <c r="K100" s="57">
        <f>J100*122</f>
        <v>0</v>
      </c>
      <c r="L100" s="57"/>
      <c r="M100" s="57">
        <f>L100-K100</f>
        <v>0</v>
      </c>
    </row>
    <row r="101" spans="1:14" ht="15.75" thickBot="1">
      <c r="A101" s="58"/>
      <c r="B101" s="59"/>
      <c r="C101" s="59"/>
      <c r="D101" s="80"/>
      <c r="E101" s="143"/>
      <c r="F101" s="59"/>
      <c r="G101" s="62"/>
      <c r="H101" s="154" t="s">
        <v>57</v>
      </c>
      <c r="I101" s="155"/>
      <c r="J101" s="107">
        <f>J92+J93+J94+J95+J96+J97</f>
        <v>5422.4155810588245</v>
      </c>
      <c r="K101" s="142">
        <f>J101*E92</f>
        <v>1198353.8434140002</v>
      </c>
      <c r="L101" s="142">
        <f>(2389013+721482-644661.3-20213.6)*0.49</f>
        <v>1198353.8489999999</v>
      </c>
      <c r="M101" s="57">
        <f>L101-K101</f>
        <v>5.5859996937215328E-3</v>
      </c>
      <c r="N101" s="81">
        <f>L101/1.302/12/8.625</f>
        <v>8892.7020414523904</v>
      </c>
    </row>
    <row r="102" spans="1:14">
      <c r="A102" s="12" t="s">
        <v>69</v>
      </c>
      <c r="B102" s="13" t="s">
        <v>45</v>
      </c>
      <c r="C102" s="93">
        <v>4.5</v>
      </c>
      <c r="D102" s="7">
        <v>10156.8685</v>
      </c>
      <c r="E102" s="139">
        <f>ком.усл!A67</f>
        <v>328</v>
      </c>
      <c r="F102" s="5">
        <v>1979</v>
      </c>
      <c r="G102" s="14">
        <f>C102*F102</f>
        <v>8905.5</v>
      </c>
      <c r="H102" s="14">
        <f>G102/E102</f>
        <v>27.150914634146343</v>
      </c>
      <c r="I102" s="7">
        <f>D102*12*1.302/1979</f>
        <v>80.187424681152095</v>
      </c>
      <c r="J102" s="104">
        <f>I102*H102</f>
        <v>2177.1619222499999</v>
      </c>
    </row>
    <row r="103" spans="1:14">
      <c r="A103" s="16"/>
      <c r="B103" s="5" t="s">
        <v>108</v>
      </c>
      <c r="C103" s="94">
        <v>3</v>
      </c>
      <c r="D103" s="7">
        <v>10156.8685</v>
      </c>
      <c r="E103" s="139">
        <f>E102</f>
        <v>328</v>
      </c>
      <c r="F103" s="5">
        <v>1979</v>
      </c>
      <c r="G103" s="6">
        <f t="shared" ref="G103:G106" si="68">C103*F103</f>
        <v>5937</v>
      </c>
      <c r="H103" s="6">
        <f t="shared" ref="H103:H104" si="69">G103/E103</f>
        <v>18.100609756097562</v>
      </c>
      <c r="I103" s="7">
        <f t="shared" ref="I103:I106" si="70">D103*12*1.302/1979</f>
        <v>80.187424681152095</v>
      </c>
      <c r="J103" s="105">
        <f t="shared" ref="J103:J106" si="71">I103*H103</f>
        <v>1451.4412815000001</v>
      </c>
    </row>
    <row r="104" spans="1:14">
      <c r="A104" s="16"/>
      <c r="B104" s="5" t="s">
        <v>46</v>
      </c>
      <c r="C104" s="94">
        <v>6</v>
      </c>
      <c r="D104" s="7">
        <v>10156.8685</v>
      </c>
      <c r="E104" s="139">
        <f>E102</f>
        <v>328</v>
      </c>
      <c r="F104" s="5">
        <v>1979</v>
      </c>
      <c r="G104" s="6">
        <f t="shared" si="68"/>
        <v>11874</v>
      </c>
      <c r="H104" s="6">
        <f t="shared" si="69"/>
        <v>36.201219512195124</v>
      </c>
      <c r="I104" s="7">
        <f t="shared" si="70"/>
        <v>80.187424681152095</v>
      </c>
      <c r="J104" s="105">
        <f t="shared" si="71"/>
        <v>2902.8825630000001</v>
      </c>
    </row>
    <row r="105" spans="1:14">
      <c r="A105" s="16"/>
      <c r="B105" s="5" t="s">
        <v>90</v>
      </c>
      <c r="C105" s="94">
        <v>1.5</v>
      </c>
      <c r="D105" s="7">
        <v>10156.8685</v>
      </c>
      <c r="E105" s="139">
        <f>E102</f>
        <v>328</v>
      </c>
      <c r="F105" s="5">
        <v>1979</v>
      </c>
      <c r="G105" s="6">
        <f t="shared" si="68"/>
        <v>2968.5</v>
      </c>
      <c r="H105" s="6">
        <f>G105/E105</f>
        <v>9.0503048780487809</v>
      </c>
      <c r="I105" s="7">
        <f t="shared" si="70"/>
        <v>80.187424681152095</v>
      </c>
      <c r="J105" s="105">
        <f t="shared" si="71"/>
        <v>725.72064075000003</v>
      </c>
    </row>
    <row r="106" spans="1:14">
      <c r="A106" s="16"/>
      <c r="B106" s="5" t="s">
        <v>47</v>
      </c>
      <c r="C106" s="94">
        <v>1.5</v>
      </c>
      <c r="D106" s="7">
        <v>10156.8685</v>
      </c>
      <c r="E106" s="139">
        <f>E102</f>
        <v>328</v>
      </c>
      <c r="F106" s="5">
        <v>1979</v>
      </c>
      <c r="G106" s="6">
        <f t="shared" si="68"/>
        <v>2968.5</v>
      </c>
      <c r="H106" s="6">
        <f t="shared" ref="H106" si="72">G106/E106</f>
        <v>9.0503048780487809</v>
      </c>
      <c r="I106" s="7">
        <f t="shared" si="70"/>
        <v>80.187424681152095</v>
      </c>
      <c r="J106" s="105">
        <f t="shared" si="71"/>
        <v>725.72064075000003</v>
      </c>
    </row>
    <row r="107" spans="1:14">
      <c r="A107" s="16"/>
      <c r="B107" s="5"/>
      <c r="C107" s="94"/>
      <c r="D107" s="5"/>
      <c r="E107" s="139">
        <f>E102</f>
        <v>328</v>
      </c>
      <c r="F107" s="5"/>
      <c r="G107" s="6"/>
      <c r="H107" s="6"/>
      <c r="I107" s="7"/>
      <c r="J107" s="105">
        <f t="shared" ref="J107" si="73">I107*H107</f>
        <v>0</v>
      </c>
    </row>
    <row r="108" spans="1:14" ht="15.75" thickBot="1">
      <c r="A108" s="17"/>
      <c r="B108" s="18"/>
      <c r="C108" s="96">
        <f>SUM(C102:C107)</f>
        <v>16.5</v>
      </c>
      <c r="D108" s="18"/>
      <c r="E108" s="140"/>
      <c r="F108" s="18"/>
      <c r="G108" s="19"/>
      <c r="H108" s="19"/>
      <c r="I108" s="20"/>
      <c r="J108" s="109">
        <f>SUM(J102:J107)</f>
        <v>7982.9270482499996</v>
      </c>
    </row>
    <row r="109" spans="1:14" ht="15.75" thickBot="1">
      <c r="A109" s="58"/>
      <c r="B109" s="59"/>
      <c r="C109" s="59"/>
      <c r="D109" s="59"/>
      <c r="E109" s="141"/>
      <c r="F109" s="59"/>
      <c r="G109" s="62"/>
      <c r="H109" s="154" t="s">
        <v>60</v>
      </c>
      <c r="I109" s="155"/>
      <c r="J109" s="107">
        <f>J108-J110</f>
        <v>0</v>
      </c>
      <c r="K109" s="57">
        <f>J109*122</f>
        <v>0</v>
      </c>
      <c r="L109" s="57"/>
      <c r="M109" s="57">
        <f>L109-K109</f>
        <v>0</v>
      </c>
    </row>
    <row r="110" spans="1:14" ht="15.75" thickBot="1">
      <c r="A110" s="58"/>
      <c r="B110" s="59"/>
      <c r="C110" s="59"/>
      <c r="D110" s="80"/>
      <c r="E110" s="141"/>
      <c r="F110" s="59"/>
      <c r="G110" s="62"/>
      <c r="H110" s="154" t="s">
        <v>57</v>
      </c>
      <c r="I110" s="155"/>
      <c r="J110" s="107">
        <f>J102+J103+J104+J105+J106</f>
        <v>7982.9270482499996</v>
      </c>
      <c r="K110" s="142">
        <f>J110*E102</f>
        <v>2618400.0718259998</v>
      </c>
      <c r="L110" s="142">
        <f>(5382343-38669.4)*0.49</f>
        <v>2618400.0639999998</v>
      </c>
      <c r="M110" s="142">
        <f>L110-K110</f>
        <v>-7.8259999863803387E-3</v>
      </c>
      <c r="N110" s="82">
        <f>L110/1.302/12/16.5</f>
        <v>10156.868469642663</v>
      </c>
    </row>
    <row r="111" spans="1:14">
      <c r="A111" s="12" t="s">
        <v>70</v>
      </c>
      <c r="B111" s="13" t="s">
        <v>45</v>
      </c>
      <c r="C111" s="93">
        <f>3.5+4</f>
        <v>7.5</v>
      </c>
      <c r="D111" s="7">
        <v>9440.3808000000008</v>
      </c>
      <c r="E111" s="139">
        <f>ком.усл!A72</f>
        <v>285</v>
      </c>
      <c r="F111" s="5">
        <v>1979</v>
      </c>
      <c r="G111" s="14">
        <f>C111*F111</f>
        <v>14842.5</v>
      </c>
      <c r="H111" s="14">
        <f>G111/E111</f>
        <v>52.078947368421055</v>
      </c>
      <c r="I111" s="7">
        <f>D111*12*1.302/1979</f>
        <v>74.530828508943927</v>
      </c>
      <c r="J111" s="104">
        <f>I111*H111</f>
        <v>3881.4870952421061</v>
      </c>
    </row>
    <row r="112" spans="1:14">
      <c r="A112" s="16"/>
      <c r="B112" s="5" t="s">
        <v>108</v>
      </c>
      <c r="C112" s="94">
        <v>1.75</v>
      </c>
      <c r="D112" s="7">
        <v>9440.3808000000008</v>
      </c>
      <c r="E112" s="139">
        <f>E111</f>
        <v>285</v>
      </c>
      <c r="F112" s="5">
        <v>1979</v>
      </c>
      <c r="G112" s="6">
        <f t="shared" ref="G112:G115" si="74">C112*F112</f>
        <v>3463.25</v>
      </c>
      <c r="H112" s="6">
        <f t="shared" ref="H112:H113" si="75">G112/E112</f>
        <v>12.151754385964912</v>
      </c>
      <c r="I112" s="7">
        <f t="shared" ref="I112:I115" si="76">D112*12*1.302/1979</f>
        <v>74.530828508943927</v>
      </c>
      <c r="J112" s="105">
        <f t="shared" ref="J112:J115" si="77">I112*H112</f>
        <v>905.6803222231581</v>
      </c>
    </row>
    <row r="113" spans="1:14">
      <c r="A113" s="16"/>
      <c r="B113" s="5" t="s">
        <v>46</v>
      </c>
      <c r="C113" s="94">
        <v>9</v>
      </c>
      <c r="D113" s="7">
        <v>9440.3808000000008</v>
      </c>
      <c r="E113" s="139">
        <f>E111</f>
        <v>285</v>
      </c>
      <c r="F113" s="5">
        <v>1979</v>
      </c>
      <c r="G113" s="6">
        <f t="shared" si="74"/>
        <v>17811</v>
      </c>
      <c r="H113" s="6">
        <f t="shared" si="75"/>
        <v>62.494736842105262</v>
      </c>
      <c r="I113" s="7">
        <f t="shared" si="76"/>
        <v>74.530828508943927</v>
      </c>
      <c r="J113" s="105">
        <f t="shared" si="77"/>
        <v>4657.7845142905271</v>
      </c>
    </row>
    <row r="114" spans="1:14">
      <c r="A114" s="16"/>
      <c r="B114" s="5" t="s">
        <v>90</v>
      </c>
      <c r="C114" s="94">
        <v>1.5</v>
      </c>
      <c r="D114" s="7">
        <v>9440.3808000000008</v>
      </c>
      <c r="E114" s="139">
        <f>E111</f>
        <v>285</v>
      </c>
      <c r="F114" s="5">
        <v>1979</v>
      </c>
      <c r="G114" s="6">
        <f t="shared" si="74"/>
        <v>2968.5</v>
      </c>
      <c r="H114" s="6">
        <f>G114/E114</f>
        <v>10.41578947368421</v>
      </c>
      <c r="I114" s="7">
        <f t="shared" si="76"/>
        <v>74.530828508943927</v>
      </c>
      <c r="J114" s="105">
        <f t="shared" si="77"/>
        <v>776.29741904842115</v>
      </c>
    </row>
    <row r="115" spans="1:14">
      <c r="A115" s="16"/>
      <c r="B115" s="5" t="s">
        <v>47</v>
      </c>
      <c r="C115" s="94">
        <f>2.45+1.5</f>
        <v>3.95</v>
      </c>
      <c r="D115" s="7">
        <v>9440.3808000000008</v>
      </c>
      <c r="E115" s="139">
        <f>E111</f>
        <v>285</v>
      </c>
      <c r="F115" s="5">
        <v>1979</v>
      </c>
      <c r="G115" s="6">
        <f t="shared" si="74"/>
        <v>7817.05</v>
      </c>
      <c r="H115" s="6">
        <f t="shared" ref="H115" si="78">G115/E115</f>
        <v>27.428245614035088</v>
      </c>
      <c r="I115" s="7">
        <f t="shared" si="76"/>
        <v>74.530828508943927</v>
      </c>
      <c r="J115" s="105">
        <f t="shared" si="77"/>
        <v>2044.2498701608426</v>
      </c>
    </row>
    <row r="116" spans="1:14">
      <c r="A116" s="16"/>
      <c r="B116" s="5" t="s">
        <v>120</v>
      </c>
      <c r="C116" s="94">
        <v>1</v>
      </c>
      <c r="D116" s="7">
        <v>9440.3808000000008</v>
      </c>
      <c r="E116" s="139">
        <f>E111</f>
        <v>285</v>
      </c>
      <c r="F116" s="5">
        <v>1979</v>
      </c>
      <c r="G116" s="6">
        <f t="shared" ref="G116" si="79">C116*F116</f>
        <v>1979</v>
      </c>
      <c r="H116" s="6">
        <f t="shared" ref="H116" si="80">G116/E116</f>
        <v>6.9438596491228068</v>
      </c>
      <c r="I116" s="7">
        <f t="shared" ref="I116" si="81">D116*12*1.302/1979</f>
        <v>74.530828508943927</v>
      </c>
      <c r="J116" s="105">
        <f t="shared" ref="J116" si="82">I116*H116</f>
        <v>517.53161269894747</v>
      </c>
    </row>
    <row r="117" spans="1:14" ht="15.75" thickBot="1">
      <c r="A117" s="17"/>
      <c r="B117" s="18"/>
      <c r="C117" s="97">
        <f>SUM(C111:C116)</f>
        <v>24.7</v>
      </c>
      <c r="D117" s="18"/>
      <c r="E117" s="140"/>
      <c r="F117" s="18"/>
      <c r="G117" s="19"/>
      <c r="H117" s="19"/>
      <c r="I117" s="20"/>
      <c r="J117" s="109">
        <f>SUM(J111:J116)</f>
        <v>12783.030833664003</v>
      </c>
    </row>
    <row r="118" spans="1:14" ht="15.75" thickBot="1">
      <c r="A118" s="58"/>
      <c r="B118" s="59"/>
      <c r="C118" s="59"/>
      <c r="D118" s="59"/>
      <c r="E118" s="141"/>
      <c r="F118" s="59"/>
      <c r="G118" s="62"/>
      <c r="H118" s="154" t="s">
        <v>60</v>
      </c>
      <c r="I118" s="155"/>
      <c r="J118" s="107">
        <f>J117-J119</f>
        <v>0</v>
      </c>
      <c r="K118" s="57">
        <f>J118*122</f>
        <v>0</v>
      </c>
      <c r="L118" s="57"/>
      <c r="M118" s="57">
        <f>L118-K118</f>
        <v>0</v>
      </c>
    </row>
    <row r="119" spans="1:14" ht="15.75" thickBot="1">
      <c r="A119" s="58"/>
      <c r="B119" s="59"/>
      <c r="C119" s="59"/>
      <c r="D119" s="80"/>
      <c r="E119" s="141"/>
      <c r="F119" s="59"/>
      <c r="G119" s="62"/>
      <c r="H119" s="154" t="s">
        <v>57</v>
      </c>
      <c r="I119" s="155"/>
      <c r="J119" s="107">
        <f>J111+J112+J113+J114+J115+J116</f>
        <v>12783.030833664003</v>
      </c>
      <c r="K119" s="142">
        <f>J119*E111</f>
        <v>3643163.7875942406</v>
      </c>
      <c r="L119" s="142">
        <f>(7492915-57886.9)*0.49</f>
        <v>3643163.7689999999</v>
      </c>
      <c r="M119" s="142">
        <f>L119-K119</f>
        <v>-1.8594240769743919E-2</v>
      </c>
      <c r="N119" s="82">
        <f>L119/1.302/12/24.7</f>
        <v>9440.380751817509</v>
      </c>
    </row>
    <row r="120" spans="1:14">
      <c r="A120" s="12" t="s">
        <v>71</v>
      </c>
      <c r="B120" s="13" t="s">
        <v>45</v>
      </c>
      <c r="C120" s="93">
        <v>6.25</v>
      </c>
      <c r="D120" s="7">
        <v>8391.8978999999999</v>
      </c>
      <c r="E120" s="139">
        <f>ком.усл!A77</f>
        <v>418</v>
      </c>
      <c r="F120" s="5">
        <v>1979</v>
      </c>
      <c r="G120" s="14">
        <f>C120*F120</f>
        <v>12368.75</v>
      </c>
      <c r="H120" s="14">
        <f>G120/E120</f>
        <v>29.590311004784688</v>
      </c>
      <c r="I120" s="7">
        <f>D120*12*1.302/1979</f>
        <v>66.253164623345128</v>
      </c>
      <c r="J120" s="104">
        <f>I120*H120</f>
        <v>1960.4517462559809</v>
      </c>
    </row>
    <row r="121" spans="1:14">
      <c r="A121" s="16"/>
      <c r="B121" s="5" t="s">
        <v>108</v>
      </c>
      <c r="C121" s="94">
        <v>0.75</v>
      </c>
      <c r="D121" s="7">
        <v>8391.8978999999999</v>
      </c>
      <c r="E121" s="139">
        <f>E120</f>
        <v>418</v>
      </c>
      <c r="F121" s="5">
        <v>1979</v>
      </c>
      <c r="G121" s="6">
        <f t="shared" ref="G121:G125" si="83">C121*F121</f>
        <v>1484.25</v>
      </c>
      <c r="H121" s="6">
        <f t="shared" ref="H121:H122" si="84">G121/E121</f>
        <v>3.5508373205741628</v>
      </c>
      <c r="I121" s="7">
        <f t="shared" ref="I121:I125" si="85">D121*12*1.302/1979</f>
        <v>66.253164623345128</v>
      </c>
      <c r="J121" s="105">
        <f t="shared" ref="J121:J124" si="86">I121*H121</f>
        <v>235.25420955071772</v>
      </c>
    </row>
    <row r="122" spans="1:14">
      <c r="A122" s="16"/>
      <c r="B122" s="5" t="s">
        <v>46</v>
      </c>
      <c r="C122" s="94">
        <v>3</v>
      </c>
      <c r="D122" s="7">
        <v>8391.8978999999999</v>
      </c>
      <c r="E122" s="139">
        <f>E120</f>
        <v>418</v>
      </c>
      <c r="F122" s="5">
        <v>1979</v>
      </c>
      <c r="G122" s="6">
        <f t="shared" si="83"/>
        <v>5937</v>
      </c>
      <c r="H122" s="6">
        <f t="shared" si="84"/>
        <v>14.203349282296651</v>
      </c>
      <c r="I122" s="7">
        <f t="shared" si="85"/>
        <v>66.253164623345128</v>
      </c>
      <c r="J122" s="105">
        <f t="shared" si="86"/>
        <v>941.01683820287087</v>
      </c>
    </row>
    <row r="123" spans="1:14">
      <c r="A123" s="16"/>
      <c r="B123" s="5" t="s">
        <v>90</v>
      </c>
      <c r="C123" s="94">
        <v>1.5</v>
      </c>
      <c r="D123" s="7">
        <v>8391.8978999999999</v>
      </c>
      <c r="E123" s="139">
        <f>E120</f>
        <v>418</v>
      </c>
      <c r="F123" s="5">
        <v>1979</v>
      </c>
      <c r="G123" s="6">
        <f t="shared" si="83"/>
        <v>2968.5</v>
      </c>
      <c r="H123" s="6">
        <f>G123/E123</f>
        <v>7.1016746411483256</v>
      </c>
      <c r="I123" s="7">
        <f t="shared" si="85"/>
        <v>66.253164623345128</v>
      </c>
      <c r="J123" s="105">
        <f t="shared" si="86"/>
        <v>470.50841910143544</v>
      </c>
    </row>
    <row r="124" spans="1:14">
      <c r="A124" s="16"/>
      <c r="B124" s="5" t="s">
        <v>47</v>
      </c>
      <c r="C124" s="94">
        <v>3</v>
      </c>
      <c r="D124" s="7">
        <v>8391.8978999999999</v>
      </c>
      <c r="E124" s="139">
        <f>E120</f>
        <v>418</v>
      </c>
      <c r="F124" s="5">
        <v>1979</v>
      </c>
      <c r="G124" s="6">
        <f t="shared" si="83"/>
        <v>5937</v>
      </c>
      <c r="H124" s="6">
        <f t="shared" ref="H124:H125" si="87">G124/E124</f>
        <v>14.203349282296651</v>
      </c>
      <c r="I124" s="7">
        <f t="shared" si="85"/>
        <v>66.253164623345128</v>
      </c>
      <c r="J124" s="105">
        <f t="shared" si="86"/>
        <v>941.01683820287087</v>
      </c>
    </row>
    <row r="125" spans="1:14">
      <c r="A125" s="16"/>
      <c r="B125" s="5" t="s">
        <v>116</v>
      </c>
      <c r="C125" s="94">
        <v>0.125</v>
      </c>
      <c r="D125" s="7">
        <v>8391.8978999999999</v>
      </c>
      <c r="E125" s="139">
        <f>E120</f>
        <v>418</v>
      </c>
      <c r="F125" s="5">
        <v>1979</v>
      </c>
      <c r="G125" s="6">
        <f t="shared" si="83"/>
        <v>247.375</v>
      </c>
      <c r="H125" s="6">
        <f t="shared" si="87"/>
        <v>0.59180622009569372</v>
      </c>
      <c r="I125" s="7">
        <f t="shared" si="85"/>
        <v>66.253164623345128</v>
      </c>
      <c r="J125" s="105">
        <f t="shared" ref="J125" si="88">I125*H125</f>
        <v>39.209034925119617</v>
      </c>
    </row>
    <row r="126" spans="1:14" ht="15.75" thickBot="1">
      <c r="A126" s="17"/>
      <c r="B126" s="18"/>
      <c r="C126" s="96">
        <f>SUM(C120:C125)</f>
        <v>14.625</v>
      </c>
      <c r="D126" s="18"/>
      <c r="E126" s="140"/>
      <c r="F126" s="18"/>
      <c r="G126" s="19"/>
      <c r="H126" s="19"/>
      <c r="I126" s="20"/>
      <c r="J126" s="109">
        <f>SUM(J120:J125)</f>
        <v>4587.4570862389946</v>
      </c>
    </row>
    <row r="127" spans="1:14" ht="15.75" thickBot="1">
      <c r="A127" s="58"/>
      <c r="B127" s="59"/>
      <c r="C127" s="59"/>
      <c r="D127" s="59"/>
      <c r="E127" s="141"/>
      <c r="F127" s="59"/>
      <c r="G127" s="62"/>
      <c r="H127" s="154" t="s">
        <v>60</v>
      </c>
      <c r="I127" s="155"/>
      <c r="J127" s="107">
        <f>J126-J128</f>
        <v>0</v>
      </c>
      <c r="K127" s="57">
        <f>J127*122</f>
        <v>0</v>
      </c>
      <c r="L127" s="57"/>
      <c r="M127" s="57">
        <f>L127-K127</f>
        <v>0</v>
      </c>
    </row>
    <row r="128" spans="1:14" ht="15.75" thickBot="1">
      <c r="A128" s="58"/>
      <c r="B128" s="59"/>
      <c r="C128" s="59"/>
      <c r="D128" s="80"/>
      <c r="E128" s="143"/>
      <c r="F128" s="59"/>
      <c r="G128" s="62"/>
      <c r="H128" s="154" t="s">
        <v>57</v>
      </c>
      <c r="I128" s="155"/>
      <c r="J128" s="107">
        <f>J120+J121+J122+J123+J124+J125</f>
        <v>4587.4570862389946</v>
      </c>
      <c r="K128" s="142">
        <f>J128*E120</f>
        <v>1917557.0620478997</v>
      </c>
      <c r="L128" s="142">
        <f>(3760205+1135580-600271.9-34275.2)*0.45</f>
        <v>1917557.0549999997</v>
      </c>
      <c r="M128" s="142">
        <f>L128-K128</f>
        <v>-7.0478999987244606E-3</v>
      </c>
      <c r="N128" s="82">
        <f>L128/1.302/12/14.625</f>
        <v>8391.8978691559314</v>
      </c>
    </row>
    <row r="129" spans="1:14">
      <c r="A129" s="12" t="s">
        <v>72</v>
      </c>
      <c r="B129" s="13" t="s">
        <v>45</v>
      </c>
      <c r="C129" s="93">
        <v>9</v>
      </c>
      <c r="D129" s="7">
        <v>9436.4171000000006</v>
      </c>
      <c r="E129" s="139">
        <f>ком.усл!A82</f>
        <v>481</v>
      </c>
      <c r="F129" s="5">
        <v>1979</v>
      </c>
      <c r="G129" s="14">
        <f>C129*F129</f>
        <v>17811</v>
      </c>
      <c r="H129" s="14">
        <f>G129/E129</f>
        <v>37.029106029106032</v>
      </c>
      <c r="I129" s="7">
        <f>D129*12*1.302/1979</f>
        <v>74.499535508034384</v>
      </c>
      <c r="J129" s="104">
        <f>I129*H129</f>
        <v>2758.6511994461548</v>
      </c>
    </row>
    <row r="130" spans="1:14">
      <c r="A130" s="16"/>
      <c r="B130" s="5" t="s">
        <v>108</v>
      </c>
      <c r="C130" s="94">
        <v>1</v>
      </c>
      <c r="D130" s="7">
        <v>9436.4171000000006</v>
      </c>
      <c r="E130" s="139">
        <f>E129</f>
        <v>481</v>
      </c>
      <c r="F130" s="5">
        <v>1979</v>
      </c>
      <c r="G130" s="6">
        <f t="shared" ref="G130:G133" si="89">C130*F130</f>
        <v>1979</v>
      </c>
      <c r="H130" s="6">
        <f t="shared" ref="H130:H131" si="90">G130/E130</f>
        <v>4.114345114345114</v>
      </c>
      <c r="I130" s="7">
        <f t="shared" ref="I130:I133" si="91">D130*12*1.302/1979</f>
        <v>74.499535508034384</v>
      </c>
      <c r="J130" s="105">
        <f t="shared" ref="J130:J133" si="92">I130*H130</f>
        <v>306.51679993846159</v>
      </c>
    </row>
    <row r="131" spans="1:14">
      <c r="A131" s="16"/>
      <c r="B131" s="5" t="s">
        <v>46</v>
      </c>
      <c r="C131" s="94">
        <v>3</v>
      </c>
      <c r="D131" s="7">
        <v>9436.4171000000006</v>
      </c>
      <c r="E131" s="139">
        <f>E129</f>
        <v>481</v>
      </c>
      <c r="F131" s="5">
        <v>1979</v>
      </c>
      <c r="G131" s="6">
        <f t="shared" si="89"/>
        <v>5937</v>
      </c>
      <c r="H131" s="6">
        <f t="shared" si="90"/>
        <v>12.343035343035343</v>
      </c>
      <c r="I131" s="7">
        <f t="shared" si="91"/>
        <v>74.499535508034384</v>
      </c>
      <c r="J131" s="105">
        <f t="shared" si="92"/>
        <v>919.55039981538494</v>
      </c>
    </row>
    <row r="132" spans="1:14">
      <c r="A132" s="16"/>
      <c r="B132" s="5" t="s">
        <v>90</v>
      </c>
      <c r="C132" s="94">
        <v>1.5</v>
      </c>
      <c r="D132" s="7">
        <v>9436.4171000000006</v>
      </c>
      <c r="E132" s="139">
        <f>E129</f>
        <v>481</v>
      </c>
      <c r="F132" s="5">
        <v>1979</v>
      </c>
      <c r="G132" s="6">
        <f t="shared" si="89"/>
        <v>2968.5</v>
      </c>
      <c r="H132" s="6">
        <f>G132/E132</f>
        <v>6.1715176715176714</v>
      </c>
      <c r="I132" s="7">
        <f t="shared" si="91"/>
        <v>74.499535508034384</v>
      </c>
      <c r="J132" s="105">
        <f t="shared" si="92"/>
        <v>459.77519990769247</v>
      </c>
    </row>
    <row r="133" spans="1:14">
      <c r="A133" s="16"/>
      <c r="B133" s="5" t="s">
        <v>47</v>
      </c>
      <c r="C133" s="94">
        <v>1.5</v>
      </c>
      <c r="D133" s="7">
        <v>9436.4171000000006</v>
      </c>
      <c r="E133" s="139">
        <f>E129</f>
        <v>481</v>
      </c>
      <c r="F133" s="5">
        <v>1979</v>
      </c>
      <c r="G133" s="6">
        <f t="shared" si="89"/>
        <v>2968.5</v>
      </c>
      <c r="H133" s="6">
        <f t="shared" ref="H133" si="93">G133/E133</f>
        <v>6.1715176715176714</v>
      </c>
      <c r="I133" s="7">
        <f t="shared" si="91"/>
        <v>74.499535508034384</v>
      </c>
      <c r="J133" s="105">
        <f t="shared" si="92"/>
        <v>459.77519990769247</v>
      </c>
    </row>
    <row r="134" spans="1:14">
      <c r="A134" s="16"/>
      <c r="B134" s="5"/>
      <c r="C134" s="94"/>
      <c r="D134" s="5"/>
      <c r="E134" s="139">
        <f>E129</f>
        <v>481</v>
      </c>
      <c r="F134" s="5"/>
      <c r="G134" s="6"/>
      <c r="H134" s="6"/>
      <c r="I134" s="7"/>
      <c r="J134" s="105">
        <f t="shared" ref="J134" si="94">I134*H134</f>
        <v>0</v>
      </c>
    </row>
    <row r="135" spans="1:14" ht="15.75" thickBot="1">
      <c r="A135" s="17"/>
      <c r="B135" s="18"/>
      <c r="C135" s="98">
        <f>SUM(C129:C134)</f>
        <v>16</v>
      </c>
      <c r="D135" s="18"/>
      <c r="E135" s="140"/>
      <c r="F135" s="18"/>
      <c r="G135" s="19"/>
      <c r="H135" s="19"/>
      <c r="I135" s="20"/>
      <c r="J135" s="109">
        <f>SUM(J129:J134)</f>
        <v>4904.2687990153863</v>
      </c>
    </row>
    <row r="136" spans="1:14" ht="15.75" thickBot="1">
      <c r="A136" s="58"/>
      <c r="B136" s="59"/>
      <c r="C136" s="59"/>
      <c r="D136" s="59"/>
      <c r="E136" s="141"/>
      <c r="F136" s="59"/>
      <c r="G136" s="62"/>
      <c r="H136" s="154" t="s">
        <v>60</v>
      </c>
      <c r="I136" s="155"/>
      <c r="J136" s="107">
        <f>J135-J137</f>
        <v>0</v>
      </c>
      <c r="K136" s="57">
        <f>J136*122</f>
        <v>0</v>
      </c>
      <c r="L136" s="57"/>
      <c r="M136" s="57">
        <f>L136-K136</f>
        <v>0</v>
      </c>
    </row>
    <row r="137" spans="1:14" ht="15.75" thickBot="1">
      <c r="A137" s="58"/>
      <c r="B137" s="59"/>
      <c r="C137" s="59"/>
      <c r="D137" s="80"/>
      <c r="E137" s="141"/>
      <c r="F137" s="59"/>
      <c r="G137" s="62"/>
      <c r="H137" s="154" t="s">
        <v>57</v>
      </c>
      <c r="I137" s="155"/>
      <c r="J137" s="107">
        <f>J129+J130+J131+J132+J133</f>
        <v>4904.2687990153863</v>
      </c>
      <c r="K137" s="142">
        <f>J137*E129</f>
        <v>2358953.292326401</v>
      </c>
      <c r="L137" s="142">
        <f>(3726335+1125353-37497.6)*0.49</f>
        <v>2358953.2960000001</v>
      </c>
      <c r="M137" s="142">
        <f>L137-K137</f>
        <v>3.6735991016030312E-3</v>
      </c>
      <c r="N137" s="82">
        <f>L137/1.302/12/16</f>
        <v>9436.4171146953395</v>
      </c>
    </row>
    <row r="138" spans="1:14">
      <c r="A138" s="12" t="s">
        <v>73</v>
      </c>
      <c r="B138" s="13" t="s">
        <v>45</v>
      </c>
      <c r="C138" s="93">
        <v>6.75</v>
      </c>
      <c r="D138" s="7">
        <v>8982.3135999999995</v>
      </c>
      <c r="E138" s="139">
        <f>ком.усл!A87</f>
        <v>302</v>
      </c>
      <c r="F138" s="5">
        <v>1979</v>
      </c>
      <c r="G138" s="14">
        <f>C138*F138</f>
        <v>13358.25</v>
      </c>
      <c r="H138" s="14">
        <f>G138/E138</f>
        <v>44.232615894039732</v>
      </c>
      <c r="I138" s="7">
        <f>D138*12*1.302/1979</f>
        <v>70.914435415058094</v>
      </c>
      <c r="J138" s="104">
        <f>I138*H138</f>
        <v>3136.7309830569525</v>
      </c>
    </row>
    <row r="139" spans="1:14">
      <c r="A139" s="16"/>
      <c r="B139" s="5" t="s">
        <v>116</v>
      </c>
      <c r="C139" s="94">
        <v>0.25</v>
      </c>
      <c r="D139" s="7">
        <v>8982.3135999999995</v>
      </c>
      <c r="E139" s="139">
        <f>E138</f>
        <v>302</v>
      </c>
      <c r="F139" s="5">
        <v>1979</v>
      </c>
      <c r="G139" s="6">
        <f t="shared" ref="G139:G143" si="95">C139*F139</f>
        <v>494.75</v>
      </c>
      <c r="H139" s="6">
        <f t="shared" ref="H139:H140" si="96">G139/E139</f>
        <v>1.6382450331125828</v>
      </c>
      <c r="I139" s="7">
        <f t="shared" ref="I139:I143" si="97">D139*12*1.302/1979</f>
        <v>70.914435415058094</v>
      </c>
      <c r="J139" s="105">
        <f t="shared" ref="J139:J142" si="98">I139*H139</f>
        <v>116.17522159470197</v>
      </c>
    </row>
    <row r="140" spans="1:14">
      <c r="A140" s="16"/>
      <c r="B140" s="5" t="s">
        <v>46</v>
      </c>
      <c r="C140" s="94">
        <v>3</v>
      </c>
      <c r="D140" s="7">
        <v>8982.3135999999995</v>
      </c>
      <c r="E140" s="139">
        <f>E138</f>
        <v>302</v>
      </c>
      <c r="F140" s="5">
        <v>1979</v>
      </c>
      <c r="G140" s="6">
        <f t="shared" si="95"/>
        <v>5937</v>
      </c>
      <c r="H140" s="6">
        <f t="shared" si="96"/>
        <v>19.658940397350992</v>
      </c>
      <c r="I140" s="7">
        <f t="shared" si="97"/>
        <v>70.914435415058094</v>
      </c>
      <c r="J140" s="105">
        <f t="shared" si="98"/>
        <v>1394.1026591364234</v>
      </c>
    </row>
    <row r="141" spans="1:14">
      <c r="A141" s="16"/>
      <c r="B141" s="5" t="s">
        <v>90</v>
      </c>
      <c r="C141" s="94">
        <v>0.75</v>
      </c>
      <c r="D141" s="7">
        <v>8982.3135999999995</v>
      </c>
      <c r="E141" s="139">
        <f>E138</f>
        <v>302</v>
      </c>
      <c r="F141" s="5">
        <v>1979</v>
      </c>
      <c r="G141" s="6">
        <f t="shared" si="95"/>
        <v>1484.25</v>
      </c>
      <c r="H141" s="6">
        <f>G141/E141</f>
        <v>4.9147350993377481</v>
      </c>
      <c r="I141" s="7">
        <f t="shared" si="97"/>
        <v>70.914435415058094</v>
      </c>
      <c r="J141" s="105">
        <f t="shared" si="98"/>
        <v>348.52566478410586</v>
      </c>
    </row>
    <row r="142" spans="1:14">
      <c r="A142" s="16"/>
      <c r="B142" s="5" t="s">
        <v>47</v>
      </c>
      <c r="C142" s="94">
        <v>1.5</v>
      </c>
      <c r="D142" s="7">
        <v>8982.3135999999995</v>
      </c>
      <c r="E142" s="139">
        <f>E138</f>
        <v>302</v>
      </c>
      <c r="F142" s="5">
        <v>1979</v>
      </c>
      <c r="G142" s="6">
        <f t="shared" si="95"/>
        <v>2968.5</v>
      </c>
      <c r="H142" s="6">
        <f t="shared" ref="H142:H143" si="99">G142/E142</f>
        <v>9.8294701986754962</v>
      </c>
      <c r="I142" s="7">
        <f t="shared" si="97"/>
        <v>70.914435415058094</v>
      </c>
      <c r="J142" s="105">
        <f t="shared" si="98"/>
        <v>697.05132956821171</v>
      </c>
    </row>
    <row r="143" spans="1:14">
      <c r="A143" s="16"/>
      <c r="B143" s="5" t="s">
        <v>108</v>
      </c>
      <c r="C143" s="94">
        <v>0.75</v>
      </c>
      <c r="D143" s="7">
        <v>8982.3135999999995</v>
      </c>
      <c r="E143" s="139">
        <f>E138</f>
        <v>302</v>
      </c>
      <c r="F143" s="5">
        <v>1979</v>
      </c>
      <c r="G143" s="6">
        <f t="shared" si="95"/>
        <v>1484.25</v>
      </c>
      <c r="H143" s="6">
        <f t="shared" si="99"/>
        <v>4.9147350993377481</v>
      </c>
      <c r="I143" s="7">
        <f t="shared" si="97"/>
        <v>70.914435415058094</v>
      </c>
      <c r="J143" s="105">
        <f t="shared" ref="J143" si="100">I143*H143</f>
        <v>348.52566478410586</v>
      </c>
    </row>
    <row r="144" spans="1:14" ht="15.75" thickBot="1">
      <c r="A144" s="17"/>
      <c r="B144" s="18"/>
      <c r="C144" s="98">
        <f>SUM(C138:C143)</f>
        <v>13</v>
      </c>
      <c r="D144" s="18"/>
      <c r="E144" s="140"/>
      <c r="F144" s="18"/>
      <c r="G144" s="19"/>
      <c r="H144" s="19"/>
      <c r="I144" s="20"/>
      <c r="J144" s="109">
        <f>SUM(J138:J143)</f>
        <v>6041.1115229245015</v>
      </c>
    </row>
    <row r="145" spans="1:14" ht="15.75" thickBot="1">
      <c r="A145" s="58"/>
      <c r="B145" s="59"/>
      <c r="C145" s="59"/>
      <c r="D145" s="59"/>
      <c r="E145" s="141"/>
      <c r="F145" s="59"/>
      <c r="G145" s="62"/>
      <c r="H145" s="154" t="s">
        <v>60</v>
      </c>
      <c r="I145" s="155"/>
      <c r="J145" s="107">
        <f>J144-J146</f>
        <v>0</v>
      </c>
      <c r="K145" s="57">
        <f>J145*122</f>
        <v>0</v>
      </c>
      <c r="L145" s="57"/>
      <c r="M145" s="57">
        <f>L145-K145</f>
        <v>0</v>
      </c>
    </row>
    <row r="146" spans="1:14" ht="15.75" thickBot="1">
      <c r="A146" s="58"/>
      <c r="B146" s="59"/>
      <c r="C146" s="59"/>
      <c r="D146" s="80"/>
      <c r="E146" s="143"/>
      <c r="F146" s="59"/>
      <c r="G146" s="62"/>
      <c r="H146" s="154" t="s">
        <v>57</v>
      </c>
      <c r="I146" s="155"/>
      <c r="J146" s="107">
        <f>J138+J139+J140+J141+J142+J143</f>
        <v>6041.1115229245015</v>
      </c>
      <c r="K146" s="142">
        <f>J146*E138</f>
        <v>1824415.6799231994</v>
      </c>
      <c r="L146" s="142">
        <f>(4401868-648103.9-30466.8)*0.49</f>
        <v>1824415.6770000001</v>
      </c>
      <c r="M146" s="142">
        <f>L146-K146</f>
        <v>-2.9231992084532976E-3</v>
      </c>
      <c r="N146" s="82">
        <f>L146/1.302/12/13</f>
        <v>8982.3135856079407</v>
      </c>
    </row>
    <row r="147" spans="1:14">
      <c r="A147" s="12" t="s">
        <v>74</v>
      </c>
      <c r="B147" s="13" t="s">
        <v>45</v>
      </c>
      <c r="C147" s="93">
        <v>8.25</v>
      </c>
      <c r="D147" s="7">
        <v>9053.3215</v>
      </c>
      <c r="E147" s="139">
        <f>ком.усл!A92</f>
        <v>464</v>
      </c>
      <c r="F147" s="5">
        <v>1979</v>
      </c>
      <c r="G147" s="14">
        <f>C147*F147</f>
        <v>16326.75</v>
      </c>
      <c r="H147" s="14">
        <f>G147/E147</f>
        <v>35.186961206896555</v>
      </c>
      <c r="I147" s="7">
        <f>D147*12*1.302/1979</f>
        <v>71.475035430015168</v>
      </c>
      <c r="J147" s="104">
        <f>I147*H147</f>
        <v>2514.9892989375007</v>
      </c>
    </row>
    <row r="148" spans="1:14">
      <c r="A148" s="16"/>
      <c r="B148" s="5" t="s">
        <v>108</v>
      </c>
      <c r="C148" s="94">
        <v>2</v>
      </c>
      <c r="D148" s="7">
        <v>9053.3215</v>
      </c>
      <c r="E148" s="139">
        <f>E147</f>
        <v>464</v>
      </c>
      <c r="F148" s="5">
        <v>1979</v>
      </c>
      <c r="G148" s="6">
        <f t="shared" ref="G148:G151" si="101">C148*F148</f>
        <v>3958</v>
      </c>
      <c r="H148" s="6">
        <f t="shared" ref="H148:H149" si="102">G148/E148</f>
        <v>8.5301724137931032</v>
      </c>
      <c r="I148" s="7">
        <f t="shared" ref="I148:I151" si="103">D148*12*1.302/1979</f>
        <v>71.475035430015168</v>
      </c>
      <c r="J148" s="105">
        <f t="shared" ref="J148:J151" si="104">I148*H148</f>
        <v>609.69437550000009</v>
      </c>
    </row>
    <row r="149" spans="1:14">
      <c r="A149" s="16"/>
      <c r="B149" s="5" t="s">
        <v>46</v>
      </c>
      <c r="C149" s="94">
        <v>6</v>
      </c>
      <c r="D149" s="7">
        <v>9053.3215</v>
      </c>
      <c r="E149" s="139">
        <f>E147</f>
        <v>464</v>
      </c>
      <c r="F149" s="5">
        <v>1979</v>
      </c>
      <c r="G149" s="6">
        <f t="shared" si="101"/>
        <v>11874</v>
      </c>
      <c r="H149" s="6">
        <f t="shared" si="102"/>
        <v>25.59051724137931</v>
      </c>
      <c r="I149" s="7">
        <f t="shared" si="103"/>
        <v>71.475035430015168</v>
      </c>
      <c r="J149" s="105">
        <f t="shared" si="104"/>
        <v>1829.0831265000002</v>
      </c>
    </row>
    <row r="150" spans="1:14">
      <c r="A150" s="16"/>
      <c r="B150" s="5" t="s">
        <v>90</v>
      </c>
      <c r="C150" s="94">
        <v>2.75</v>
      </c>
      <c r="D150" s="7">
        <v>9053.3215</v>
      </c>
      <c r="E150" s="139">
        <f>E147</f>
        <v>464</v>
      </c>
      <c r="F150" s="5">
        <v>1979</v>
      </c>
      <c r="G150" s="6">
        <f t="shared" si="101"/>
        <v>5442.25</v>
      </c>
      <c r="H150" s="6">
        <f>G150/E150</f>
        <v>11.728987068965518</v>
      </c>
      <c r="I150" s="7">
        <f t="shared" si="103"/>
        <v>71.475035430015168</v>
      </c>
      <c r="J150" s="105">
        <f t="shared" si="104"/>
        <v>838.32976631250017</v>
      </c>
    </row>
    <row r="151" spans="1:14">
      <c r="A151" s="16"/>
      <c r="B151" s="5" t="s">
        <v>47</v>
      </c>
      <c r="C151" s="94">
        <v>3.75</v>
      </c>
      <c r="D151" s="7">
        <v>9053.3215</v>
      </c>
      <c r="E151" s="139">
        <f>E147</f>
        <v>464</v>
      </c>
      <c r="F151" s="5">
        <v>1979</v>
      </c>
      <c r="G151" s="6">
        <f t="shared" si="101"/>
        <v>7421.25</v>
      </c>
      <c r="H151" s="6">
        <f t="shared" ref="H151" si="105">G151/E151</f>
        <v>15.994073275862069</v>
      </c>
      <c r="I151" s="7">
        <f t="shared" si="103"/>
        <v>71.475035430015168</v>
      </c>
      <c r="J151" s="105">
        <f t="shared" si="104"/>
        <v>1143.1769540625003</v>
      </c>
    </row>
    <row r="152" spans="1:14">
      <c r="A152" s="16"/>
      <c r="B152" s="5"/>
      <c r="C152" s="94"/>
      <c r="D152" s="5"/>
      <c r="E152" s="139">
        <f>E147</f>
        <v>464</v>
      </c>
      <c r="F152" s="5"/>
      <c r="G152" s="6"/>
      <c r="H152" s="6"/>
      <c r="I152" s="7"/>
      <c r="J152" s="105">
        <f t="shared" ref="J152" si="106">I152*H152</f>
        <v>0</v>
      </c>
    </row>
    <row r="153" spans="1:14" ht="15.75" thickBot="1">
      <c r="A153" s="17"/>
      <c r="B153" s="18"/>
      <c r="C153" s="96">
        <f>SUM(C147:C152)</f>
        <v>22.75</v>
      </c>
      <c r="D153" s="18"/>
      <c r="E153" s="140"/>
      <c r="F153" s="18"/>
      <c r="G153" s="19"/>
      <c r="H153" s="19"/>
      <c r="I153" s="20"/>
      <c r="J153" s="109">
        <f>SUM(J147:J152)</f>
        <v>6935.2735213125015</v>
      </c>
    </row>
    <row r="154" spans="1:14" ht="15.75" thickBot="1">
      <c r="A154" s="58"/>
      <c r="B154" s="59"/>
      <c r="C154" s="59"/>
      <c r="D154" s="59"/>
      <c r="E154" s="141"/>
      <c r="F154" s="59"/>
      <c r="G154" s="62"/>
      <c r="H154" s="154" t="s">
        <v>60</v>
      </c>
      <c r="I154" s="155"/>
      <c r="J154" s="107">
        <f>J153-J155</f>
        <v>0</v>
      </c>
      <c r="K154" s="57">
        <f>J154*122</f>
        <v>0</v>
      </c>
      <c r="L154" s="57"/>
      <c r="M154" s="57">
        <f>L154-K154</f>
        <v>0</v>
      </c>
    </row>
    <row r="155" spans="1:14" ht="15.75" thickBot="1">
      <c r="A155" s="58"/>
      <c r="B155" s="59"/>
      <c r="C155" s="59"/>
      <c r="D155" s="80"/>
      <c r="E155" s="143"/>
      <c r="F155" s="59"/>
      <c r="G155" s="62"/>
      <c r="H155" s="154" t="s">
        <v>57</v>
      </c>
      <c r="I155" s="155"/>
      <c r="J155" s="107">
        <f>J147+J148+J149+J150+J151</f>
        <v>6935.2735213125015</v>
      </c>
      <c r="K155" s="142">
        <f>J155*E147</f>
        <v>3217966.9138890007</v>
      </c>
      <c r="L155" s="142">
        <f>(6900055-53316.9)*0.47</f>
        <v>3217966.9069999997</v>
      </c>
      <c r="M155" s="142">
        <f>L155-K155</f>
        <v>-6.8890010006725788E-3</v>
      </c>
      <c r="N155" s="82">
        <f>L155/1.302/12/22.75</f>
        <v>9053.3214806187152</v>
      </c>
    </row>
    <row r="156" spans="1:14">
      <c r="A156" s="12" t="s">
        <v>75</v>
      </c>
      <c r="B156" s="13" t="s">
        <v>45</v>
      </c>
      <c r="C156" s="93">
        <v>3</v>
      </c>
      <c r="D156" s="7">
        <v>7895.7755999999999</v>
      </c>
      <c r="E156" s="139">
        <f>ком.усл!A98</f>
        <v>118</v>
      </c>
      <c r="F156" s="5">
        <v>1979</v>
      </c>
      <c r="G156" s="14">
        <f>C156*F156</f>
        <v>5937</v>
      </c>
      <c r="H156" s="14">
        <f>G156/E156</f>
        <v>50.313559322033896</v>
      </c>
      <c r="I156" s="7">
        <f>D156*12*1.302/1979</f>
        <v>62.336330456998482</v>
      </c>
      <c r="J156" s="104">
        <f>I156*H156</f>
        <v>3136.3626603661014</v>
      </c>
    </row>
    <row r="157" spans="1:14">
      <c r="A157" s="16"/>
      <c r="B157" s="5" t="s">
        <v>108</v>
      </c>
      <c r="C157" s="94">
        <v>0.75</v>
      </c>
      <c r="D157" s="7">
        <v>7895.7755999999999</v>
      </c>
      <c r="E157" s="139">
        <f>E156</f>
        <v>118</v>
      </c>
      <c r="F157" s="5">
        <v>1979</v>
      </c>
      <c r="G157" s="6">
        <f t="shared" ref="G157:G160" si="107">C157*F157</f>
        <v>1484.25</v>
      </c>
      <c r="H157" s="6">
        <f t="shared" ref="H157:H158" si="108">G157/E157</f>
        <v>12.578389830508474</v>
      </c>
      <c r="I157" s="7">
        <f t="shared" ref="I157:I160" si="109">D157*12*1.302/1979</f>
        <v>62.336330456998482</v>
      </c>
      <c r="J157" s="105">
        <f t="shared" ref="J157:J160" si="110">I157*H157</f>
        <v>784.09066509152535</v>
      </c>
    </row>
    <row r="158" spans="1:14">
      <c r="A158" s="16"/>
      <c r="B158" s="5" t="s">
        <v>46</v>
      </c>
      <c r="C158" s="94">
        <v>3</v>
      </c>
      <c r="D158" s="7">
        <v>7895.7755999999999</v>
      </c>
      <c r="E158" s="139">
        <f>E156</f>
        <v>118</v>
      </c>
      <c r="F158" s="5">
        <v>1979</v>
      </c>
      <c r="G158" s="6">
        <f t="shared" si="107"/>
        <v>5937</v>
      </c>
      <c r="H158" s="6">
        <f t="shared" si="108"/>
        <v>50.313559322033896</v>
      </c>
      <c r="I158" s="7">
        <f t="shared" si="109"/>
        <v>62.336330456998482</v>
      </c>
      <c r="J158" s="105">
        <f t="shared" si="110"/>
        <v>3136.3626603661014</v>
      </c>
    </row>
    <row r="159" spans="1:14">
      <c r="A159" s="16"/>
      <c r="B159" s="5" t="s">
        <v>90</v>
      </c>
      <c r="C159" s="94">
        <v>0.75</v>
      </c>
      <c r="D159" s="7">
        <v>7895.7755999999999</v>
      </c>
      <c r="E159" s="139">
        <f>E156</f>
        <v>118</v>
      </c>
      <c r="F159" s="5">
        <v>1979</v>
      </c>
      <c r="G159" s="6">
        <f t="shared" si="107"/>
        <v>1484.25</v>
      </c>
      <c r="H159" s="6">
        <f>G159/E159</f>
        <v>12.578389830508474</v>
      </c>
      <c r="I159" s="7">
        <f t="shared" si="109"/>
        <v>62.336330456998482</v>
      </c>
      <c r="J159" s="105">
        <f t="shared" si="110"/>
        <v>784.09066509152535</v>
      </c>
    </row>
    <row r="160" spans="1:14">
      <c r="A160" s="16"/>
      <c r="B160" s="5" t="s">
        <v>47</v>
      </c>
      <c r="C160" s="94">
        <v>0.75</v>
      </c>
      <c r="D160" s="7">
        <v>7895.7755999999999</v>
      </c>
      <c r="E160" s="139">
        <f>E156</f>
        <v>118</v>
      </c>
      <c r="F160" s="5">
        <v>1979</v>
      </c>
      <c r="G160" s="6">
        <f t="shared" si="107"/>
        <v>1484.25</v>
      </c>
      <c r="H160" s="6">
        <f t="shared" ref="H160" si="111">G160/E160</f>
        <v>12.578389830508474</v>
      </c>
      <c r="I160" s="7">
        <f t="shared" si="109"/>
        <v>62.336330456998482</v>
      </c>
      <c r="J160" s="105">
        <f t="shared" si="110"/>
        <v>784.09066509152535</v>
      </c>
    </row>
    <row r="161" spans="1:14">
      <c r="A161" s="16"/>
      <c r="B161" s="5"/>
      <c r="C161" s="94"/>
      <c r="D161" s="5"/>
      <c r="E161" s="139">
        <f>E156</f>
        <v>118</v>
      </c>
      <c r="F161" s="5"/>
      <c r="G161" s="6"/>
      <c r="H161" s="6"/>
      <c r="I161" s="7"/>
      <c r="J161" s="105">
        <f t="shared" ref="J161" si="112">I161*H161</f>
        <v>0</v>
      </c>
    </row>
    <row r="162" spans="1:14" ht="15.75" thickBot="1">
      <c r="A162" s="17"/>
      <c r="B162" s="18"/>
      <c r="C162" s="98">
        <f>SUM(C156:C161)</f>
        <v>8.25</v>
      </c>
      <c r="D162" s="18"/>
      <c r="E162" s="140"/>
      <c r="F162" s="18"/>
      <c r="G162" s="19"/>
      <c r="H162" s="19"/>
      <c r="I162" s="20"/>
      <c r="J162" s="109">
        <f>SUM(J156:J161)</f>
        <v>8624.9973160067802</v>
      </c>
    </row>
    <row r="163" spans="1:14" ht="15.75" thickBot="1">
      <c r="A163" s="58"/>
      <c r="B163" s="59"/>
      <c r="C163" s="59"/>
      <c r="D163" s="59"/>
      <c r="E163" s="141"/>
      <c r="F163" s="59"/>
      <c r="G163" s="62"/>
      <c r="H163" s="154" t="s">
        <v>60</v>
      </c>
      <c r="I163" s="155"/>
      <c r="J163" s="107">
        <f>J162-J164</f>
        <v>0</v>
      </c>
      <c r="K163" s="57">
        <f>J163*122</f>
        <v>0</v>
      </c>
      <c r="L163" s="57"/>
      <c r="M163" s="57">
        <f>L163-K163</f>
        <v>0</v>
      </c>
    </row>
    <row r="164" spans="1:14" ht="15.75" thickBot="1">
      <c r="A164" s="58"/>
      <c r="B164" s="59"/>
      <c r="C164" s="59"/>
      <c r="D164" s="80"/>
      <c r="E164" s="143"/>
      <c r="F164" s="59"/>
      <c r="G164" s="62"/>
      <c r="H164" s="154" t="s">
        <v>57</v>
      </c>
      <c r="I164" s="155"/>
      <c r="J164" s="107">
        <f>J156+J157+J158+J159+J160</f>
        <v>8624.9973160067802</v>
      </c>
      <c r="K164" s="142">
        <f>J164*E156</f>
        <v>1017749.6832888001</v>
      </c>
      <c r="L164" s="142">
        <f>(2501651-19334.7)*0.41</f>
        <v>1017749.6829999998</v>
      </c>
      <c r="M164" s="142">
        <f>L164-K164</f>
        <v>-2.8880022000521421E-4</v>
      </c>
      <c r="N164" s="82">
        <f>L164/1.302/12/8.25</f>
        <v>7895.775597759467</v>
      </c>
    </row>
    <row r="165" spans="1:14">
      <c r="A165" s="12" t="s">
        <v>76</v>
      </c>
      <c r="B165" s="13" t="s">
        <v>45</v>
      </c>
      <c r="C165" s="99">
        <v>3.75</v>
      </c>
      <c r="D165" s="7">
        <v>10399.3199</v>
      </c>
      <c r="E165" s="139">
        <f>ком.усл!A103</f>
        <v>134</v>
      </c>
      <c r="F165" s="5">
        <v>1979</v>
      </c>
      <c r="G165" s="14">
        <f>C165*F165</f>
        <v>7421.25</v>
      </c>
      <c r="H165" s="14">
        <f>G165/E165</f>
        <v>55.382462686567166</v>
      </c>
      <c r="I165" s="7">
        <f>D165*12*1.302/1979</f>
        <v>82.101553369176358</v>
      </c>
      <c r="J165" s="104">
        <f>I165*H165</f>
        <v>4546.9862159776121</v>
      </c>
    </row>
    <row r="166" spans="1:14">
      <c r="A166" s="16"/>
      <c r="B166" s="5" t="s">
        <v>109</v>
      </c>
      <c r="C166" s="95"/>
      <c r="D166" s="7">
        <v>10399.3199</v>
      </c>
      <c r="E166" s="139">
        <f>E165</f>
        <v>134</v>
      </c>
      <c r="F166" s="5">
        <v>1979</v>
      </c>
      <c r="G166" s="6">
        <f t="shared" ref="G166:G169" si="113">C166*F166</f>
        <v>0</v>
      </c>
      <c r="H166" s="6">
        <f t="shared" ref="H166:H167" si="114">G166/E166</f>
        <v>0</v>
      </c>
      <c r="I166" s="7">
        <f t="shared" ref="I166:I169" si="115">D166*12*1.302/1979</f>
        <v>82.101553369176358</v>
      </c>
      <c r="J166" s="105">
        <f t="shared" ref="J166:J169" si="116">I166*H166</f>
        <v>0</v>
      </c>
    </row>
    <row r="167" spans="1:14">
      <c r="A167" s="16"/>
      <c r="B167" s="5" t="s">
        <v>46</v>
      </c>
      <c r="C167" s="95">
        <v>3</v>
      </c>
      <c r="D167" s="7">
        <v>10399.3199</v>
      </c>
      <c r="E167" s="139">
        <f>E165</f>
        <v>134</v>
      </c>
      <c r="F167" s="5">
        <v>1979</v>
      </c>
      <c r="G167" s="6">
        <f t="shared" si="113"/>
        <v>5937</v>
      </c>
      <c r="H167" s="6">
        <f t="shared" si="114"/>
        <v>44.305970149253731</v>
      </c>
      <c r="I167" s="7">
        <f t="shared" si="115"/>
        <v>82.101553369176358</v>
      </c>
      <c r="J167" s="105">
        <f t="shared" si="116"/>
        <v>3637.58897278209</v>
      </c>
    </row>
    <row r="168" spans="1:14">
      <c r="A168" s="16"/>
      <c r="B168" s="5" t="s">
        <v>90</v>
      </c>
      <c r="C168" s="95">
        <v>0.75</v>
      </c>
      <c r="D168" s="7">
        <v>10399.3199</v>
      </c>
      <c r="E168" s="139">
        <f>E165</f>
        <v>134</v>
      </c>
      <c r="F168" s="5">
        <v>1979</v>
      </c>
      <c r="G168" s="6">
        <f t="shared" si="113"/>
        <v>1484.25</v>
      </c>
      <c r="H168" s="6">
        <f>G168/E168</f>
        <v>11.076492537313433</v>
      </c>
      <c r="I168" s="7">
        <f t="shared" si="115"/>
        <v>82.101553369176358</v>
      </c>
      <c r="J168" s="105">
        <f t="shared" si="116"/>
        <v>909.39724319552249</v>
      </c>
    </row>
    <row r="169" spans="1:14">
      <c r="A169" s="16"/>
      <c r="B169" s="5" t="s">
        <v>47</v>
      </c>
      <c r="C169" s="95">
        <v>1</v>
      </c>
      <c r="D169" s="7">
        <v>10399.3199</v>
      </c>
      <c r="E169" s="139">
        <f>E165</f>
        <v>134</v>
      </c>
      <c r="F169" s="5">
        <v>1979</v>
      </c>
      <c r="G169" s="6">
        <f t="shared" si="113"/>
        <v>1979</v>
      </c>
      <c r="H169" s="6">
        <f t="shared" ref="H169" si="117">G169/E169</f>
        <v>14.76865671641791</v>
      </c>
      <c r="I169" s="7">
        <f t="shared" si="115"/>
        <v>82.101553369176358</v>
      </c>
      <c r="J169" s="105">
        <f t="shared" si="116"/>
        <v>1212.5296575940299</v>
      </c>
    </row>
    <row r="170" spans="1:14">
      <c r="A170" s="16"/>
      <c r="B170" s="5"/>
      <c r="C170" s="95"/>
      <c r="D170" s="5"/>
      <c r="E170" s="139">
        <f>E165</f>
        <v>134</v>
      </c>
      <c r="F170" s="5"/>
      <c r="G170" s="6"/>
      <c r="H170" s="6"/>
      <c r="I170" s="7"/>
      <c r="J170" s="105">
        <f t="shared" ref="J170" si="118">I170*H170</f>
        <v>0</v>
      </c>
    </row>
    <row r="171" spans="1:14" ht="15.75" thickBot="1">
      <c r="A171" s="17"/>
      <c r="B171" s="18"/>
      <c r="C171" s="98">
        <f>SUM(C165:C170)</f>
        <v>8.5</v>
      </c>
      <c r="D171" s="18"/>
      <c r="E171" s="18"/>
      <c r="F171" s="18"/>
      <c r="G171" s="19"/>
      <c r="H171" s="19"/>
      <c r="I171" s="20"/>
      <c r="J171" s="109">
        <f>SUM(J165:J170)</f>
        <v>10306.502089549254</v>
      </c>
    </row>
    <row r="172" spans="1:14" ht="15.75" thickBot="1">
      <c r="A172" s="58"/>
      <c r="B172" s="59"/>
      <c r="C172" s="59"/>
      <c r="D172" s="59"/>
      <c r="E172" s="59"/>
      <c r="F172" s="59"/>
      <c r="G172" s="62"/>
      <c r="H172" s="154" t="s">
        <v>60</v>
      </c>
      <c r="I172" s="155"/>
      <c r="J172" s="107">
        <f>J171-J173</f>
        <v>0</v>
      </c>
      <c r="K172" s="57">
        <f>J172*122</f>
        <v>0</v>
      </c>
      <c r="L172" s="57"/>
      <c r="M172" s="57">
        <f>L172-K172</f>
        <v>0</v>
      </c>
    </row>
    <row r="173" spans="1:14" ht="15.75" thickBot="1">
      <c r="A173" s="58"/>
      <c r="B173" s="59"/>
      <c r="C173" s="59"/>
      <c r="D173" s="59"/>
      <c r="E173" s="59"/>
      <c r="F173" s="59"/>
      <c r="G173" s="62"/>
      <c r="H173" s="154" t="s">
        <v>57</v>
      </c>
      <c r="I173" s="155"/>
      <c r="J173" s="107">
        <f>J165+J166+J167+J168+J169</f>
        <v>10306.502089549254</v>
      </c>
      <c r="K173" s="142">
        <f>J173*E165</f>
        <v>1381071.2799996</v>
      </c>
      <c r="L173" s="142">
        <f>(2577460-19920.6)*0.54</f>
        <v>1381071.2760000001</v>
      </c>
      <c r="M173" s="142">
        <f>L173-K173</f>
        <v>-3.9995999541133642E-3</v>
      </c>
      <c r="N173" s="82">
        <f>L173/1.302/12/8.5</f>
        <v>10399.319869883439</v>
      </c>
    </row>
    <row r="174" spans="1:14">
      <c r="J174" s="81"/>
    </row>
    <row r="175" spans="1:14" ht="18.75">
      <c r="A175" s="61" t="s">
        <v>92</v>
      </c>
      <c r="J175" s="81"/>
    </row>
    <row r="176" spans="1:14" ht="80.650000000000006" customHeight="1">
      <c r="A176" s="4" t="s">
        <v>2</v>
      </c>
      <c r="B176" s="4" t="s">
        <v>4</v>
      </c>
      <c r="C176" s="79" t="s">
        <v>0</v>
      </c>
      <c r="D176" s="79" t="s">
        <v>13</v>
      </c>
      <c r="E176" s="79" t="s">
        <v>3</v>
      </c>
      <c r="F176" s="79" t="s">
        <v>1</v>
      </c>
      <c r="G176" s="79" t="s">
        <v>5</v>
      </c>
      <c r="H176" s="79" t="s">
        <v>7</v>
      </c>
      <c r="I176" s="79" t="s">
        <v>9</v>
      </c>
      <c r="J176" s="83" t="s">
        <v>11</v>
      </c>
      <c r="K176" s="2" t="s">
        <v>33</v>
      </c>
      <c r="L176" s="2" t="s">
        <v>34</v>
      </c>
      <c r="M176" s="2"/>
    </row>
    <row r="177" spans="1:14" ht="15.75" thickBot="1">
      <c r="A177" s="9">
        <v>1</v>
      </c>
      <c r="B177" s="10">
        <v>2</v>
      </c>
      <c r="C177" s="10">
        <v>3</v>
      </c>
      <c r="D177" s="10">
        <v>4</v>
      </c>
      <c r="E177" s="10">
        <v>5</v>
      </c>
      <c r="F177" s="10">
        <v>6</v>
      </c>
      <c r="G177" s="10" t="s">
        <v>6</v>
      </c>
      <c r="H177" s="9" t="s">
        <v>8</v>
      </c>
      <c r="I177" s="10" t="s">
        <v>10</v>
      </c>
      <c r="J177" s="84" t="s">
        <v>12</v>
      </c>
    </row>
    <row r="178" spans="1:14" ht="15.75" thickBot="1">
      <c r="A178" s="12" t="s">
        <v>64</v>
      </c>
      <c r="B178" s="13" t="s">
        <v>45</v>
      </c>
      <c r="C178" s="93">
        <v>3.25</v>
      </c>
      <c r="D178" s="50">
        <v>1996.3208999999999</v>
      </c>
      <c r="E178" s="139">
        <f>ком.усл!A113</f>
        <v>50</v>
      </c>
      <c r="F178" s="5">
        <v>1979</v>
      </c>
      <c r="G178" s="14">
        <f>C178*F178</f>
        <v>6431.75</v>
      </c>
      <c r="H178" s="14">
        <f>G178/E178</f>
        <v>128.63499999999999</v>
      </c>
      <c r="I178" s="7">
        <f>D178*12*1.302/1979</f>
        <v>15.760746711268318</v>
      </c>
      <c r="J178" s="104">
        <f>I178*H178</f>
        <v>2027.383653204</v>
      </c>
    </row>
    <row r="179" spans="1:14" ht="15.75" thickBot="1">
      <c r="A179" s="16"/>
      <c r="B179" s="5" t="s">
        <v>116</v>
      </c>
      <c r="C179" s="94">
        <v>0.125</v>
      </c>
      <c r="D179" s="50">
        <v>1996.3208999999999</v>
      </c>
      <c r="E179" s="139">
        <f>E178</f>
        <v>50</v>
      </c>
      <c r="F179" s="5">
        <v>1979</v>
      </c>
      <c r="G179" s="6">
        <f t="shared" ref="G179:G182" si="119">C179*F179</f>
        <v>247.375</v>
      </c>
      <c r="H179" s="6">
        <f t="shared" ref="H179:H180" si="120">G179/E179</f>
        <v>4.9474999999999998</v>
      </c>
      <c r="I179" s="7">
        <f t="shared" ref="I179:I183" si="121">D179*12*1.302/1979</f>
        <v>15.760746711268318</v>
      </c>
      <c r="J179" s="105">
        <f t="shared" ref="J179:J182" si="122">I179*H179</f>
        <v>77.976294354000004</v>
      </c>
    </row>
    <row r="180" spans="1:14" ht="15.75" thickBot="1">
      <c r="A180" s="16"/>
      <c r="B180" s="5" t="s">
        <v>46</v>
      </c>
      <c r="C180" s="95">
        <v>3</v>
      </c>
      <c r="D180" s="50">
        <v>1996.3208999999999</v>
      </c>
      <c r="E180" s="139">
        <f>E178</f>
        <v>50</v>
      </c>
      <c r="F180" s="5">
        <v>1979</v>
      </c>
      <c r="G180" s="6">
        <f t="shared" si="119"/>
        <v>5937</v>
      </c>
      <c r="H180" s="6">
        <f t="shared" si="120"/>
        <v>118.74</v>
      </c>
      <c r="I180" s="7">
        <f t="shared" si="121"/>
        <v>15.760746711268318</v>
      </c>
      <c r="J180" s="105">
        <f t="shared" si="122"/>
        <v>1871.4310644960001</v>
      </c>
    </row>
    <row r="181" spans="1:14" ht="15.75" thickBot="1">
      <c r="A181" s="16"/>
      <c r="B181" s="5" t="s">
        <v>90</v>
      </c>
      <c r="C181" s="94">
        <v>0.75</v>
      </c>
      <c r="D181" s="50">
        <v>1996.3208999999999</v>
      </c>
      <c r="E181" s="139">
        <f>E178</f>
        <v>50</v>
      </c>
      <c r="F181" s="5">
        <v>1979</v>
      </c>
      <c r="G181" s="6">
        <f t="shared" si="119"/>
        <v>1484.25</v>
      </c>
      <c r="H181" s="6">
        <f>G181/E181</f>
        <v>29.684999999999999</v>
      </c>
      <c r="I181" s="7">
        <f t="shared" si="121"/>
        <v>15.760746711268318</v>
      </c>
      <c r="J181" s="105">
        <f t="shared" si="122"/>
        <v>467.85776612400002</v>
      </c>
    </row>
    <row r="182" spans="1:14" ht="15.75" thickBot="1">
      <c r="A182" s="16"/>
      <c r="B182" s="5" t="s">
        <v>47</v>
      </c>
      <c r="C182" s="94">
        <v>0.75</v>
      </c>
      <c r="D182" s="50">
        <v>1996.3208999999999</v>
      </c>
      <c r="E182" s="139">
        <f>E178</f>
        <v>50</v>
      </c>
      <c r="F182" s="5">
        <v>1979</v>
      </c>
      <c r="G182" s="6">
        <f t="shared" si="119"/>
        <v>1484.25</v>
      </c>
      <c r="H182" s="6">
        <f t="shared" ref="H182" si="123">G182/E182</f>
        <v>29.684999999999999</v>
      </c>
      <c r="I182" s="7">
        <f t="shared" si="121"/>
        <v>15.760746711268318</v>
      </c>
      <c r="J182" s="105">
        <f t="shared" si="122"/>
        <v>467.85776612400002</v>
      </c>
    </row>
    <row r="183" spans="1:14" ht="15.75" thickBot="1">
      <c r="A183" s="16"/>
      <c r="B183" s="5" t="s">
        <v>108</v>
      </c>
      <c r="C183" s="94">
        <v>0.75</v>
      </c>
      <c r="D183" s="50">
        <v>1996.3208999999999</v>
      </c>
      <c r="E183" s="139">
        <f>E178</f>
        <v>50</v>
      </c>
      <c r="F183" s="5">
        <v>1979</v>
      </c>
      <c r="G183" s="6">
        <f t="shared" ref="G183" si="124">C183*F183</f>
        <v>1484.25</v>
      </c>
      <c r="H183" s="6">
        <f t="shared" ref="H183" si="125">G183/E183</f>
        <v>29.684999999999999</v>
      </c>
      <c r="I183" s="7">
        <f t="shared" si="121"/>
        <v>15.760746711268318</v>
      </c>
      <c r="J183" s="105">
        <f t="shared" ref="J183" si="126">I183*H183</f>
        <v>467.85776612400002</v>
      </c>
    </row>
    <row r="184" spans="1:14">
      <c r="A184" s="16"/>
      <c r="B184" s="5"/>
      <c r="C184" s="94"/>
      <c r="D184" s="50">
        <v>1996.3208999999999</v>
      </c>
      <c r="E184" s="139"/>
      <c r="F184" s="5"/>
      <c r="G184" s="6"/>
      <c r="H184" s="6"/>
      <c r="I184" s="7"/>
      <c r="J184" s="105">
        <f t="shared" ref="J184" si="127">I184*H184</f>
        <v>0</v>
      </c>
    </row>
    <row r="185" spans="1:14" ht="15.75" thickBot="1">
      <c r="A185" s="17"/>
      <c r="B185" s="18"/>
      <c r="C185" s="96">
        <f>SUM(C178:C184)</f>
        <v>8.625</v>
      </c>
      <c r="D185" s="18"/>
      <c r="E185" s="140"/>
      <c r="F185" s="18"/>
      <c r="G185" s="19"/>
      <c r="H185" s="19"/>
      <c r="I185" s="20"/>
      <c r="J185" s="109">
        <f>SUM(J178:J184)</f>
        <v>5380.3643104259991</v>
      </c>
    </row>
    <row r="186" spans="1:14" ht="15.75" thickBot="1">
      <c r="A186" s="58"/>
      <c r="B186" s="59"/>
      <c r="C186" s="59"/>
      <c r="D186" s="59"/>
      <c r="E186" s="141"/>
      <c r="F186" s="59"/>
      <c r="G186" s="62"/>
      <c r="H186" s="154" t="s">
        <v>60</v>
      </c>
      <c r="I186" s="155"/>
      <c r="J186" s="107">
        <f>J185-J187</f>
        <v>0</v>
      </c>
      <c r="K186" s="57">
        <f>J186*122</f>
        <v>0</v>
      </c>
      <c r="L186" s="57"/>
      <c r="M186" s="57">
        <f>L186-K186</f>
        <v>0</v>
      </c>
    </row>
    <row r="187" spans="1:14" ht="15.75" thickBot="1">
      <c r="A187" s="58"/>
      <c r="B187" s="59"/>
      <c r="C187" s="59"/>
      <c r="D187" s="80"/>
      <c r="E187" s="141"/>
      <c r="F187" s="59"/>
      <c r="G187" s="62"/>
      <c r="H187" s="154" t="s">
        <v>57</v>
      </c>
      <c r="I187" s="155"/>
      <c r="J187" s="107">
        <f>J178+J179+J180+J181+J182+J183</f>
        <v>5380.3643104259991</v>
      </c>
      <c r="K187" s="142">
        <f>J187*E178</f>
        <v>269018.21552129998</v>
      </c>
      <c r="L187" s="142">
        <f>(2389013+721482-644661.3-20213.6)*0.11</f>
        <v>269018.21100000001</v>
      </c>
      <c r="M187" s="57">
        <f>L187-K187</f>
        <v>-4.5212999684736133E-3</v>
      </c>
      <c r="N187" s="81">
        <f>L187/1.302/12/8.625</f>
        <v>1996.3208664484964</v>
      </c>
    </row>
    <row r="188" spans="1:14">
      <c r="A188" s="12" t="s">
        <v>69</v>
      </c>
      <c r="B188" s="13" t="s">
        <v>45</v>
      </c>
      <c r="C188" s="93">
        <v>4.5</v>
      </c>
      <c r="D188" s="7">
        <v>1243.6982</v>
      </c>
      <c r="E188" s="139">
        <f>ком.усл!A118</f>
        <v>38</v>
      </c>
      <c r="F188" s="5">
        <v>1979</v>
      </c>
      <c r="G188" s="14">
        <f>C188*F188</f>
        <v>8905.5</v>
      </c>
      <c r="H188" s="14">
        <f>G188/E188</f>
        <v>234.35526315789474</v>
      </c>
      <c r="I188" s="7">
        <f>D188*12*1.302/1979</f>
        <v>9.8188684572006082</v>
      </c>
      <c r="J188" s="104">
        <f>I188*H188</f>
        <v>2301.1035012000007</v>
      </c>
    </row>
    <row r="189" spans="1:14">
      <c r="A189" s="16"/>
      <c r="B189" s="5" t="s">
        <v>108</v>
      </c>
      <c r="C189" s="94">
        <v>3</v>
      </c>
      <c r="D189" s="7">
        <v>1243.6982</v>
      </c>
      <c r="E189" s="139">
        <f>E188</f>
        <v>38</v>
      </c>
      <c r="F189" s="5">
        <v>1979</v>
      </c>
      <c r="G189" s="6">
        <f t="shared" ref="G189:G192" si="128">C189*F189</f>
        <v>5937</v>
      </c>
      <c r="H189" s="6">
        <f t="shared" ref="H189:H190" si="129">G189/E189</f>
        <v>156.23684210526315</v>
      </c>
      <c r="I189" s="7">
        <f t="shared" ref="I189:I192" si="130">D189*12*1.302/1979</f>
        <v>9.8188684572006082</v>
      </c>
      <c r="J189" s="105">
        <f t="shared" ref="J189:J192" si="131">I189*H189</f>
        <v>1534.0690008000001</v>
      </c>
    </row>
    <row r="190" spans="1:14">
      <c r="A190" s="16"/>
      <c r="B190" s="5" t="s">
        <v>46</v>
      </c>
      <c r="C190" s="94">
        <v>6</v>
      </c>
      <c r="D190" s="7">
        <v>1243.6982</v>
      </c>
      <c r="E190" s="139">
        <f>E188</f>
        <v>38</v>
      </c>
      <c r="F190" s="5">
        <v>1979</v>
      </c>
      <c r="G190" s="6">
        <f t="shared" si="128"/>
        <v>11874</v>
      </c>
      <c r="H190" s="6">
        <f t="shared" si="129"/>
        <v>312.4736842105263</v>
      </c>
      <c r="I190" s="7">
        <f t="shared" si="130"/>
        <v>9.8188684572006082</v>
      </c>
      <c r="J190" s="105">
        <f t="shared" si="131"/>
        <v>3068.1380016000003</v>
      </c>
    </row>
    <row r="191" spans="1:14">
      <c r="A191" s="16"/>
      <c r="B191" s="5" t="s">
        <v>90</v>
      </c>
      <c r="C191" s="94">
        <v>1.5</v>
      </c>
      <c r="D191" s="7">
        <v>1243.6982</v>
      </c>
      <c r="E191" s="139">
        <f>E188</f>
        <v>38</v>
      </c>
      <c r="F191" s="5">
        <v>1979</v>
      </c>
      <c r="G191" s="6">
        <f t="shared" si="128"/>
        <v>2968.5</v>
      </c>
      <c r="H191" s="6">
        <f>G191/E191</f>
        <v>78.118421052631575</v>
      </c>
      <c r="I191" s="7">
        <f t="shared" si="130"/>
        <v>9.8188684572006082</v>
      </c>
      <c r="J191" s="105">
        <f t="shared" si="131"/>
        <v>767.03450040000007</v>
      </c>
    </row>
    <row r="192" spans="1:14">
      <c r="A192" s="16"/>
      <c r="B192" s="5" t="s">
        <v>47</v>
      </c>
      <c r="C192" s="94">
        <v>1.5</v>
      </c>
      <c r="D192" s="7">
        <v>1243.6982</v>
      </c>
      <c r="E192" s="139">
        <f>E188</f>
        <v>38</v>
      </c>
      <c r="F192" s="5">
        <v>1979</v>
      </c>
      <c r="G192" s="6">
        <f t="shared" si="128"/>
        <v>2968.5</v>
      </c>
      <c r="H192" s="6">
        <f t="shared" ref="H192" si="132">G192/E192</f>
        <v>78.118421052631575</v>
      </c>
      <c r="I192" s="7">
        <f t="shared" si="130"/>
        <v>9.8188684572006082</v>
      </c>
      <c r="J192" s="105">
        <f t="shared" si="131"/>
        <v>767.03450040000007</v>
      </c>
    </row>
    <row r="193" spans="1:14">
      <c r="A193" s="16"/>
      <c r="B193" s="5"/>
      <c r="C193" s="94"/>
      <c r="D193" s="5"/>
      <c r="E193" s="139">
        <f>E188</f>
        <v>38</v>
      </c>
      <c r="F193" s="5"/>
      <c r="G193" s="6"/>
      <c r="H193" s="6"/>
      <c r="I193" s="7"/>
      <c r="J193" s="105">
        <f t="shared" ref="J193" si="133">I193*H193</f>
        <v>0</v>
      </c>
    </row>
    <row r="194" spans="1:14" ht="15.75" thickBot="1">
      <c r="A194" s="17"/>
      <c r="B194" s="18"/>
      <c r="C194" s="96">
        <f>SUM(C188:C193)</f>
        <v>16.5</v>
      </c>
      <c r="D194" s="18"/>
      <c r="E194" s="140"/>
      <c r="F194" s="18"/>
      <c r="G194" s="19"/>
      <c r="H194" s="19"/>
      <c r="I194" s="20"/>
      <c r="J194" s="109">
        <f>SUM(J188:J193)</f>
        <v>8437.3795044000017</v>
      </c>
    </row>
    <row r="195" spans="1:14" ht="15.75" thickBot="1">
      <c r="A195" s="58"/>
      <c r="B195" s="59"/>
      <c r="C195" s="59"/>
      <c r="D195" s="59"/>
      <c r="E195" s="141"/>
      <c r="F195" s="59"/>
      <c r="G195" s="62"/>
      <c r="H195" s="154" t="s">
        <v>60</v>
      </c>
      <c r="I195" s="155"/>
      <c r="J195" s="107">
        <f>J194-J196</f>
        <v>0</v>
      </c>
      <c r="K195" s="57">
        <f>J195*122</f>
        <v>0</v>
      </c>
      <c r="L195" s="57"/>
      <c r="M195" s="57">
        <f>L195-K195</f>
        <v>0</v>
      </c>
    </row>
    <row r="196" spans="1:14" ht="15.75" thickBot="1">
      <c r="A196" s="58"/>
      <c r="B196" s="59"/>
      <c r="C196" s="59"/>
      <c r="D196" s="80"/>
      <c r="E196" s="141"/>
      <c r="F196" s="59"/>
      <c r="G196" s="62"/>
      <c r="H196" s="154" t="s">
        <v>57</v>
      </c>
      <c r="I196" s="155"/>
      <c r="J196" s="107">
        <f>J188+J189+J190+J191+J192</f>
        <v>8437.3795044000017</v>
      </c>
      <c r="K196" s="142">
        <f>J196*E188</f>
        <v>320620.42116720008</v>
      </c>
      <c r="L196" s="142">
        <f>(5382343-38669.4)*0.06</f>
        <v>320620.41599999997</v>
      </c>
      <c r="M196" s="142">
        <f>L196-K196</f>
        <v>-5.1672001136466861E-3</v>
      </c>
      <c r="N196" s="82">
        <f>L196/1.302/12/16.5</f>
        <v>1243.6981799562445</v>
      </c>
    </row>
    <row r="197" spans="1:14">
      <c r="A197" s="12" t="s">
        <v>70</v>
      </c>
      <c r="B197" s="13" t="s">
        <v>45</v>
      </c>
      <c r="C197" s="93">
        <f>3.5+4</f>
        <v>7.5</v>
      </c>
      <c r="D197" s="7">
        <v>1348.6258</v>
      </c>
      <c r="E197" s="139">
        <f>ком.усл!A123</f>
        <v>40</v>
      </c>
      <c r="F197" s="5">
        <v>1979</v>
      </c>
      <c r="G197" s="14">
        <f>C197*F197</f>
        <v>14842.5</v>
      </c>
      <c r="H197" s="14">
        <f>G197/E197</f>
        <v>371.0625</v>
      </c>
      <c r="I197" s="7">
        <f>D197*12*1.302/1979</f>
        <v>10.647260989994949</v>
      </c>
      <c r="J197" s="104">
        <f>I197*H197</f>
        <v>3950.7992811000008</v>
      </c>
    </row>
    <row r="198" spans="1:14">
      <c r="A198" s="16"/>
      <c r="B198" s="5" t="s">
        <v>108</v>
      </c>
      <c r="C198" s="94">
        <v>1.75</v>
      </c>
      <c r="D198" s="7">
        <v>1348.6258</v>
      </c>
      <c r="E198" s="139">
        <f>E197</f>
        <v>40</v>
      </c>
      <c r="F198" s="5">
        <v>1979</v>
      </c>
      <c r="G198" s="6">
        <f t="shared" ref="G198:G201" si="134">C198*F198</f>
        <v>3463.25</v>
      </c>
      <c r="H198" s="6">
        <f t="shared" ref="H198:H199" si="135">G198/E198</f>
        <v>86.581249999999997</v>
      </c>
      <c r="I198" s="7">
        <f t="shared" ref="I198:I201" si="136">D198*12*1.302/1979</f>
        <v>10.647260989994949</v>
      </c>
      <c r="J198" s="105">
        <f t="shared" ref="J198:J201" si="137">I198*H198</f>
        <v>921.85316559000012</v>
      </c>
    </row>
    <row r="199" spans="1:14">
      <c r="A199" s="16"/>
      <c r="B199" s="5" t="s">
        <v>46</v>
      </c>
      <c r="C199" s="94">
        <v>9</v>
      </c>
      <c r="D199" s="7">
        <v>1348.6258</v>
      </c>
      <c r="E199" s="139">
        <f>E197</f>
        <v>40</v>
      </c>
      <c r="F199" s="5">
        <v>1979</v>
      </c>
      <c r="G199" s="6">
        <f t="shared" si="134"/>
        <v>17811</v>
      </c>
      <c r="H199" s="6">
        <f t="shared" si="135"/>
        <v>445.27499999999998</v>
      </c>
      <c r="I199" s="7">
        <f t="shared" si="136"/>
        <v>10.647260989994949</v>
      </c>
      <c r="J199" s="105">
        <f t="shared" si="137"/>
        <v>4740.959137320001</v>
      </c>
    </row>
    <row r="200" spans="1:14">
      <c r="A200" s="16"/>
      <c r="B200" s="5" t="s">
        <v>90</v>
      </c>
      <c r="C200" s="94">
        <v>1.5</v>
      </c>
      <c r="D200" s="7">
        <v>1348.6258</v>
      </c>
      <c r="E200" s="139">
        <f>E197</f>
        <v>40</v>
      </c>
      <c r="F200" s="5">
        <v>1979</v>
      </c>
      <c r="G200" s="6">
        <f t="shared" si="134"/>
        <v>2968.5</v>
      </c>
      <c r="H200" s="6">
        <f>G200/E200</f>
        <v>74.212500000000006</v>
      </c>
      <c r="I200" s="7">
        <f t="shared" si="136"/>
        <v>10.647260989994949</v>
      </c>
      <c r="J200" s="105">
        <f t="shared" si="137"/>
        <v>790.15985622000028</v>
      </c>
    </row>
    <row r="201" spans="1:14">
      <c r="A201" s="16"/>
      <c r="B201" s="5" t="s">
        <v>47</v>
      </c>
      <c r="C201" s="94">
        <f>2.45+1.5</f>
        <v>3.95</v>
      </c>
      <c r="D201" s="7">
        <v>1348.6258</v>
      </c>
      <c r="E201" s="139">
        <f>E197</f>
        <v>40</v>
      </c>
      <c r="F201" s="5">
        <v>1979</v>
      </c>
      <c r="G201" s="6">
        <f t="shared" si="134"/>
        <v>7817.05</v>
      </c>
      <c r="H201" s="6">
        <f t="shared" ref="H201" si="138">G201/E201</f>
        <v>195.42625000000001</v>
      </c>
      <c r="I201" s="7">
        <f t="shared" si="136"/>
        <v>10.647260989994949</v>
      </c>
      <c r="J201" s="105">
        <f t="shared" si="137"/>
        <v>2080.7542880460005</v>
      </c>
    </row>
    <row r="202" spans="1:14">
      <c r="A202" s="16"/>
      <c r="B202" s="5" t="s">
        <v>119</v>
      </c>
      <c r="C202" s="94">
        <v>1</v>
      </c>
      <c r="D202" s="7">
        <v>1348.6258</v>
      </c>
      <c r="E202" s="139">
        <f>E197</f>
        <v>40</v>
      </c>
      <c r="F202" s="5">
        <v>1979</v>
      </c>
      <c r="G202" s="6">
        <f t="shared" ref="G202" si="139">C202*F202</f>
        <v>1979</v>
      </c>
      <c r="H202" s="6">
        <f t="shared" ref="H202" si="140">G202/E202</f>
        <v>49.475000000000001</v>
      </c>
      <c r="I202" s="7">
        <f t="shared" ref="I202" si="141">D202*12*1.302/1979</f>
        <v>10.647260989994949</v>
      </c>
      <c r="J202" s="105">
        <f t="shared" ref="J202" si="142">I202*H202</f>
        <v>526.77323748000015</v>
      </c>
    </row>
    <row r="203" spans="1:14" ht="15.75" thickBot="1">
      <c r="A203" s="17"/>
      <c r="B203" s="18"/>
      <c r="C203" s="97">
        <f>SUM(C197:C202)</f>
        <v>24.7</v>
      </c>
      <c r="D203" s="18"/>
      <c r="E203" s="140"/>
      <c r="F203" s="18"/>
      <c r="G203" s="19"/>
      <c r="H203" s="19"/>
      <c r="I203" s="20"/>
      <c r="J203" s="109">
        <f>SUM(J197:J202)</f>
        <v>13011.298965756003</v>
      </c>
    </row>
    <row r="204" spans="1:14" ht="15.75" thickBot="1">
      <c r="A204" s="58"/>
      <c r="B204" s="59"/>
      <c r="C204" s="59"/>
      <c r="D204" s="59"/>
      <c r="E204" s="141"/>
      <c r="F204" s="59"/>
      <c r="G204" s="62"/>
      <c r="H204" s="154" t="s">
        <v>60</v>
      </c>
      <c r="I204" s="155"/>
      <c r="J204" s="107">
        <f>J203-J205</f>
        <v>0</v>
      </c>
      <c r="K204" s="57">
        <f>J204*122</f>
        <v>0</v>
      </c>
      <c r="L204" s="57"/>
      <c r="M204" s="57">
        <f>L204-K204</f>
        <v>0</v>
      </c>
    </row>
    <row r="205" spans="1:14" ht="15.75" thickBot="1">
      <c r="A205" s="58"/>
      <c r="B205" s="59"/>
      <c r="C205" s="59"/>
      <c r="D205" s="80"/>
      <c r="E205" s="143"/>
      <c r="F205" s="59"/>
      <c r="G205" s="62"/>
      <c r="H205" s="154" t="s">
        <v>57</v>
      </c>
      <c r="I205" s="155"/>
      <c r="J205" s="107">
        <f>J197+J198+J199+J200+J201+J202</f>
        <v>13011.298965756003</v>
      </c>
      <c r="K205" s="142">
        <f>J205*E197</f>
        <v>520451.95863024011</v>
      </c>
      <c r="L205" s="142">
        <f>(7492915-57886.9)*0.07</f>
        <v>520451.967</v>
      </c>
      <c r="M205" s="142">
        <f>L205-K205</f>
        <v>8.3697598893195391E-3</v>
      </c>
      <c r="N205" s="82">
        <f>L205/1.302/12/24.7</f>
        <v>1348.6258216882154</v>
      </c>
    </row>
    <row r="206" spans="1:14">
      <c r="A206" s="12" t="s">
        <v>71</v>
      </c>
      <c r="B206" s="13" t="s">
        <v>45</v>
      </c>
      <c r="C206" s="93">
        <v>6.25</v>
      </c>
      <c r="D206" s="7">
        <v>2051.3528000000001</v>
      </c>
      <c r="E206" s="139">
        <f>ком.усл!A128</f>
        <v>94</v>
      </c>
      <c r="F206" s="5">
        <v>1979</v>
      </c>
      <c r="G206" s="14">
        <f>C206*F206</f>
        <v>12368.75</v>
      </c>
      <c r="H206" s="14">
        <f>G206/E206</f>
        <v>131.58244680851064</v>
      </c>
      <c r="I206" s="7">
        <f>D206*12*1.302/1979</f>
        <v>16.195217861141991</v>
      </c>
      <c r="J206" s="104">
        <f>I206*H206</f>
        <v>2131.0063927659576</v>
      </c>
    </row>
    <row r="207" spans="1:14">
      <c r="A207" s="16"/>
      <c r="B207" s="5" t="s">
        <v>108</v>
      </c>
      <c r="C207" s="94">
        <v>0.75</v>
      </c>
      <c r="D207" s="7">
        <v>2051.3528000000001</v>
      </c>
      <c r="E207" s="139">
        <f>E206</f>
        <v>94</v>
      </c>
      <c r="F207" s="5">
        <v>1979</v>
      </c>
      <c r="G207" s="6">
        <f t="shared" ref="G207:G210" si="143">C207*F207</f>
        <v>1484.25</v>
      </c>
      <c r="H207" s="6">
        <f t="shared" ref="H207:H208" si="144">G207/E207</f>
        <v>15.789893617021276</v>
      </c>
      <c r="I207" s="7">
        <f t="shared" ref="I207:I210" si="145">D207*12*1.302/1979</f>
        <v>16.195217861141991</v>
      </c>
      <c r="J207" s="105">
        <f t="shared" ref="J207:J210" si="146">I207*H207</f>
        <v>255.7207671319149</v>
      </c>
    </row>
    <row r="208" spans="1:14">
      <c r="A208" s="16"/>
      <c r="B208" s="5" t="s">
        <v>46</v>
      </c>
      <c r="C208" s="94">
        <v>3</v>
      </c>
      <c r="D208" s="7">
        <v>2051.3528000000001</v>
      </c>
      <c r="E208" s="139">
        <f>E206</f>
        <v>94</v>
      </c>
      <c r="F208" s="5">
        <v>1979</v>
      </c>
      <c r="G208" s="6">
        <f t="shared" si="143"/>
        <v>5937</v>
      </c>
      <c r="H208" s="6">
        <f t="shared" si="144"/>
        <v>63.159574468085104</v>
      </c>
      <c r="I208" s="7">
        <f t="shared" si="145"/>
        <v>16.195217861141991</v>
      </c>
      <c r="J208" s="105">
        <f t="shared" si="146"/>
        <v>1022.8830685276596</v>
      </c>
    </row>
    <row r="209" spans="1:14">
      <c r="A209" s="16"/>
      <c r="B209" s="5" t="s">
        <v>90</v>
      </c>
      <c r="C209" s="94">
        <v>1.5</v>
      </c>
      <c r="D209" s="7">
        <v>2051.3528000000001</v>
      </c>
      <c r="E209" s="139">
        <f>E206</f>
        <v>94</v>
      </c>
      <c r="F209" s="5">
        <v>1979</v>
      </c>
      <c r="G209" s="6">
        <f t="shared" si="143"/>
        <v>2968.5</v>
      </c>
      <c r="H209" s="6">
        <f>G209/E209</f>
        <v>31.579787234042552</v>
      </c>
      <c r="I209" s="7">
        <f t="shared" si="145"/>
        <v>16.195217861141991</v>
      </c>
      <c r="J209" s="105">
        <f t="shared" si="146"/>
        <v>511.44153426382979</v>
      </c>
    </row>
    <row r="210" spans="1:14">
      <c r="A210" s="16"/>
      <c r="B210" s="5" t="s">
        <v>47</v>
      </c>
      <c r="C210" s="94">
        <v>3</v>
      </c>
      <c r="D210" s="7">
        <v>2051.3528000000001</v>
      </c>
      <c r="E210" s="139">
        <f>E206</f>
        <v>94</v>
      </c>
      <c r="F210" s="5">
        <v>1979</v>
      </c>
      <c r="G210" s="6">
        <f t="shared" si="143"/>
        <v>5937</v>
      </c>
      <c r="H210" s="6">
        <f t="shared" ref="H210" si="147">G210/E210</f>
        <v>63.159574468085104</v>
      </c>
      <c r="I210" s="7">
        <f t="shared" si="145"/>
        <v>16.195217861141991</v>
      </c>
      <c r="J210" s="105">
        <f t="shared" si="146"/>
        <v>1022.8830685276596</v>
      </c>
    </row>
    <row r="211" spans="1:14">
      <c r="A211" s="16"/>
      <c r="B211" s="5" t="s">
        <v>116</v>
      </c>
      <c r="C211" s="94">
        <v>0.125</v>
      </c>
      <c r="D211" s="7">
        <v>2051.3528000000001</v>
      </c>
      <c r="E211" s="139">
        <f>E206</f>
        <v>94</v>
      </c>
      <c r="F211" s="5">
        <v>1979</v>
      </c>
      <c r="G211" s="6">
        <f t="shared" ref="G211" si="148">C211*F211</f>
        <v>247.375</v>
      </c>
      <c r="H211" s="6">
        <f t="shared" ref="H211" si="149">G211/E211</f>
        <v>2.6316489361702127</v>
      </c>
      <c r="I211" s="7">
        <f t="shared" ref="I211" si="150">D211*12*1.302/1979</f>
        <v>16.195217861141991</v>
      </c>
      <c r="J211" s="105">
        <f t="shared" ref="J211" si="151">I211*H211</f>
        <v>42.620127855319147</v>
      </c>
    </row>
    <row r="212" spans="1:14" ht="15.75" thickBot="1">
      <c r="A212" s="17"/>
      <c r="B212" s="18"/>
      <c r="C212" s="96">
        <f>SUM(C206:C211)</f>
        <v>14.625</v>
      </c>
      <c r="D212" s="18"/>
      <c r="E212" s="140"/>
      <c r="F212" s="18"/>
      <c r="G212" s="19"/>
      <c r="H212" s="19"/>
      <c r="I212" s="20"/>
      <c r="J212" s="109">
        <f>SUM(J206:J211)</f>
        <v>4986.5549590723404</v>
      </c>
    </row>
    <row r="213" spans="1:14" ht="15.75" thickBot="1">
      <c r="A213" s="58"/>
      <c r="B213" s="59"/>
      <c r="C213" s="59"/>
      <c r="D213" s="59"/>
      <c r="E213" s="141"/>
      <c r="F213" s="59"/>
      <c r="G213" s="62"/>
      <c r="H213" s="154" t="s">
        <v>60</v>
      </c>
      <c r="I213" s="155"/>
      <c r="J213" s="107">
        <f>J212-J214</f>
        <v>0</v>
      </c>
      <c r="K213" s="57">
        <f>J213*122</f>
        <v>0</v>
      </c>
      <c r="L213" s="57"/>
      <c r="M213" s="57">
        <f>L213-K213</f>
        <v>0</v>
      </c>
    </row>
    <row r="214" spans="1:14" ht="15.75" thickBot="1">
      <c r="A214" s="58"/>
      <c r="B214" s="59"/>
      <c r="C214" s="59"/>
      <c r="D214" s="80"/>
      <c r="E214" s="141"/>
      <c r="F214" s="59"/>
      <c r="G214" s="62"/>
      <c r="H214" s="154" t="s">
        <v>57</v>
      </c>
      <c r="I214" s="155"/>
      <c r="J214" s="107">
        <f>J206+J207+J208+J209+J210+J211</f>
        <v>4986.5549590723404</v>
      </c>
      <c r="K214" s="142">
        <f>J214*E206</f>
        <v>468736.16615279997</v>
      </c>
      <c r="L214" s="142">
        <f>(3760205+1135580-600271.9-34275.2)*0.11</f>
        <v>468736.16899999994</v>
      </c>
      <c r="M214" s="142">
        <f>L214-K214</f>
        <v>2.8471999685280025E-3</v>
      </c>
      <c r="N214" s="82">
        <f>L214/1.302/12/14.625</f>
        <v>2051.352812460339</v>
      </c>
    </row>
    <row r="215" spans="1:14">
      <c r="A215" s="12" t="s">
        <v>72</v>
      </c>
      <c r="B215" s="13" t="s">
        <v>45</v>
      </c>
      <c r="C215" s="93">
        <v>9</v>
      </c>
      <c r="D215" s="7">
        <v>1925.7994000000001</v>
      </c>
      <c r="E215" s="139">
        <f>ком.усл!A133</f>
        <v>96</v>
      </c>
      <c r="F215" s="5">
        <v>1979</v>
      </c>
      <c r="G215" s="14">
        <f>C215*F215</f>
        <v>17811</v>
      </c>
      <c r="H215" s="14">
        <f>G215/E215</f>
        <v>185.53125</v>
      </c>
      <c r="I215" s="7">
        <f>D215*12*1.302/1979</f>
        <v>15.203986773926227</v>
      </c>
      <c r="J215" s="104">
        <f>I215*H215</f>
        <v>2820.8146711500003</v>
      </c>
    </row>
    <row r="216" spans="1:14">
      <c r="A216" s="16"/>
      <c r="B216" s="5" t="s">
        <v>108</v>
      </c>
      <c r="C216" s="94">
        <v>1</v>
      </c>
      <c r="D216" s="7">
        <v>1925.7994000000001</v>
      </c>
      <c r="E216" s="139">
        <f>E215</f>
        <v>96</v>
      </c>
      <c r="F216" s="5">
        <v>1979</v>
      </c>
      <c r="G216" s="6">
        <f t="shared" ref="G216:G219" si="152">C216*F216</f>
        <v>1979</v>
      </c>
      <c r="H216" s="6">
        <f t="shared" ref="H216:H217" si="153">G216/E216</f>
        <v>20.614583333333332</v>
      </c>
      <c r="I216" s="7">
        <f t="shared" ref="I216:I219" si="154">D216*12*1.302/1979</f>
        <v>15.203986773926227</v>
      </c>
      <c r="J216" s="105">
        <f t="shared" ref="J216:J219" si="155">I216*H216</f>
        <v>313.42385235</v>
      </c>
    </row>
    <row r="217" spans="1:14">
      <c r="A217" s="16"/>
      <c r="B217" s="5" t="s">
        <v>46</v>
      </c>
      <c r="C217" s="94">
        <v>3</v>
      </c>
      <c r="D217" s="7">
        <v>1925.7994000000001</v>
      </c>
      <c r="E217" s="139">
        <f>E215</f>
        <v>96</v>
      </c>
      <c r="F217" s="5">
        <v>1979</v>
      </c>
      <c r="G217" s="6">
        <f t="shared" si="152"/>
        <v>5937</v>
      </c>
      <c r="H217" s="6">
        <f t="shared" si="153"/>
        <v>61.84375</v>
      </c>
      <c r="I217" s="7">
        <f t="shared" si="154"/>
        <v>15.203986773926227</v>
      </c>
      <c r="J217" s="105">
        <f t="shared" si="155"/>
        <v>940.27155705000007</v>
      </c>
    </row>
    <row r="218" spans="1:14">
      <c r="A218" s="16"/>
      <c r="B218" s="5" t="s">
        <v>90</v>
      </c>
      <c r="C218" s="94">
        <v>1.5</v>
      </c>
      <c r="D218" s="7">
        <v>1925.7994000000001</v>
      </c>
      <c r="E218" s="139">
        <f>E215</f>
        <v>96</v>
      </c>
      <c r="F218" s="5">
        <v>1979</v>
      </c>
      <c r="G218" s="6">
        <f t="shared" si="152"/>
        <v>2968.5</v>
      </c>
      <c r="H218" s="6">
        <f>G218/E218</f>
        <v>30.921875</v>
      </c>
      <c r="I218" s="7">
        <f t="shared" si="154"/>
        <v>15.203986773926227</v>
      </c>
      <c r="J218" s="105">
        <f t="shared" si="155"/>
        <v>470.13577852500003</v>
      </c>
    </row>
    <row r="219" spans="1:14">
      <c r="A219" s="16"/>
      <c r="B219" s="5" t="s">
        <v>47</v>
      </c>
      <c r="C219" s="94">
        <v>1.5</v>
      </c>
      <c r="D219" s="7">
        <v>1925.7994000000001</v>
      </c>
      <c r="E219" s="139">
        <f>E215</f>
        <v>96</v>
      </c>
      <c r="F219" s="5">
        <v>1979</v>
      </c>
      <c r="G219" s="6">
        <f t="shared" si="152"/>
        <v>2968.5</v>
      </c>
      <c r="H219" s="6">
        <f t="shared" ref="H219" si="156">G219/E219</f>
        <v>30.921875</v>
      </c>
      <c r="I219" s="7">
        <f t="shared" si="154"/>
        <v>15.203986773926227</v>
      </c>
      <c r="J219" s="105">
        <f t="shared" si="155"/>
        <v>470.13577852500003</v>
      </c>
    </row>
    <row r="220" spans="1:14">
      <c r="A220" s="16"/>
      <c r="B220" s="5"/>
      <c r="C220" s="94"/>
      <c r="D220" s="5"/>
      <c r="E220" s="139">
        <f>E215</f>
        <v>96</v>
      </c>
      <c r="F220" s="5"/>
      <c r="G220" s="6"/>
      <c r="H220" s="6"/>
      <c r="I220" s="7"/>
      <c r="J220" s="105">
        <f t="shared" ref="J220" si="157">I220*H220</f>
        <v>0</v>
      </c>
    </row>
    <row r="221" spans="1:14" ht="15.75" thickBot="1">
      <c r="A221" s="17"/>
      <c r="B221" s="18"/>
      <c r="C221" s="98">
        <f>SUM(C215:C220)</f>
        <v>16</v>
      </c>
      <c r="D221" s="18"/>
      <c r="E221" s="140"/>
      <c r="F221" s="18"/>
      <c r="G221" s="19"/>
      <c r="H221" s="19"/>
      <c r="I221" s="20"/>
      <c r="J221" s="109">
        <f>SUM(J215:J220)</f>
        <v>5014.7816376000001</v>
      </c>
    </row>
    <row r="222" spans="1:14" ht="15.75" thickBot="1">
      <c r="A222" s="58"/>
      <c r="B222" s="59"/>
      <c r="C222" s="59"/>
      <c r="D222" s="59"/>
      <c r="E222" s="141"/>
      <c r="F222" s="59"/>
      <c r="G222" s="62"/>
      <c r="H222" s="154" t="s">
        <v>60</v>
      </c>
      <c r="I222" s="155"/>
      <c r="J222" s="107">
        <f>J221-J223</f>
        <v>0</v>
      </c>
      <c r="K222" s="57">
        <f>J222*122</f>
        <v>0</v>
      </c>
      <c r="L222" s="57"/>
      <c r="M222" s="57">
        <f>L222-K222</f>
        <v>0</v>
      </c>
    </row>
    <row r="223" spans="1:14" ht="15.75" thickBot="1">
      <c r="A223" s="58"/>
      <c r="B223" s="59"/>
      <c r="C223" s="59"/>
      <c r="D223" s="80"/>
      <c r="E223" s="143"/>
      <c r="F223" s="59"/>
      <c r="G223" s="62"/>
      <c r="H223" s="154" t="s">
        <v>57</v>
      </c>
      <c r="I223" s="155"/>
      <c r="J223" s="107">
        <f>J215+J216+J217+J218+J219</f>
        <v>5014.7816376000001</v>
      </c>
      <c r="K223" s="142">
        <f>J223*E215</f>
        <v>481419.03720959998</v>
      </c>
      <c r="L223" s="142">
        <f>(3726335+1125353-37497.6)*0.1</f>
        <v>481419.04000000004</v>
      </c>
      <c r="M223" s="142">
        <f>L223-K223</f>
        <v>2.7904000598937273E-3</v>
      </c>
      <c r="N223" s="82">
        <f>L223/1.302/12/16</f>
        <v>1925.7994111623145</v>
      </c>
    </row>
    <row r="224" spans="1:14">
      <c r="A224" s="12" t="s">
        <v>73</v>
      </c>
      <c r="B224" s="13" t="s">
        <v>45</v>
      </c>
      <c r="C224" s="93">
        <v>6.75</v>
      </c>
      <c r="D224" s="7">
        <v>1466.5001999999999</v>
      </c>
      <c r="E224" s="139">
        <f>ком.усл!A138</f>
        <v>44</v>
      </c>
      <c r="F224" s="5">
        <v>1979</v>
      </c>
      <c r="G224" s="14">
        <f>C224*F224</f>
        <v>13358.25</v>
      </c>
      <c r="H224" s="14">
        <f>G224/E224</f>
        <v>303.59659090909093</v>
      </c>
      <c r="I224" s="7">
        <f>D224*12*1.302/1979</f>
        <v>11.577867167660434</v>
      </c>
      <c r="J224" s="104">
        <f>I224*H224</f>
        <v>3515.0010021000003</v>
      </c>
    </row>
    <row r="225" spans="1:14">
      <c r="A225" s="16"/>
      <c r="B225" s="5" t="s">
        <v>116</v>
      </c>
      <c r="C225" s="94">
        <v>0.25</v>
      </c>
      <c r="D225" s="7">
        <v>1466.5001999999999</v>
      </c>
      <c r="E225" s="139">
        <f>E224</f>
        <v>44</v>
      </c>
      <c r="F225" s="5">
        <v>1979</v>
      </c>
      <c r="G225" s="6">
        <f t="shared" ref="G225:G229" si="158">C225*F225</f>
        <v>494.75</v>
      </c>
      <c r="H225" s="6">
        <f t="shared" ref="H225:H226" si="159">G225/E225</f>
        <v>11.244318181818182</v>
      </c>
      <c r="I225" s="7">
        <f t="shared" ref="I225:I229" si="160">D225*12*1.302/1979</f>
        <v>11.577867167660434</v>
      </c>
      <c r="J225" s="105">
        <f t="shared" ref="J225:J228" si="161">I225*H225</f>
        <v>130.18522229999999</v>
      </c>
    </row>
    <row r="226" spans="1:14">
      <c r="A226" s="16"/>
      <c r="B226" s="5" t="s">
        <v>46</v>
      </c>
      <c r="C226" s="94">
        <v>3</v>
      </c>
      <c r="D226" s="7">
        <v>1466.5001999999999</v>
      </c>
      <c r="E226" s="139">
        <f>E224</f>
        <v>44</v>
      </c>
      <c r="F226" s="5">
        <v>1979</v>
      </c>
      <c r="G226" s="6">
        <f t="shared" si="158"/>
        <v>5937</v>
      </c>
      <c r="H226" s="6">
        <f t="shared" si="159"/>
        <v>134.93181818181819</v>
      </c>
      <c r="I226" s="7">
        <f t="shared" si="160"/>
        <v>11.577867167660434</v>
      </c>
      <c r="J226" s="105">
        <f t="shared" si="161"/>
        <v>1562.2226676</v>
      </c>
    </row>
    <row r="227" spans="1:14">
      <c r="A227" s="16"/>
      <c r="B227" s="5" t="s">
        <v>90</v>
      </c>
      <c r="C227" s="94">
        <v>0.75</v>
      </c>
      <c r="D227" s="7">
        <v>1466.5001999999999</v>
      </c>
      <c r="E227" s="139">
        <f>E224</f>
        <v>44</v>
      </c>
      <c r="F227" s="5">
        <v>1979</v>
      </c>
      <c r="G227" s="6">
        <f t="shared" si="158"/>
        <v>1484.25</v>
      </c>
      <c r="H227" s="6">
        <f>G227/E227</f>
        <v>33.732954545454547</v>
      </c>
      <c r="I227" s="7">
        <f t="shared" si="160"/>
        <v>11.577867167660434</v>
      </c>
      <c r="J227" s="105">
        <f t="shared" si="161"/>
        <v>390.55566690000001</v>
      </c>
    </row>
    <row r="228" spans="1:14">
      <c r="A228" s="16"/>
      <c r="B228" s="5" t="s">
        <v>47</v>
      </c>
      <c r="C228" s="94">
        <v>1.5</v>
      </c>
      <c r="D228" s="7">
        <v>1466.5001999999999</v>
      </c>
      <c r="E228" s="139">
        <f>E224</f>
        <v>44</v>
      </c>
      <c r="F228" s="5">
        <v>1979</v>
      </c>
      <c r="G228" s="6">
        <f t="shared" si="158"/>
        <v>2968.5</v>
      </c>
      <c r="H228" s="6">
        <f t="shared" ref="H228:H229" si="162">G228/E228</f>
        <v>67.465909090909093</v>
      </c>
      <c r="I228" s="7">
        <f t="shared" si="160"/>
        <v>11.577867167660434</v>
      </c>
      <c r="J228" s="105">
        <f t="shared" si="161"/>
        <v>781.11133380000001</v>
      </c>
    </row>
    <row r="229" spans="1:14">
      <c r="A229" s="16"/>
      <c r="B229" s="5" t="s">
        <v>108</v>
      </c>
      <c r="C229" s="94">
        <v>0.75</v>
      </c>
      <c r="D229" s="7">
        <v>1466.5001999999999</v>
      </c>
      <c r="E229" s="139">
        <f>E224</f>
        <v>44</v>
      </c>
      <c r="F229" s="5">
        <v>1979</v>
      </c>
      <c r="G229" s="6">
        <f t="shared" si="158"/>
        <v>1484.25</v>
      </c>
      <c r="H229" s="6">
        <f t="shared" si="162"/>
        <v>33.732954545454547</v>
      </c>
      <c r="I229" s="7">
        <f t="shared" si="160"/>
        <v>11.577867167660434</v>
      </c>
      <c r="J229" s="105">
        <f t="shared" ref="J229" si="163">I229*H229</f>
        <v>390.55566690000001</v>
      </c>
    </row>
    <row r="230" spans="1:14" ht="15.75" thickBot="1">
      <c r="A230" s="17"/>
      <c r="B230" s="18"/>
      <c r="C230" s="98">
        <f>SUM(C224:C229)</f>
        <v>13</v>
      </c>
      <c r="D230" s="18"/>
      <c r="E230" s="140"/>
      <c r="F230" s="18"/>
      <c r="G230" s="19"/>
      <c r="H230" s="19"/>
      <c r="I230" s="20"/>
      <c r="J230" s="109">
        <f>SUM(J224:J229)</f>
        <v>6769.6315596000004</v>
      </c>
    </row>
    <row r="231" spans="1:14" ht="15.75" thickBot="1">
      <c r="A231" s="58"/>
      <c r="B231" s="59"/>
      <c r="C231" s="59"/>
      <c r="D231" s="59"/>
      <c r="E231" s="141"/>
      <c r="F231" s="59"/>
      <c r="G231" s="62"/>
      <c r="H231" s="154" t="s">
        <v>60</v>
      </c>
      <c r="I231" s="155"/>
      <c r="J231" s="107">
        <f>J230-J232</f>
        <v>0</v>
      </c>
      <c r="K231" s="57">
        <f>J231*122</f>
        <v>0</v>
      </c>
      <c r="L231" s="57"/>
      <c r="M231" s="57">
        <f>L231-K231</f>
        <v>0</v>
      </c>
    </row>
    <row r="232" spans="1:14" ht="15.75" thickBot="1">
      <c r="A232" s="58"/>
      <c r="B232" s="59"/>
      <c r="C232" s="59"/>
      <c r="D232" s="80"/>
      <c r="E232" s="143"/>
      <c r="F232" s="59"/>
      <c r="G232" s="62"/>
      <c r="H232" s="154" t="s">
        <v>57</v>
      </c>
      <c r="I232" s="155"/>
      <c r="J232" s="107">
        <f>J224+J225+J226+J227+J228+J229</f>
        <v>6769.6315596000004</v>
      </c>
      <c r="K232" s="142">
        <f>J232*E224</f>
        <v>297863.78862240002</v>
      </c>
      <c r="L232" s="142">
        <f>(4401868-648103.9-30466.8)*0.08</f>
        <v>297863.78400000004</v>
      </c>
      <c r="M232" s="142">
        <f>L232-K232</f>
        <v>-4.6223999815993011E-3</v>
      </c>
      <c r="N232" s="82">
        <f>L232/1.302/12/13</f>
        <v>1466.5001772421128</v>
      </c>
    </row>
    <row r="233" spans="1:14">
      <c r="A233" s="12" t="s">
        <v>74</v>
      </c>
      <c r="B233" s="13" t="s">
        <v>45</v>
      </c>
      <c r="C233" s="93">
        <v>8.25</v>
      </c>
      <c r="D233" s="7">
        <v>2311.4863</v>
      </c>
      <c r="E233" s="139">
        <f>ком.усл!A143</f>
        <v>116</v>
      </c>
      <c r="F233" s="5">
        <v>1979</v>
      </c>
      <c r="G233" s="14">
        <f>C233*F233</f>
        <v>16326.75</v>
      </c>
      <c r="H233" s="14">
        <f>G233/E233</f>
        <v>140.74784482758622</v>
      </c>
      <c r="I233" s="7">
        <f>D233*12*1.302/1979</f>
        <v>18.248944897018696</v>
      </c>
      <c r="J233" s="104">
        <f>I233*H233</f>
        <v>2568.4996646327586</v>
      </c>
    </row>
    <row r="234" spans="1:14">
      <c r="A234" s="16"/>
      <c r="B234" s="5" t="s">
        <v>108</v>
      </c>
      <c r="C234" s="94">
        <v>2</v>
      </c>
      <c r="D234" s="7">
        <v>2311.4863</v>
      </c>
      <c r="E234" s="139">
        <f>E233</f>
        <v>116</v>
      </c>
      <c r="F234" s="5">
        <v>1979</v>
      </c>
      <c r="G234" s="6">
        <f t="shared" ref="G234:G237" si="164">C234*F234</f>
        <v>3958</v>
      </c>
      <c r="H234" s="6">
        <f t="shared" ref="H234:H235" si="165">G234/E234</f>
        <v>34.120689655172413</v>
      </c>
      <c r="I234" s="7">
        <f t="shared" ref="I234:I237" si="166">D234*12*1.302/1979</f>
        <v>18.248944897018696</v>
      </c>
      <c r="J234" s="105">
        <f t="shared" ref="J234:J237" si="167">I234*H234</f>
        <v>622.66658536551722</v>
      </c>
    </row>
    <row r="235" spans="1:14">
      <c r="A235" s="16"/>
      <c r="B235" s="5" t="s">
        <v>46</v>
      </c>
      <c r="C235" s="94">
        <v>6</v>
      </c>
      <c r="D235" s="7">
        <v>2311.4863</v>
      </c>
      <c r="E235" s="139">
        <f>E233</f>
        <v>116</v>
      </c>
      <c r="F235" s="5">
        <v>1979</v>
      </c>
      <c r="G235" s="6">
        <f t="shared" si="164"/>
        <v>11874</v>
      </c>
      <c r="H235" s="6">
        <f t="shared" si="165"/>
        <v>102.36206896551724</v>
      </c>
      <c r="I235" s="7">
        <f t="shared" si="166"/>
        <v>18.248944897018696</v>
      </c>
      <c r="J235" s="105">
        <f t="shared" si="167"/>
        <v>1867.9997560965517</v>
      </c>
    </row>
    <row r="236" spans="1:14">
      <c r="A236" s="16"/>
      <c r="B236" s="5" t="s">
        <v>90</v>
      </c>
      <c r="C236" s="94">
        <v>2.75</v>
      </c>
      <c r="D236" s="7">
        <v>2311.4863</v>
      </c>
      <c r="E236" s="139">
        <f>E233</f>
        <v>116</v>
      </c>
      <c r="F236" s="5">
        <v>1979</v>
      </c>
      <c r="G236" s="6">
        <f t="shared" si="164"/>
        <v>5442.25</v>
      </c>
      <c r="H236" s="6">
        <f>G236/E236</f>
        <v>46.915948275862071</v>
      </c>
      <c r="I236" s="7">
        <f t="shared" si="166"/>
        <v>18.248944897018696</v>
      </c>
      <c r="J236" s="105">
        <f t="shared" si="167"/>
        <v>856.16655487758624</v>
      </c>
    </row>
    <row r="237" spans="1:14">
      <c r="A237" s="16"/>
      <c r="B237" s="5" t="s">
        <v>47</v>
      </c>
      <c r="C237" s="94">
        <v>3.75</v>
      </c>
      <c r="D237" s="7">
        <v>2311.4863</v>
      </c>
      <c r="E237" s="139">
        <f>E233</f>
        <v>116</v>
      </c>
      <c r="F237" s="5">
        <v>1979</v>
      </c>
      <c r="G237" s="6">
        <f t="shared" si="164"/>
        <v>7421.25</v>
      </c>
      <c r="H237" s="6">
        <f t="shared" ref="H237" si="168">G237/E237</f>
        <v>63.976293103448278</v>
      </c>
      <c r="I237" s="7">
        <f t="shared" si="166"/>
        <v>18.248944897018696</v>
      </c>
      <c r="J237" s="105">
        <f t="shared" si="167"/>
        <v>1167.4998475603447</v>
      </c>
    </row>
    <row r="238" spans="1:14">
      <c r="A238" s="16"/>
      <c r="B238" s="5"/>
      <c r="C238" s="94"/>
      <c r="D238" s="5"/>
      <c r="E238" s="139">
        <f>E233</f>
        <v>116</v>
      </c>
      <c r="F238" s="5"/>
      <c r="G238" s="6"/>
      <c r="H238" s="6"/>
      <c r="I238" s="7"/>
      <c r="J238" s="105">
        <f t="shared" ref="J238" si="169">I238*H238</f>
        <v>0</v>
      </c>
    </row>
    <row r="239" spans="1:14" ht="15.75" thickBot="1">
      <c r="A239" s="17"/>
      <c r="B239" s="18"/>
      <c r="C239" s="96">
        <f>SUM(C233:C238)</f>
        <v>22.75</v>
      </c>
      <c r="D239" s="18"/>
      <c r="E239" s="140"/>
      <c r="F239" s="18"/>
      <c r="G239" s="19"/>
      <c r="H239" s="19"/>
      <c r="I239" s="20"/>
      <c r="J239" s="109">
        <f>SUM(J233:J238)</f>
        <v>7082.8324085327586</v>
      </c>
    </row>
    <row r="240" spans="1:14" ht="15.75" thickBot="1">
      <c r="A240" s="58"/>
      <c r="B240" s="59"/>
      <c r="C240" s="59"/>
      <c r="D240" s="59"/>
      <c r="E240" s="141"/>
      <c r="F240" s="59"/>
      <c r="G240" s="62"/>
      <c r="H240" s="154" t="s">
        <v>60</v>
      </c>
      <c r="I240" s="155"/>
      <c r="J240" s="107">
        <f>J239-J241</f>
        <v>0</v>
      </c>
      <c r="K240" s="57">
        <f>J240*122</f>
        <v>0</v>
      </c>
      <c r="L240" s="57"/>
      <c r="M240" s="57">
        <f>L240-K240</f>
        <v>0</v>
      </c>
    </row>
    <row r="241" spans="1:14" ht="15.75" thickBot="1">
      <c r="A241" s="58"/>
      <c r="B241" s="59"/>
      <c r="C241" s="59"/>
      <c r="D241" s="80"/>
      <c r="E241" s="143"/>
      <c r="F241" s="59"/>
      <c r="G241" s="62"/>
      <c r="H241" s="154" t="s">
        <v>57</v>
      </c>
      <c r="I241" s="155"/>
      <c r="J241" s="107">
        <f>J233+J234+J235+J236+J237</f>
        <v>7082.8324085327586</v>
      </c>
      <c r="K241" s="142">
        <f>J241*E233</f>
        <v>821608.55938979995</v>
      </c>
      <c r="L241" s="142">
        <f>(6900055-53316.9)*0.12</f>
        <v>821608.57199999993</v>
      </c>
      <c r="M241" s="142">
        <f>L241-K241</f>
        <v>1.2610199977643788E-2</v>
      </c>
      <c r="N241" s="82">
        <f>L241/1.302/12/22.75</f>
        <v>2311.4863354771187</v>
      </c>
    </row>
    <row r="242" spans="1:14">
      <c r="A242" s="12" t="s">
        <v>75</v>
      </c>
      <c r="B242" s="13" t="s">
        <v>45</v>
      </c>
      <c r="C242" s="93">
        <v>3</v>
      </c>
      <c r="D242" s="7">
        <v>2310.9587000000001</v>
      </c>
      <c r="E242" s="139">
        <f>ком.усл!A149</f>
        <v>34</v>
      </c>
      <c r="F242" s="5">
        <v>1979</v>
      </c>
      <c r="G242" s="14">
        <f>C242*F242</f>
        <v>5937</v>
      </c>
      <c r="H242" s="14">
        <f>G242/E242</f>
        <v>174.61764705882354</v>
      </c>
      <c r="I242" s="7">
        <f>D242*12*1.302/1979</f>
        <v>18.244779549671552</v>
      </c>
      <c r="J242" s="104">
        <f>I242*H242</f>
        <v>3185.8604760705884</v>
      </c>
    </row>
    <row r="243" spans="1:14">
      <c r="A243" s="16"/>
      <c r="B243" s="5" t="s">
        <v>108</v>
      </c>
      <c r="C243" s="94">
        <v>0.75</v>
      </c>
      <c r="D243" s="7">
        <v>2310.9587000000001</v>
      </c>
      <c r="E243" s="139">
        <f>E242</f>
        <v>34</v>
      </c>
      <c r="F243" s="5">
        <v>1979</v>
      </c>
      <c r="G243" s="6">
        <f t="shared" ref="G243:G246" si="170">C243*F243</f>
        <v>1484.25</v>
      </c>
      <c r="H243" s="6">
        <f t="shared" ref="H243:H244" si="171">G243/E243</f>
        <v>43.654411764705884</v>
      </c>
      <c r="I243" s="7">
        <f t="shared" ref="I243:I246" si="172">D243*12*1.302/1979</f>
        <v>18.244779549671552</v>
      </c>
      <c r="J243" s="105">
        <f t="shared" ref="J243:J246" si="173">I243*H243</f>
        <v>796.46511901764711</v>
      </c>
    </row>
    <row r="244" spans="1:14">
      <c r="A244" s="16"/>
      <c r="B244" s="5" t="s">
        <v>46</v>
      </c>
      <c r="C244" s="94">
        <v>3</v>
      </c>
      <c r="D244" s="7">
        <v>2310.9587000000001</v>
      </c>
      <c r="E244" s="139">
        <f>E242</f>
        <v>34</v>
      </c>
      <c r="F244" s="5">
        <v>1979</v>
      </c>
      <c r="G244" s="6">
        <f t="shared" si="170"/>
        <v>5937</v>
      </c>
      <c r="H244" s="6">
        <f t="shared" si="171"/>
        <v>174.61764705882354</v>
      </c>
      <c r="I244" s="7">
        <f t="shared" si="172"/>
        <v>18.244779549671552</v>
      </c>
      <c r="J244" s="105">
        <f t="shared" si="173"/>
        <v>3185.8604760705884</v>
      </c>
    </row>
    <row r="245" spans="1:14">
      <c r="A245" s="16"/>
      <c r="B245" s="5" t="s">
        <v>90</v>
      </c>
      <c r="C245" s="94">
        <v>0.75</v>
      </c>
      <c r="D245" s="7">
        <v>2310.9587000000001</v>
      </c>
      <c r="E245" s="139">
        <f>E242</f>
        <v>34</v>
      </c>
      <c r="F245" s="5">
        <v>1979</v>
      </c>
      <c r="G245" s="6">
        <f t="shared" si="170"/>
        <v>1484.25</v>
      </c>
      <c r="H245" s="6">
        <f>G245/E245</f>
        <v>43.654411764705884</v>
      </c>
      <c r="I245" s="7">
        <f t="shared" si="172"/>
        <v>18.244779549671552</v>
      </c>
      <c r="J245" s="105">
        <f t="shared" si="173"/>
        <v>796.46511901764711</v>
      </c>
    </row>
    <row r="246" spans="1:14">
      <c r="A246" s="16"/>
      <c r="B246" s="5" t="s">
        <v>47</v>
      </c>
      <c r="C246" s="94">
        <v>0.75</v>
      </c>
      <c r="D246" s="7">
        <v>2310.9587000000001</v>
      </c>
      <c r="E246" s="139">
        <f>E242</f>
        <v>34</v>
      </c>
      <c r="F246" s="5">
        <v>1979</v>
      </c>
      <c r="G246" s="6">
        <f t="shared" si="170"/>
        <v>1484.25</v>
      </c>
      <c r="H246" s="6">
        <f t="shared" ref="H246" si="174">G246/E246</f>
        <v>43.654411764705884</v>
      </c>
      <c r="I246" s="7">
        <f t="shared" si="172"/>
        <v>18.244779549671552</v>
      </c>
      <c r="J246" s="105">
        <f t="shared" si="173"/>
        <v>796.46511901764711</v>
      </c>
    </row>
    <row r="247" spans="1:14">
      <c r="A247" s="16"/>
      <c r="B247" s="5"/>
      <c r="C247" s="94"/>
      <c r="D247" s="5"/>
      <c r="E247" s="139">
        <f>E242</f>
        <v>34</v>
      </c>
      <c r="F247" s="5"/>
      <c r="G247" s="6"/>
      <c r="H247" s="6"/>
      <c r="I247" s="7"/>
      <c r="J247" s="105">
        <f t="shared" ref="J247" si="175">I247*H247</f>
        <v>0</v>
      </c>
    </row>
    <row r="248" spans="1:14" ht="15.75" thickBot="1">
      <c r="A248" s="17"/>
      <c r="B248" s="18"/>
      <c r="C248" s="98">
        <f>SUM(C242:C247)</f>
        <v>8.25</v>
      </c>
      <c r="D248" s="18"/>
      <c r="E248" s="140"/>
      <c r="F248" s="18"/>
      <c r="G248" s="19"/>
      <c r="H248" s="19"/>
      <c r="I248" s="20"/>
      <c r="J248" s="109">
        <f>SUM(J242:J247)</f>
        <v>8761.116309194118</v>
      </c>
    </row>
    <row r="249" spans="1:14" ht="15.75" thickBot="1">
      <c r="A249" s="58"/>
      <c r="B249" s="59"/>
      <c r="C249" s="59"/>
      <c r="D249" s="59"/>
      <c r="E249" s="141"/>
      <c r="F249" s="59"/>
      <c r="G249" s="62"/>
      <c r="H249" s="154" t="s">
        <v>60</v>
      </c>
      <c r="I249" s="155"/>
      <c r="J249" s="107">
        <f>J248-J250</f>
        <v>0</v>
      </c>
      <c r="K249" s="57">
        <f>J249*122</f>
        <v>0</v>
      </c>
      <c r="L249" s="57"/>
      <c r="M249" s="57">
        <f>L249-K249</f>
        <v>0</v>
      </c>
    </row>
    <row r="250" spans="1:14" ht="15.75" thickBot="1">
      <c r="A250" s="58"/>
      <c r="B250" s="59"/>
      <c r="C250" s="59"/>
      <c r="D250" s="59"/>
      <c r="E250" s="141"/>
      <c r="F250" s="59"/>
      <c r="G250" s="62"/>
      <c r="H250" s="154" t="s">
        <v>57</v>
      </c>
      <c r="I250" s="155"/>
      <c r="J250" s="107">
        <f>J242+J243+J244+J245+J246</f>
        <v>8761.116309194118</v>
      </c>
      <c r="K250" s="142">
        <f>J250*E242</f>
        <v>297877.95451260003</v>
      </c>
      <c r="L250" s="142">
        <f>(2501651-19334.7)*0.12</f>
        <v>297877.95599999995</v>
      </c>
      <c r="M250" s="142">
        <f>L250-K250</f>
        <v>1.4873999170958996E-3</v>
      </c>
      <c r="N250" s="82">
        <f>L250/1.302/12/8.25</f>
        <v>2310.9587115393565</v>
      </c>
    </row>
    <row r="251" spans="1:14">
      <c r="A251" s="12" t="s">
        <v>76</v>
      </c>
      <c r="B251" s="13" t="s">
        <v>45</v>
      </c>
      <c r="C251" s="99">
        <v>3.75</v>
      </c>
      <c r="D251" s="15"/>
      <c r="E251" s="138"/>
      <c r="F251" s="5">
        <v>1979</v>
      </c>
      <c r="G251" s="14">
        <f>C251*F251</f>
        <v>7421.25</v>
      </c>
      <c r="H251" s="14" t="e">
        <f>G251/E251</f>
        <v>#DIV/0!</v>
      </c>
      <c r="I251" s="7">
        <f>D251*12*1.302/1979</f>
        <v>0</v>
      </c>
      <c r="J251" s="104" t="e">
        <f>I251*H251</f>
        <v>#DIV/0!</v>
      </c>
    </row>
    <row r="252" spans="1:14">
      <c r="A252" s="16"/>
      <c r="B252" s="5" t="s">
        <v>109</v>
      </c>
      <c r="C252" s="95"/>
      <c r="D252" s="5"/>
      <c r="E252" s="139"/>
      <c r="F252" s="5">
        <v>1979</v>
      </c>
      <c r="G252" s="6">
        <f t="shared" ref="G252:G255" si="176">C252*F252</f>
        <v>0</v>
      </c>
      <c r="H252" s="6" t="e">
        <f t="shared" ref="H252:H253" si="177">G252/E252</f>
        <v>#DIV/0!</v>
      </c>
      <c r="I252" s="7">
        <f t="shared" ref="I252:I255" si="178">D252*12*1.302/1979</f>
        <v>0</v>
      </c>
      <c r="J252" s="105" t="e">
        <f t="shared" ref="J252:J255" si="179">I252*H252</f>
        <v>#DIV/0!</v>
      </c>
    </row>
    <row r="253" spans="1:14">
      <c r="A253" s="16"/>
      <c r="B253" s="5" t="s">
        <v>46</v>
      </c>
      <c r="C253" s="95">
        <v>3</v>
      </c>
      <c r="D253" s="5"/>
      <c r="E253" s="139"/>
      <c r="F253" s="5">
        <v>1979</v>
      </c>
      <c r="G253" s="6">
        <f t="shared" si="176"/>
        <v>5937</v>
      </c>
      <c r="H253" s="6" t="e">
        <f t="shared" si="177"/>
        <v>#DIV/0!</v>
      </c>
      <c r="I253" s="7">
        <f t="shared" si="178"/>
        <v>0</v>
      </c>
      <c r="J253" s="105" t="e">
        <f t="shared" si="179"/>
        <v>#DIV/0!</v>
      </c>
    </row>
    <row r="254" spans="1:14">
      <c r="A254" s="16"/>
      <c r="B254" s="5" t="s">
        <v>90</v>
      </c>
      <c r="C254" s="95">
        <v>0.75</v>
      </c>
      <c r="D254" s="5"/>
      <c r="E254" s="139"/>
      <c r="F254" s="5">
        <v>1979</v>
      </c>
      <c r="G254" s="6">
        <f t="shared" si="176"/>
        <v>1484.25</v>
      </c>
      <c r="H254" s="6" t="e">
        <f>G254/E254</f>
        <v>#DIV/0!</v>
      </c>
      <c r="I254" s="7">
        <f t="shared" si="178"/>
        <v>0</v>
      </c>
      <c r="J254" s="105" t="e">
        <f t="shared" si="179"/>
        <v>#DIV/0!</v>
      </c>
    </row>
    <row r="255" spans="1:14">
      <c r="A255" s="16"/>
      <c r="B255" s="5" t="s">
        <v>47</v>
      </c>
      <c r="C255" s="95">
        <v>1</v>
      </c>
      <c r="D255" s="5"/>
      <c r="E255" s="139"/>
      <c r="F255" s="5">
        <v>1979</v>
      </c>
      <c r="G255" s="6">
        <f t="shared" si="176"/>
        <v>1979</v>
      </c>
      <c r="H255" s="6" t="e">
        <f t="shared" ref="H255" si="180">G255/E255</f>
        <v>#DIV/0!</v>
      </c>
      <c r="I255" s="7">
        <f t="shared" si="178"/>
        <v>0</v>
      </c>
      <c r="J255" s="105" t="e">
        <f t="shared" si="179"/>
        <v>#DIV/0!</v>
      </c>
    </row>
    <row r="256" spans="1:14">
      <c r="A256" s="16"/>
      <c r="B256" s="5"/>
      <c r="C256" s="95"/>
      <c r="D256" s="5"/>
      <c r="E256" s="139"/>
      <c r="F256" s="5"/>
      <c r="G256" s="6"/>
      <c r="H256" s="6"/>
      <c r="I256" s="7"/>
      <c r="J256" s="105">
        <f t="shared" ref="J256" si="181">I256*H256</f>
        <v>0</v>
      </c>
    </row>
    <row r="257" spans="1:13" ht="15.75" thickBot="1">
      <c r="A257" s="17"/>
      <c r="B257" s="18"/>
      <c r="C257" s="98">
        <f>SUM(C251:C256)</f>
        <v>8.5</v>
      </c>
      <c r="D257" s="18"/>
      <c r="E257" s="140"/>
      <c r="F257" s="18"/>
      <c r="G257" s="19"/>
      <c r="H257" s="19"/>
      <c r="I257" s="20"/>
      <c r="J257" s="109" t="e">
        <f>SUM(J251:J256)</f>
        <v>#DIV/0!</v>
      </c>
    </row>
    <row r="258" spans="1:13" ht="15.75" thickBot="1">
      <c r="A258" s="58"/>
      <c r="B258" s="59"/>
      <c r="C258" s="59"/>
      <c r="D258" s="59"/>
      <c r="E258" s="59"/>
      <c r="F258" s="59"/>
      <c r="G258" s="62"/>
      <c r="H258" s="154" t="s">
        <v>60</v>
      </c>
      <c r="I258" s="155"/>
      <c r="J258" s="107" t="e">
        <f>J257-J259</f>
        <v>#DIV/0!</v>
      </c>
      <c r="K258" s="57">
        <v>0</v>
      </c>
      <c r="L258" s="57"/>
      <c r="M258" s="57">
        <f>L258-K258</f>
        <v>0</v>
      </c>
    </row>
    <row r="259" spans="1:13" ht="15.75" thickBot="1">
      <c r="A259" s="58"/>
      <c r="B259" s="59"/>
      <c r="C259" s="59"/>
      <c r="D259" s="59"/>
      <c r="E259" s="59"/>
      <c r="F259" s="59"/>
      <c r="G259" s="62"/>
      <c r="H259" s="154" t="s">
        <v>57</v>
      </c>
      <c r="I259" s="155"/>
      <c r="J259" s="107" t="e">
        <f>J251+J252+J253+J254+J255+#REF!</f>
        <v>#DIV/0!</v>
      </c>
      <c r="K259" s="57">
        <v>0</v>
      </c>
      <c r="L259" s="57"/>
      <c r="M259" s="57">
        <f>L259-K259</f>
        <v>0</v>
      </c>
    </row>
    <row r="261" spans="1:13" ht="18.75">
      <c r="A261" s="61" t="s">
        <v>80</v>
      </c>
    </row>
    <row r="262" spans="1:13" ht="117" customHeight="1">
      <c r="A262" s="4" t="s">
        <v>2</v>
      </c>
      <c r="B262" s="4" t="s">
        <v>4</v>
      </c>
      <c r="C262" s="4" t="s">
        <v>0</v>
      </c>
      <c r="D262" s="4" t="s">
        <v>13</v>
      </c>
      <c r="E262" s="4" t="s">
        <v>104</v>
      </c>
      <c r="F262" s="4" t="s">
        <v>1</v>
      </c>
      <c r="G262" s="4" t="s">
        <v>5</v>
      </c>
      <c r="H262" s="4" t="s">
        <v>7</v>
      </c>
      <c r="I262" s="4" t="s">
        <v>9</v>
      </c>
      <c r="J262" s="4" t="s">
        <v>11</v>
      </c>
      <c r="K262" s="2" t="s">
        <v>33</v>
      </c>
      <c r="L262" s="2" t="s">
        <v>34</v>
      </c>
      <c r="M262" s="2"/>
    </row>
    <row r="263" spans="1:13" ht="15.75" thickBot="1">
      <c r="A263" s="9">
        <v>1</v>
      </c>
      <c r="B263" s="10">
        <v>2</v>
      </c>
      <c r="C263" s="10">
        <v>3</v>
      </c>
      <c r="D263" s="10">
        <v>4</v>
      </c>
      <c r="E263" s="10">
        <v>5</v>
      </c>
      <c r="F263" s="10">
        <v>6</v>
      </c>
      <c r="G263" s="10" t="s">
        <v>6</v>
      </c>
      <c r="H263" s="9" t="s">
        <v>8</v>
      </c>
      <c r="I263" s="10" t="s">
        <v>10</v>
      </c>
      <c r="J263" s="10" t="s">
        <v>12</v>
      </c>
    </row>
    <row r="264" spans="1:13">
      <c r="A264" s="12" t="s">
        <v>64</v>
      </c>
      <c r="B264" s="13" t="s">
        <v>45</v>
      </c>
      <c r="C264" s="93">
        <v>3.25</v>
      </c>
      <c r="D264" s="13">
        <v>150</v>
      </c>
      <c r="E264" s="143">
        <f>ком.усл!A163</f>
        <v>53315</v>
      </c>
      <c r="F264" s="5">
        <v>1979</v>
      </c>
      <c r="G264" s="14">
        <f>C264*F264</f>
        <v>6431.75</v>
      </c>
      <c r="H264" s="14">
        <f>G264/E264</f>
        <v>0.12063678139360405</v>
      </c>
      <c r="I264" s="7">
        <f t="shared" ref="I264:I265" si="182">D264*12*1.302/1979</f>
        <v>1.1842344618494189</v>
      </c>
      <c r="J264" s="104">
        <f>I264*H264</f>
        <v>0.14286223389290068</v>
      </c>
    </row>
    <row r="265" spans="1:13">
      <c r="A265" s="16"/>
      <c r="B265" s="5" t="s">
        <v>116</v>
      </c>
      <c r="C265" s="94">
        <v>0.125</v>
      </c>
      <c r="D265" s="5">
        <v>150</v>
      </c>
      <c r="E265" s="139">
        <f>E264</f>
        <v>53315</v>
      </c>
      <c r="F265" s="5">
        <v>1979</v>
      </c>
      <c r="G265" s="6">
        <f t="shared" ref="G265:G268" si="183">C265*F265</f>
        <v>247.375</v>
      </c>
      <c r="H265" s="6">
        <f t="shared" ref="H265:H266" si="184">G265/E265</f>
        <v>4.6398762074463095E-3</v>
      </c>
      <c r="I265" s="7">
        <f t="shared" si="182"/>
        <v>1.1842344618494189</v>
      </c>
      <c r="J265" s="105">
        <f t="shared" ref="J265:J268" si="185">I265*H265</f>
        <v>5.4947013035731036E-3</v>
      </c>
    </row>
    <row r="266" spans="1:13">
      <c r="A266" s="16"/>
      <c r="B266" s="5" t="s">
        <v>46</v>
      </c>
      <c r="C266" s="95">
        <v>3</v>
      </c>
      <c r="D266" s="5">
        <v>150</v>
      </c>
      <c r="E266" s="139">
        <f>E265</f>
        <v>53315</v>
      </c>
      <c r="F266" s="5">
        <v>1979</v>
      </c>
      <c r="G266" s="6">
        <f t="shared" si="183"/>
        <v>5937</v>
      </c>
      <c r="H266" s="6">
        <f t="shared" si="184"/>
        <v>0.11135702897871143</v>
      </c>
      <c r="I266" s="7">
        <f>D266*12*1.302/1979</f>
        <v>1.1842344618494189</v>
      </c>
      <c r="J266" s="105">
        <f t="shared" si="185"/>
        <v>0.13187283128575447</v>
      </c>
    </row>
    <row r="267" spans="1:13">
      <c r="A267" s="16"/>
      <c r="B267" s="5" t="s">
        <v>90</v>
      </c>
      <c r="C267" s="94">
        <v>0.75</v>
      </c>
      <c r="D267" s="5">
        <v>150</v>
      </c>
      <c r="E267" s="139">
        <f>E265</f>
        <v>53315</v>
      </c>
      <c r="F267" s="5">
        <v>1979</v>
      </c>
      <c r="G267" s="6">
        <f t="shared" si="183"/>
        <v>1484.25</v>
      </c>
      <c r="H267" s="6">
        <f>G267/E267</f>
        <v>2.7839257244677857E-2</v>
      </c>
      <c r="I267" s="7">
        <f t="shared" ref="I267:I269" si="186">D267*12*1.302/1979</f>
        <v>1.1842344618494189</v>
      </c>
      <c r="J267" s="105">
        <f t="shared" si="185"/>
        <v>3.2968207821438618E-2</v>
      </c>
    </row>
    <row r="268" spans="1:13">
      <c r="A268" s="16"/>
      <c r="B268" s="5" t="s">
        <v>47</v>
      </c>
      <c r="C268" s="94">
        <v>0.75</v>
      </c>
      <c r="D268" s="5">
        <v>150</v>
      </c>
      <c r="E268" s="139">
        <f>E264</f>
        <v>53315</v>
      </c>
      <c r="F268" s="5">
        <v>1979</v>
      </c>
      <c r="G268" s="6">
        <f t="shared" si="183"/>
        <v>1484.25</v>
      </c>
      <c r="H268" s="6">
        <f t="shared" ref="H268" si="187">G268/E268</f>
        <v>2.7839257244677857E-2</v>
      </c>
      <c r="I268" s="7">
        <f t="shared" si="186"/>
        <v>1.1842344618494189</v>
      </c>
      <c r="J268" s="105">
        <f t="shared" si="185"/>
        <v>3.2968207821438618E-2</v>
      </c>
    </row>
    <row r="269" spans="1:13">
      <c r="A269" s="16"/>
      <c r="B269" s="5" t="s">
        <v>108</v>
      </c>
      <c r="C269" s="94">
        <v>0.75</v>
      </c>
      <c r="D269" s="5">
        <v>150</v>
      </c>
      <c r="E269" s="139">
        <f>E264</f>
        <v>53315</v>
      </c>
      <c r="F269" s="5">
        <v>1979</v>
      </c>
      <c r="G269" s="6">
        <f t="shared" ref="G269" si="188">C269*F269</f>
        <v>1484.25</v>
      </c>
      <c r="H269" s="6">
        <f t="shared" ref="H269" si="189">G269/E269</f>
        <v>2.7839257244677857E-2</v>
      </c>
      <c r="I269" s="7">
        <f t="shared" si="186"/>
        <v>1.1842344618494189</v>
      </c>
      <c r="J269" s="105">
        <f t="shared" ref="J269" si="190">I269*H269</f>
        <v>3.2968207821438618E-2</v>
      </c>
    </row>
    <row r="270" spans="1:13">
      <c r="A270" s="16"/>
      <c r="B270" s="5"/>
      <c r="C270" s="94"/>
      <c r="D270" s="5"/>
      <c r="E270" s="139"/>
      <c r="F270" s="5"/>
      <c r="G270" s="6"/>
      <c r="H270" s="6"/>
      <c r="I270" s="7"/>
      <c r="J270" s="105">
        <f t="shared" ref="J270" si="191">I270*H270</f>
        <v>0</v>
      </c>
    </row>
    <row r="271" spans="1:13" ht="15.75" thickBot="1">
      <c r="A271" s="17"/>
      <c r="B271" s="18"/>
      <c r="C271" s="96">
        <f>SUM(C264:C270)</f>
        <v>8.625</v>
      </c>
      <c r="D271" s="18"/>
      <c r="E271" s="140"/>
      <c r="F271" s="18"/>
      <c r="G271" s="19"/>
      <c r="H271" s="19"/>
      <c r="I271" s="20"/>
      <c r="J271" s="109">
        <f>SUM(J264:J270)</f>
        <v>0.37913438994654408</v>
      </c>
    </row>
    <row r="272" spans="1:13" ht="15.75" thickBot="1">
      <c r="A272" s="58"/>
      <c r="B272" s="59"/>
      <c r="C272" s="59"/>
      <c r="D272" s="59"/>
      <c r="E272" s="141"/>
      <c r="F272" s="59"/>
      <c r="G272" s="62"/>
      <c r="H272" s="154" t="s">
        <v>60</v>
      </c>
      <c r="I272" s="155"/>
      <c r="J272" s="107">
        <f>J271-J273</f>
        <v>0</v>
      </c>
      <c r="K272" s="142">
        <f>J272*122</f>
        <v>0</v>
      </c>
      <c r="L272" s="142"/>
      <c r="M272" s="57">
        <f>L272-K272</f>
        <v>0</v>
      </c>
    </row>
    <row r="273" spans="1:13" ht="15.75" thickBot="1">
      <c r="A273" s="58"/>
      <c r="B273" s="59"/>
      <c r="C273" s="59"/>
      <c r="D273" s="59"/>
      <c r="E273" s="143"/>
      <c r="F273" s="59"/>
      <c r="G273" s="62"/>
      <c r="H273" s="154" t="s">
        <v>57</v>
      </c>
      <c r="I273" s="155"/>
      <c r="J273" s="107">
        <f>J264+J265+J266+J267+J268+J269</f>
        <v>0.37913438994654408</v>
      </c>
      <c r="K273" s="142">
        <f>J273*E264</f>
        <v>20213.55</v>
      </c>
      <c r="L273" s="142">
        <v>20213.599999999999</v>
      </c>
      <c r="M273" s="57">
        <f>L273-K273</f>
        <v>4.9999999999272404E-2</v>
      </c>
    </row>
    <row r="274" spans="1:13">
      <c r="A274" s="12" t="s">
        <v>69</v>
      </c>
      <c r="B274" s="13" t="s">
        <v>45</v>
      </c>
      <c r="C274" s="93">
        <v>4.5</v>
      </c>
      <c r="D274" s="13">
        <v>150</v>
      </c>
      <c r="E274" s="143">
        <f>ком.усл!A168</f>
        <v>58690</v>
      </c>
      <c r="F274" s="5">
        <v>1979</v>
      </c>
      <c r="G274" s="14">
        <f>C274*F274</f>
        <v>8905.5</v>
      </c>
      <c r="H274" s="14">
        <f>G274/E274</f>
        <v>0.15173794513545749</v>
      </c>
      <c r="I274" s="7">
        <f t="shared" ref="I274:I275" si="192">D274*12*1.302/1979</f>
        <v>1.1842344618494189</v>
      </c>
      <c r="J274" s="104">
        <f>I274*H274</f>
        <v>0.17969330379962517</v>
      </c>
      <c r="K274" s="137"/>
      <c r="L274" s="137"/>
    </row>
    <row r="275" spans="1:13">
      <c r="A275" s="16"/>
      <c r="B275" s="5" t="s">
        <v>108</v>
      </c>
      <c r="C275" s="94">
        <v>3</v>
      </c>
      <c r="D275" s="5">
        <v>150</v>
      </c>
      <c r="E275" s="139">
        <f>E274</f>
        <v>58690</v>
      </c>
      <c r="F275" s="5">
        <v>1979</v>
      </c>
      <c r="G275" s="6">
        <f t="shared" ref="G275:G278" si="193">C275*F275</f>
        <v>5937</v>
      </c>
      <c r="H275" s="6">
        <f t="shared" ref="H275:H276" si="194">G275/E275</f>
        <v>0.101158630090305</v>
      </c>
      <c r="I275" s="7">
        <f t="shared" si="192"/>
        <v>1.1842344618494189</v>
      </c>
      <c r="J275" s="105">
        <f t="shared" ref="J275:J278" si="195">I275*H275</f>
        <v>0.11979553586641678</v>
      </c>
      <c r="K275" s="137"/>
      <c r="L275" s="137"/>
    </row>
    <row r="276" spans="1:13">
      <c r="A276" s="16"/>
      <c r="B276" s="5" t="s">
        <v>46</v>
      </c>
      <c r="C276" s="94">
        <v>6</v>
      </c>
      <c r="D276" s="5">
        <v>150</v>
      </c>
      <c r="E276" s="139">
        <f>E275</f>
        <v>58690</v>
      </c>
      <c r="F276" s="5">
        <v>1979</v>
      </c>
      <c r="G276" s="6">
        <f t="shared" si="193"/>
        <v>11874</v>
      </c>
      <c r="H276" s="6">
        <f t="shared" si="194"/>
        <v>0.20231726018061</v>
      </c>
      <c r="I276" s="7">
        <f>D276*12*1.302/1979</f>
        <v>1.1842344618494189</v>
      </c>
      <c r="J276" s="105">
        <f t="shared" si="195"/>
        <v>0.23959107173283356</v>
      </c>
      <c r="K276" s="137"/>
      <c r="L276" s="137"/>
    </row>
    <row r="277" spans="1:13">
      <c r="A277" s="16"/>
      <c r="B277" s="5" t="s">
        <v>90</v>
      </c>
      <c r="C277" s="94">
        <v>1.5</v>
      </c>
      <c r="D277" s="5">
        <v>150</v>
      </c>
      <c r="E277" s="139">
        <f>E275</f>
        <v>58690</v>
      </c>
      <c r="F277" s="5">
        <v>1979</v>
      </c>
      <c r="G277" s="6">
        <f t="shared" si="193"/>
        <v>2968.5</v>
      </c>
      <c r="H277" s="6">
        <f>G277/E277</f>
        <v>5.0579315045152499E-2</v>
      </c>
      <c r="I277" s="7">
        <f t="shared" ref="I277:I278" si="196">D277*12*1.302/1979</f>
        <v>1.1842344618494189</v>
      </c>
      <c r="J277" s="105">
        <f t="shared" si="195"/>
        <v>5.989776793320839E-2</v>
      </c>
      <c r="K277" s="137"/>
      <c r="L277" s="137"/>
    </row>
    <row r="278" spans="1:13">
      <c r="A278" s="16"/>
      <c r="B278" s="5" t="s">
        <v>47</v>
      </c>
      <c r="C278" s="94">
        <v>1.5</v>
      </c>
      <c r="D278" s="5">
        <v>150</v>
      </c>
      <c r="E278" s="139">
        <f>E274</f>
        <v>58690</v>
      </c>
      <c r="F278" s="5">
        <v>1979</v>
      </c>
      <c r="G278" s="6">
        <f t="shared" si="193"/>
        <v>2968.5</v>
      </c>
      <c r="H278" s="6">
        <f t="shared" ref="H278" si="197">G278/E278</f>
        <v>5.0579315045152499E-2</v>
      </c>
      <c r="I278" s="7">
        <f t="shared" si="196"/>
        <v>1.1842344618494189</v>
      </c>
      <c r="J278" s="105">
        <f t="shared" si="195"/>
        <v>5.989776793320839E-2</v>
      </c>
      <c r="K278" s="137"/>
      <c r="L278" s="137"/>
    </row>
    <row r="279" spans="1:13">
      <c r="A279" s="16"/>
      <c r="B279" s="5"/>
      <c r="C279" s="94"/>
      <c r="D279" s="5"/>
      <c r="E279" s="139">
        <f>E274</f>
        <v>58690</v>
      </c>
      <c r="F279" s="5"/>
      <c r="G279" s="6"/>
      <c r="H279" s="6"/>
      <c r="I279" s="7"/>
      <c r="J279" s="105">
        <f t="shared" ref="J279" si="198">I279*H279</f>
        <v>0</v>
      </c>
      <c r="K279" s="137"/>
      <c r="L279" s="137"/>
    </row>
    <row r="280" spans="1:13" ht="15.75" thickBot="1">
      <c r="A280" s="17"/>
      <c r="B280" s="18"/>
      <c r="C280" s="96">
        <f>SUM(C274:C279)</f>
        <v>16.5</v>
      </c>
      <c r="D280" s="18"/>
      <c r="E280" s="140"/>
      <c r="F280" s="18"/>
      <c r="G280" s="19"/>
      <c r="H280" s="19"/>
      <c r="I280" s="20"/>
      <c r="J280" s="109">
        <f>SUM(J274:J279)</f>
        <v>0.65887544726529246</v>
      </c>
      <c r="K280" s="137"/>
      <c r="L280" s="137"/>
    </row>
    <row r="281" spans="1:13" ht="15.75" thickBot="1">
      <c r="A281" s="58"/>
      <c r="B281" s="59"/>
      <c r="C281" s="59"/>
      <c r="D281" s="59"/>
      <c r="E281" s="141"/>
      <c r="F281" s="59"/>
      <c r="G281" s="62"/>
      <c r="H281" s="154" t="s">
        <v>60</v>
      </c>
      <c r="I281" s="155"/>
      <c r="J281" s="107">
        <f>J280-J282</f>
        <v>0</v>
      </c>
      <c r="K281" s="142">
        <f>J281*122</f>
        <v>0</v>
      </c>
      <c r="L281" s="142"/>
      <c r="M281" s="57">
        <f>L281-K281</f>
        <v>0</v>
      </c>
    </row>
    <row r="282" spans="1:13" ht="15.75" thickBot="1">
      <c r="A282" s="58"/>
      <c r="B282" s="59"/>
      <c r="C282" s="59"/>
      <c r="D282" s="59"/>
      <c r="E282" s="143"/>
      <c r="F282" s="59"/>
      <c r="G282" s="62"/>
      <c r="H282" s="154" t="s">
        <v>57</v>
      </c>
      <c r="I282" s="155"/>
      <c r="J282" s="107">
        <f>J274+J275+J276+J277+J278</f>
        <v>0.65887544726529246</v>
      </c>
      <c r="K282" s="142">
        <f>J282*E274</f>
        <v>38669.400000000016</v>
      </c>
      <c r="L282" s="142">
        <v>38669.4</v>
      </c>
      <c r="M282" s="57">
        <f>L282-K282</f>
        <v>0</v>
      </c>
    </row>
    <row r="283" spans="1:13">
      <c r="A283" s="12" t="s">
        <v>70</v>
      </c>
      <c r="B283" s="13" t="s">
        <v>45</v>
      </c>
      <c r="C283" s="93">
        <f>3.5+4</f>
        <v>7.5</v>
      </c>
      <c r="D283" s="13">
        <v>150</v>
      </c>
      <c r="E283" s="143">
        <f>ком.усл!A173</f>
        <v>64973</v>
      </c>
      <c r="F283" s="5">
        <v>1979</v>
      </c>
      <c r="G283" s="14">
        <f>C283*F283</f>
        <v>14842.5</v>
      </c>
      <c r="H283" s="14">
        <f>G283/E283</f>
        <v>0.22844104474166191</v>
      </c>
      <c r="I283" s="7">
        <f t="shared" ref="I283:I284" si="199">D283*12*1.302/1979</f>
        <v>1.1842344618494189</v>
      </c>
      <c r="J283" s="104">
        <f>I283*H283</f>
        <v>0.27052775768396103</v>
      </c>
      <c r="K283" s="137"/>
      <c r="L283" s="137"/>
    </row>
    <row r="284" spans="1:13">
      <c r="A284" s="16"/>
      <c r="B284" s="5" t="s">
        <v>108</v>
      </c>
      <c r="C284" s="94">
        <v>1.75</v>
      </c>
      <c r="D284" s="5">
        <v>150</v>
      </c>
      <c r="E284" s="139">
        <f>E283</f>
        <v>64973</v>
      </c>
      <c r="F284" s="5">
        <v>1979</v>
      </c>
      <c r="G284" s="6">
        <f t="shared" ref="G284:G287" si="200">C284*F284</f>
        <v>3463.25</v>
      </c>
      <c r="H284" s="6">
        <f t="shared" ref="H284:H285" si="201">G284/E284</f>
        <v>5.3302910439721116E-2</v>
      </c>
      <c r="I284" s="7">
        <f t="shared" si="199"/>
        <v>1.1842344618494189</v>
      </c>
      <c r="J284" s="105">
        <f t="shared" ref="J284:J287" si="202">I284*H284</f>
        <v>6.3123143459590914E-2</v>
      </c>
      <c r="K284" s="137"/>
      <c r="L284" s="137"/>
    </row>
    <row r="285" spans="1:13">
      <c r="A285" s="16"/>
      <c r="B285" s="5" t="s">
        <v>46</v>
      </c>
      <c r="C285" s="94">
        <v>9</v>
      </c>
      <c r="D285" s="5">
        <v>150</v>
      </c>
      <c r="E285" s="139">
        <f>E284</f>
        <v>64973</v>
      </c>
      <c r="F285" s="5">
        <v>1979</v>
      </c>
      <c r="G285" s="6">
        <f t="shared" si="200"/>
        <v>17811</v>
      </c>
      <c r="H285" s="6">
        <f t="shared" si="201"/>
        <v>0.2741292536899943</v>
      </c>
      <c r="I285" s="7">
        <f>D285*12*1.302/1979</f>
        <v>1.1842344618494189</v>
      </c>
      <c r="J285" s="105">
        <f t="shared" si="202"/>
        <v>0.32463330922075323</v>
      </c>
      <c r="K285" s="137"/>
      <c r="L285" s="137"/>
    </row>
    <row r="286" spans="1:13">
      <c r="A286" s="16"/>
      <c r="B286" s="5" t="s">
        <v>90</v>
      </c>
      <c r="C286" s="94">
        <v>1.5</v>
      </c>
      <c r="D286" s="5">
        <v>150</v>
      </c>
      <c r="E286" s="139">
        <f>E284</f>
        <v>64973</v>
      </c>
      <c r="F286" s="5">
        <v>1979</v>
      </c>
      <c r="G286" s="6">
        <f t="shared" si="200"/>
        <v>2968.5</v>
      </c>
      <c r="H286" s="6">
        <f>G286/E286</f>
        <v>4.5688208948332386E-2</v>
      </c>
      <c r="I286" s="7">
        <f t="shared" ref="I286:I287" si="203">D286*12*1.302/1979</f>
        <v>1.1842344618494189</v>
      </c>
      <c r="J286" s="105">
        <f t="shared" si="202"/>
        <v>5.410555153679221E-2</v>
      </c>
      <c r="K286" s="137"/>
      <c r="L286" s="137"/>
    </row>
    <row r="287" spans="1:13">
      <c r="A287" s="16"/>
      <c r="B287" s="5" t="s">
        <v>47</v>
      </c>
      <c r="C287" s="94">
        <f>2.45+1.5</f>
        <v>3.95</v>
      </c>
      <c r="D287" s="5">
        <v>150</v>
      </c>
      <c r="E287" s="139">
        <f>E283</f>
        <v>64973</v>
      </c>
      <c r="F287" s="5">
        <v>1979</v>
      </c>
      <c r="G287" s="6">
        <f t="shared" si="200"/>
        <v>7817.05</v>
      </c>
      <c r="H287" s="6">
        <f t="shared" ref="H287" si="204">G287/E287</f>
        <v>0.12031228356394195</v>
      </c>
      <c r="I287" s="7">
        <f t="shared" si="203"/>
        <v>1.1842344618494189</v>
      </c>
      <c r="J287" s="105">
        <f t="shared" si="202"/>
        <v>0.14247795238021949</v>
      </c>
      <c r="K287" s="137"/>
      <c r="L287" s="137"/>
    </row>
    <row r="288" spans="1:13">
      <c r="A288" s="16"/>
      <c r="B288" s="5" t="s">
        <v>118</v>
      </c>
      <c r="C288" s="94">
        <v>1</v>
      </c>
      <c r="D288" s="5">
        <v>150</v>
      </c>
      <c r="E288" s="139">
        <f>E283</f>
        <v>64973</v>
      </c>
      <c r="F288" s="5">
        <v>1979</v>
      </c>
      <c r="G288" s="6">
        <f t="shared" ref="G288" si="205">C288*F288</f>
        <v>1979</v>
      </c>
      <c r="H288" s="6">
        <f t="shared" ref="H288" si="206">G288/E288</f>
        <v>3.0458805965554923E-2</v>
      </c>
      <c r="I288" s="7">
        <f t="shared" ref="I288" si="207">D288*12*1.302/1979</f>
        <v>1.1842344618494189</v>
      </c>
      <c r="J288" s="105">
        <f t="shared" ref="J288" si="208">I288*H288</f>
        <v>3.6070367691194802E-2</v>
      </c>
      <c r="K288" s="137"/>
      <c r="L288" s="137"/>
    </row>
    <row r="289" spans="1:13" ht="15.75" thickBot="1">
      <c r="A289" s="17"/>
      <c r="B289" s="18"/>
      <c r="C289" s="97">
        <f>SUM(C283:C288)</f>
        <v>24.7</v>
      </c>
      <c r="D289" s="18"/>
      <c r="E289" s="140"/>
      <c r="F289" s="18"/>
      <c r="G289" s="19"/>
      <c r="H289" s="19"/>
      <c r="I289" s="20"/>
      <c r="J289" s="109">
        <f>SUM(J283:J288)</f>
        <v>0.89093808197251156</v>
      </c>
      <c r="K289" s="137"/>
      <c r="L289" s="137"/>
    </row>
    <row r="290" spans="1:13" ht="15.75" thickBot="1">
      <c r="A290" s="58"/>
      <c r="B290" s="59"/>
      <c r="C290" s="59"/>
      <c r="D290" s="59"/>
      <c r="E290" s="141"/>
      <c r="F290" s="59"/>
      <c r="G290" s="62"/>
      <c r="H290" s="154" t="s">
        <v>60</v>
      </c>
      <c r="I290" s="155"/>
      <c r="J290" s="107">
        <f>J289-J291</f>
        <v>0</v>
      </c>
      <c r="K290" s="142">
        <f>J290*122</f>
        <v>0</v>
      </c>
      <c r="L290" s="142"/>
      <c r="M290" s="57">
        <f>L290-K290</f>
        <v>0</v>
      </c>
    </row>
    <row r="291" spans="1:13" ht="15.75" thickBot="1">
      <c r="A291" s="58"/>
      <c r="B291" s="59"/>
      <c r="C291" s="59"/>
      <c r="D291" s="59"/>
      <c r="E291" s="143"/>
      <c r="F291" s="59"/>
      <c r="G291" s="62"/>
      <c r="H291" s="154" t="s">
        <v>57</v>
      </c>
      <c r="I291" s="155"/>
      <c r="J291" s="107">
        <f>J283+J284+J285+J286+J287+J288</f>
        <v>0.89093808197251156</v>
      </c>
      <c r="K291" s="142">
        <f>J291*E283</f>
        <v>57886.919999999991</v>
      </c>
      <c r="L291" s="142">
        <v>57886.9</v>
      </c>
      <c r="M291" s="57">
        <f>L291-K291</f>
        <v>-1.9999999989522621E-2</v>
      </c>
    </row>
    <row r="292" spans="1:13">
      <c r="A292" s="12" t="s">
        <v>71</v>
      </c>
      <c r="B292" s="13" t="s">
        <v>45</v>
      </c>
      <c r="C292" s="93">
        <v>6.25</v>
      </c>
      <c r="D292" s="13">
        <v>150</v>
      </c>
      <c r="E292" s="143">
        <f>ком.усл!A178</f>
        <v>63322</v>
      </c>
      <c r="F292" s="5">
        <v>1979</v>
      </c>
      <c r="G292" s="14">
        <f>C292*F292</f>
        <v>12368.75</v>
      </c>
      <c r="H292" s="14">
        <f>G292/E292</f>
        <v>0.19533100660118127</v>
      </c>
      <c r="I292" s="7">
        <f t="shared" ref="I292:I293" si="209">D292*12*1.302/1979</f>
        <v>1.1842344618494189</v>
      </c>
      <c r="J292" s="104">
        <f>I292*H292</f>
        <v>0.23131770948485519</v>
      </c>
      <c r="K292" s="137"/>
      <c r="L292" s="137"/>
    </row>
    <row r="293" spans="1:13">
      <c r="A293" s="16"/>
      <c r="B293" s="5" t="s">
        <v>108</v>
      </c>
      <c r="C293" s="94">
        <v>0.75</v>
      </c>
      <c r="D293" s="5">
        <v>150</v>
      </c>
      <c r="E293" s="139">
        <f>E292</f>
        <v>63322</v>
      </c>
      <c r="F293" s="5">
        <v>1979</v>
      </c>
      <c r="G293" s="6">
        <f t="shared" ref="G293:G297" si="210">C293*F293</f>
        <v>1484.25</v>
      </c>
      <c r="H293" s="6">
        <f t="shared" ref="H293:H294" si="211">G293/E293</f>
        <v>2.3439720792141752E-2</v>
      </c>
      <c r="I293" s="7">
        <f t="shared" si="209"/>
        <v>1.1842344618494189</v>
      </c>
      <c r="J293" s="105">
        <f t="shared" ref="J293:J296" si="212">I293*H293</f>
        <v>2.7758125138182623E-2</v>
      </c>
      <c r="K293" s="137"/>
      <c r="L293" s="137"/>
    </row>
    <row r="294" spans="1:13">
      <c r="A294" s="16"/>
      <c r="B294" s="5" t="s">
        <v>46</v>
      </c>
      <c r="C294" s="94">
        <v>3</v>
      </c>
      <c r="D294" s="5">
        <v>150</v>
      </c>
      <c r="E294" s="139">
        <f>E293</f>
        <v>63322</v>
      </c>
      <c r="F294" s="5">
        <v>1979</v>
      </c>
      <c r="G294" s="6">
        <f t="shared" si="210"/>
        <v>5937</v>
      </c>
      <c r="H294" s="6">
        <f t="shared" si="211"/>
        <v>9.3758883168567009E-2</v>
      </c>
      <c r="I294" s="7">
        <f>D294*12*1.302/1979</f>
        <v>1.1842344618494189</v>
      </c>
      <c r="J294" s="105">
        <f t="shared" si="212"/>
        <v>0.11103250055273049</v>
      </c>
      <c r="K294" s="137"/>
      <c r="L294" s="137"/>
    </row>
    <row r="295" spans="1:13">
      <c r="A295" s="16"/>
      <c r="B295" s="5" t="s">
        <v>90</v>
      </c>
      <c r="C295" s="94">
        <v>1.5</v>
      </c>
      <c r="D295" s="5">
        <v>150</v>
      </c>
      <c r="E295" s="139">
        <f>E293</f>
        <v>63322</v>
      </c>
      <c r="F295" s="5">
        <v>1979</v>
      </c>
      <c r="G295" s="6">
        <f t="shared" si="210"/>
        <v>2968.5</v>
      </c>
      <c r="H295" s="6">
        <f>G295/E295</f>
        <v>4.6879441584283504E-2</v>
      </c>
      <c r="I295" s="7">
        <f t="shared" ref="I295:I297" si="213">D295*12*1.302/1979</f>
        <v>1.1842344618494189</v>
      </c>
      <c r="J295" s="105">
        <f t="shared" si="212"/>
        <v>5.5516250276365246E-2</v>
      </c>
      <c r="K295" s="137"/>
      <c r="L295" s="137"/>
    </row>
    <row r="296" spans="1:13">
      <c r="A296" s="16"/>
      <c r="B296" s="5" t="s">
        <v>47</v>
      </c>
      <c r="C296" s="94">
        <v>3</v>
      </c>
      <c r="D296" s="5">
        <v>150</v>
      </c>
      <c r="E296" s="139">
        <f>E292</f>
        <v>63322</v>
      </c>
      <c r="F296" s="5">
        <v>1979</v>
      </c>
      <c r="G296" s="6">
        <f t="shared" si="210"/>
        <v>5937</v>
      </c>
      <c r="H296" s="6">
        <f t="shared" ref="H296:H297" si="214">G296/E296</f>
        <v>9.3758883168567009E-2</v>
      </c>
      <c r="I296" s="7">
        <f t="shared" si="213"/>
        <v>1.1842344618494189</v>
      </c>
      <c r="J296" s="105">
        <f t="shared" si="212"/>
        <v>0.11103250055273049</v>
      </c>
      <c r="K296" s="137"/>
      <c r="L296" s="137"/>
    </row>
    <row r="297" spans="1:13">
      <c r="A297" s="16"/>
      <c r="B297" s="5" t="s">
        <v>116</v>
      </c>
      <c r="C297" s="94">
        <v>0.125</v>
      </c>
      <c r="D297" s="5">
        <v>150</v>
      </c>
      <c r="E297" s="139">
        <f>E292</f>
        <v>63322</v>
      </c>
      <c r="F297" s="5">
        <v>1979</v>
      </c>
      <c r="G297" s="6">
        <f t="shared" si="210"/>
        <v>247.375</v>
      </c>
      <c r="H297" s="6">
        <f t="shared" si="214"/>
        <v>3.9066201320236251E-3</v>
      </c>
      <c r="I297" s="7">
        <f t="shared" si="213"/>
        <v>1.1842344618494189</v>
      </c>
      <c r="J297" s="105">
        <f t="shared" ref="J297" si="215">I297*H297</f>
        <v>4.6263541896971036E-3</v>
      </c>
      <c r="K297" s="137"/>
      <c r="L297" s="137"/>
    </row>
    <row r="298" spans="1:13" ht="15.75" thickBot="1">
      <c r="A298" s="17"/>
      <c r="B298" s="18"/>
      <c r="C298" s="96">
        <f>SUM(C292:C297)</f>
        <v>14.625</v>
      </c>
      <c r="D298" s="18"/>
      <c r="E298" s="140"/>
      <c r="F298" s="18"/>
      <c r="G298" s="19"/>
      <c r="H298" s="19"/>
      <c r="I298" s="20"/>
      <c r="J298" s="109">
        <f>SUM(J292:J297)</f>
        <v>0.54128344019456121</v>
      </c>
      <c r="K298" s="137"/>
      <c r="L298" s="137"/>
    </row>
    <row r="299" spans="1:13" ht="15.75" thickBot="1">
      <c r="A299" s="58"/>
      <c r="B299" s="59"/>
      <c r="C299" s="59"/>
      <c r="D299" s="59"/>
      <c r="E299" s="141"/>
      <c r="F299" s="59"/>
      <c r="G299" s="62"/>
      <c r="H299" s="154" t="s">
        <v>60</v>
      </c>
      <c r="I299" s="155"/>
      <c r="J299" s="107">
        <f>J298-J300</f>
        <v>0</v>
      </c>
      <c r="K299" s="142">
        <f>J299*122</f>
        <v>0</v>
      </c>
      <c r="L299" s="142"/>
      <c r="M299" s="57">
        <f>L299-K299</f>
        <v>0</v>
      </c>
    </row>
    <row r="300" spans="1:13" ht="15.75" thickBot="1">
      <c r="A300" s="58"/>
      <c r="B300" s="59"/>
      <c r="C300" s="59"/>
      <c r="D300" s="59"/>
      <c r="E300" s="143"/>
      <c r="F300" s="80"/>
      <c r="G300" s="62"/>
      <c r="H300" s="154" t="s">
        <v>57</v>
      </c>
      <c r="I300" s="156"/>
      <c r="J300" s="107">
        <f>J292+J293+J294+J295+J296+J297</f>
        <v>0.54128344019456121</v>
      </c>
      <c r="K300" s="142">
        <f>J300*E292</f>
        <v>34275.15</v>
      </c>
      <c r="L300" s="142">
        <v>34275.199999999997</v>
      </c>
      <c r="M300" s="57">
        <f>L300-K300</f>
        <v>4.9999999995634425E-2</v>
      </c>
    </row>
    <row r="301" spans="1:13">
      <c r="A301" s="12" t="s">
        <v>72</v>
      </c>
      <c r="B301" s="13" t="s">
        <v>45</v>
      </c>
      <c r="C301" s="93">
        <v>9</v>
      </c>
      <c r="D301" s="15">
        <v>150</v>
      </c>
      <c r="E301" s="143">
        <f>ком.усл!A183</f>
        <v>52462</v>
      </c>
      <c r="F301" s="5">
        <v>1979</v>
      </c>
      <c r="G301" s="14">
        <f>C301*F301</f>
        <v>17811</v>
      </c>
      <c r="H301" s="14">
        <f>G301/E301</f>
        <v>0.33950287827379816</v>
      </c>
      <c r="I301" s="7">
        <f>D301*12*1.302/1979</f>
        <v>1.1842344618494189</v>
      </c>
      <c r="J301" s="104">
        <f>I301*H301</f>
        <v>0.40205100834890017</v>
      </c>
      <c r="K301" s="137"/>
      <c r="L301" s="137"/>
    </row>
    <row r="302" spans="1:13">
      <c r="A302" s="16"/>
      <c r="B302" s="5" t="s">
        <v>108</v>
      </c>
      <c r="C302" s="94">
        <v>1</v>
      </c>
      <c r="D302" s="5">
        <v>150</v>
      </c>
      <c r="E302" s="139">
        <f>E301</f>
        <v>52462</v>
      </c>
      <c r="F302" s="5">
        <v>1979</v>
      </c>
      <c r="G302" s="6">
        <f t="shared" ref="G302:G305" si="216">C302*F302</f>
        <v>1979</v>
      </c>
      <c r="H302" s="6">
        <f t="shared" ref="H302:H303" si="217">G302/E302</f>
        <v>3.7722542030422017E-2</v>
      </c>
      <c r="I302" s="7">
        <f t="shared" ref="I302:I305" si="218">D302*12*1.302/1979</f>
        <v>1.1842344618494189</v>
      </c>
      <c r="J302" s="105">
        <f t="shared" ref="J302:J305" si="219">I302*H302</f>
        <v>4.4672334260988905E-2</v>
      </c>
      <c r="K302" s="137"/>
      <c r="L302" s="137"/>
    </row>
    <row r="303" spans="1:13">
      <c r="A303" s="16"/>
      <c r="B303" s="5" t="s">
        <v>46</v>
      </c>
      <c r="C303" s="94">
        <v>3</v>
      </c>
      <c r="D303" s="5">
        <v>150</v>
      </c>
      <c r="E303" s="139">
        <f>E302</f>
        <v>52462</v>
      </c>
      <c r="F303" s="5">
        <v>1979</v>
      </c>
      <c r="G303" s="6">
        <f t="shared" si="216"/>
        <v>5937</v>
      </c>
      <c r="H303" s="6">
        <f t="shared" si="217"/>
        <v>0.11316762609126606</v>
      </c>
      <c r="I303" s="7">
        <f t="shared" si="218"/>
        <v>1.1842344618494189</v>
      </c>
      <c r="J303" s="105">
        <f t="shared" si="219"/>
        <v>0.13401700278296672</v>
      </c>
      <c r="K303" s="137"/>
      <c r="L303" s="137"/>
    </row>
    <row r="304" spans="1:13">
      <c r="A304" s="16"/>
      <c r="B304" s="5" t="s">
        <v>90</v>
      </c>
      <c r="C304" s="94">
        <v>1.5</v>
      </c>
      <c r="D304" s="5">
        <v>150</v>
      </c>
      <c r="E304" s="139">
        <f>E302</f>
        <v>52462</v>
      </c>
      <c r="F304" s="5">
        <v>1979</v>
      </c>
      <c r="G304" s="6">
        <f t="shared" si="216"/>
        <v>2968.5</v>
      </c>
      <c r="H304" s="6">
        <f>G304/E304</f>
        <v>5.6583813045633029E-2</v>
      </c>
      <c r="I304" s="7">
        <f t="shared" si="218"/>
        <v>1.1842344618494189</v>
      </c>
      <c r="J304" s="105">
        <f t="shared" si="219"/>
        <v>6.7008501391483358E-2</v>
      </c>
      <c r="K304" s="137"/>
      <c r="L304" s="137"/>
    </row>
    <row r="305" spans="1:13">
      <c r="A305" s="16"/>
      <c r="B305" s="5" t="s">
        <v>47</v>
      </c>
      <c r="C305" s="94">
        <v>1.5</v>
      </c>
      <c r="D305" s="5">
        <v>150</v>
      </c>
      <c r="E305" s="139">
        <f>E301</f>
        <v>52462</v>
      </c>
      <c r="F305" s="5">
        <v>1979</v>
      </c>
      <c r="G305" s="6">
        <f t="shared" si="216"/>
        <v>2968.5</v>
      </c>
      <c r="H305" s="6">
        <f t="shared" ref="H305" si="220">G305/E305</f>
        <v>5.6583813045633029E-2</v>
      </c>
      <c r="I305" s="7">
        <f t="shared" si="218"/>
        <v>1.1842344618494189</v>
      </c>
      <c r="J305" s="105">
        <f t="shared" si="219"/>
        <v>6.7008501391483358E-2</v>
      </c>
      <c r="K305" s="137"/>
      <c r="L305" s="137"/>
    </row>
    <row r="306" spans="1:13">
      <c r="A306" s="16"/>
      <c r="B306" s="5"/>
      <c r="C306" s="94"/>
      <c r="D306" s="5"/>
      <c r="E306" s="139">
        <f>E301</f>
        <v>52462</v>
      </c>
      <c r="F306" s="5"/>
      <c r="G306" s="6"/>
      <c r="H306" s="6"/>
      <c r="I306" s="7"/>
      <c r="J306" s="105">
        <f t="shared" ref="J306" si="221">I306*H306</f>
        <v>0</v>
      </c>
      <c r="K306" s="137"/>
      <c r="L306" s="137"/>
    </row>
    <row r="307" spans="1:13" ht="15.75" thickBot="1">
      <c r="A307" s="17"/>
      <c r="B307" s="18"/>
      <c r="C307" s="98">
        <f>SUM(C301:C306)</f>
        <v>16</v>
      </c>
      <c r="D307" s="18"/>
      <c r="E307" s="140"/>
      <c r="F307" s="18"/>
      <c r="G307" s="19"/>
      <c r="H307" s="19"/>
      <c r="I307" s="20"/>
      <c r="J307" s="109">
        <f>SUM(J301:J306)</f>
        <v>0.71475734817582259</v>
      </c>
      <c r="K307" s="137"/>
      <c r="L307" s="137"/>
    </row>
    <row r="308" spans="1:13" ht="15.75" thickBot="1">
      <c r="A308" s="58"/>
      <c r="B308" s="59"/>
      <c r="C308" s="59"/>
      <c r="D308" s="59"/>
      <c r="E308" s="141"/>
      <c r="F308" s="59"/>
      <c r="G308" s="62"/>
      <c r="H308" s="154" t="s">
        <v>60</v>
      </c>
      <c r="I308" s="155"/>
      <c r="J308" s="107">
        <f>J307-J309</f>
        <v>0</v>
      </c>
      <c r="K308" s="142">
        <f>J308*122</f>
        <v>0</v>
      </c>
      <c r="L308" s="142"/>
      <c r="M308" s="57">
        <f>L308-K308</f>
        <v>0</v>
      </c>
    </row>
    <row r="309" spans="1:13" ht="15.75" thickBot="1">
      <c r="A309" s="58"/>
      <c r="B309" s="59"/>
      <c r="C309" s="59"/>
      <c r="D309" s="59"/>
      <c r="E309" s="143"/>
      <c r="F309" s="59"/>
      <c r="G309" s="62"/>
      <c r="H309" s="154" t="s">
        <v>57</v>
      </c>
      <c r="I309" s="155"/>
      <c r="J309" s="107">
        <f>J301+J302+J303+J304+J305</f>
        <v>0.71475734817582259</v>
      </c>
      <c r="K309" s="142">
        <f>J309*E301</f>
        <v>37497.600000000006</v>
      </c>
      <c r="L309" s="142">
        <v>37497.599999999999</v>
      </c>
      <c r="M309" s="57">
        <f>L309-K309</f>
        <v>0</v>
      </c>
    </row>
    <row r="310" spans="1:13">
      <c r="A310" s="12" t="s">
        <v>73</v>
      </c>
      <c r="B310" s="13" t="s">
        <v>45</v>
      </c>
      <c r="C310" s="93">
        <v>6.75</v>
      </c>
      <c r="D310" s="13">
        <v>150</v>
      </c>
      <c r="E310" s="143">
        <f>ком.усл!A188</f>
        <v>58718</v>
      </c>
      <c r="F310" s="5">
        <v>1979</v>
      </c>
      <c r="G310" s="14">
        <f>C310*F310</f>
        <v>13358.25</v>
      </c>
      <c r="H310" s="14">
        <f>G310/E310</f>
        <v>0.22749838209748288</v>
      </c>
      <c r="I310" s="7">
        <f t="shared" ref="I310:I311" si="222">D310*12*1.302/1979</f>
        <v>1.1842344618494189</v>
      </c>
      <c r="J310" s="104">
        <f>I310*H310</f>
        <v>0.2694114240948261</v>
      </c>
      <c r="K310" s="137"/>
      <c r="L310" s="137"/>
    </row>
    <row r="311" spans="1:13">
      <c r="A311" s="16"/>
      <c r="B311" s="5" t="s">
        <v>116</v>
      </c>
      <c r="C311" s="94">
        <v>0.25</v>
      </c>
      <c r="D311" s="5">
        <v>150</v>
      </c>
      <c r="E311" s="139">
        <f>E310</f>
        <v>58718</v>
      </c>
      <c r="F311" s="5">
        <v>1979</v>
      </c>
      <c r="G311" s="6">
        <f t="shared" ref="G311:G315" si="223">C311*F311</f>
        <v>494.75</v>
      </c>
      <c r="H311" s="6">
        <f t="shared" ref="H311:H312" si="224">G311/E311</f>
        <v>8.4258660036104771E-3</v>
      </c>
      <c r="I311" s="7">
        <f t="shared" si="222"/>
        <v>1.1842344618494189</v>
      </c>
      <c r="J311" s="105">
        <f t="shared" ref="J311:J314" si="225">I311*H311</f>
        <v>9.9782008924009669E-3</v>
      </c>
      <c r="K311" s="137"/>
      <c r="L311" s="137"/>
    </row>
    <row r="312" spans="1:13">
      <c r="A312" s="16"/>
      <c r="B312" s="5" t="s">
        <v>46</v>
      </c>
      <c r="C312" s="94">
        <v>3</v>
      </c>
      <c r="D312" s="5">
        <v>150</v>
      </c>
      <c r="E312" s="139">
        <f>E311</f>
        <v>58718</v>
      </c>
      <c r="F312" s="5">
        <v>1979</v>
      </c>
      <c r="G312" s="6">
        <f t="shared" si="223"/>
        <v>5937</v>
      </c>
      <c r="H312" s="6">
        <f t="shared" si="224"/>
        <v>0.10111039204332573</v>
      </c>
      <c r="I312" s="7">
        <f>D312*12*1.302/1979</f>
        <v>1.1842344618494189</v>
      </c>
      <c r="J312" s="105">
        <f t="shared" si="225"/>
        <v>0.11973841070881161</v>
      </c>
      <c r="K312" s="137"/>
      <c r="L312" s="137"/>
    </row>
    <row r="313" spans="1:13">
      <c r="A313" s="16"/>
      <c r="B313" s="5" t="s">
        <v>90</v>
      </c>
      <c r="C313" s="94">
        <v>0.75</v>
      </c>
      <c r="D313" s="5">
        <v>150</v>
      </c>
      <c r="E313" s="139">
        <f>E311</f>
        <v>58718</v>
      </c>
      <c r="F313" s="5">
        <v>1979</v>
      </c>
      <c r="G313" s="6">
        <f t="shared" si="223"/>
        <v>1484.25</v>
      </c>
      <c r="H313" s="6">
        <f>G313/E313</f>
        <v>2.5277598010831431E-2</v>
      </c>
      <c r="I313" s="7">
        <f t="shared" ref="I313:I315" si="226">D313*12*1.302/1979</f>
        <v>1.1842344618494189</v>
      </c>
      <c r="J313" s="105">
        <f t="shared" si="225"/>
        <v>2.9934602677202903E-2</v>
      </c>
      <c r="K313" s="137"/>
      <c r="L313" s="137"/>
    </row>
    <row r="314" spans="1:13">
      <c r="A314" s="16"/>
      <c r="B314" s="5" t="s">
        <v>47</v>
      </c>
      <c r="C314" s="94">
        <v>1.5</v>
      </c>
      <c r="D314" s="5">
        <v>150</v>
      </c>
      <c r="E314" s="139">
        <f>E310</f>
        <v>58718</v>
      </c>
      <c r="F314" s="5">
        <v>1979</v>
      </c>
      <c r="G314" s="6">
        <f t="shared" si="223"/>
        <v>2968.5</v>
      </c>
      <c r="H314" s="6">
        <f t="shared" ref="H314:H315" si="227">G314/E314</f>
        <v>5.0555196021662863E-2</v>
      </c>
      <c r="I314" s="7">
        <f t="shared" si="226"/>
        <v>1.1842344618494189</v>
      </c>
      <c r="J314" s="105">
        <f t="shared" si="225"/>
        <v>5.9869205354405805E-2</v>
      </c>
      <c r="K314" s="137"/>
      <c r="L314" s="137"/>
    </row>
    <row r="315" spans="1:13">
      <c r="A315" s="16"/>
      <c r="B315" s="5" t="s">
        <v>108</v>
      </c>
      <c r="C315" s="94">
        <v>0.75</v>
      </c>
      <c r="D315" s="5">
        <v>150</v>
      </c>
      <c r="E315" s="139">
        <f>E310</f>
        <v>58718</v>
      </c>
      <c r="F315" s="5">
        <v>1979</v>
      </c>
      <c r="G315" s="6">
        <f t="shared" si="223"/>
        <v>1484.25</v>
      </c>
      <c r="H315" s="6">
        <f t="shared" si="227"/>
        <v>2.5277598010831431E-2</v>
      </c>
      <c r="I315" s="7">
        <f t="shared" si="226"/>
        <v>1.1842344618494189</v>
      </c>
      <c r="J315" s="105">
        <f t="shared" ref="J315" si="228">I315*H315</f>
        <v>2.9934602677202903E-2</v>
      </c>
      <c r="K315" s="137"/>
      <c r="L315" s="137"/>
    </row>
    <row r="316" spans="1:13" ht="15.75" thickBot="1">
      <c r="A316" s="17"/>
      <c r="B316" s="18"/>
      <c r="C316" s="98">
        <f>SUM(C310:C315)</f>
        <v>13</v>
      </c>
      <c r="D316" s="18"/>
      <c r="E316" s="140"/>
      <c r="F316" s="18"/>
      <c r="G316" s="19"/>
      <c r="H316" s="19"/>
      <c r="I316" s="20"/>
      <c r="J316" s="109">
        <f>SUM(J310:J315)</f>
        <v>0.51886644640485036</v>
      </c>
      <c r="K316" s="137"/>
      <c r="L316" s="137"/>
    </row>
    <row r="317" spans="1:13" ht="15.75" thickBot="1">
      <c r="A317" s="58"/>
      <c r="B317" s="59"/>
      <c r="C317" s="59"/>
      <c r="D317" s="59"/>
      <c r="E317" s="141"/>
      <c r="F317" s="59"/>
      <c r="G317" s="62"/>
      <c r="H317" s="154" t="s">
        <v>60</v>
      </c>
      <c r="I317" s="155"/>
      <c r="J317" s="107">
        <f>J316-J318</f>
        <v>0</v>
      </c>
      <c r="K317" s="142">
        <f>J317*122</f>
        <v>0</v>
      </c>
      <c r="L317" s="142"/>
      <c r="M317" s="57">
        <f>L317-K317</f>
        <v>0</v>
      </c>
    </row>
    <row r="318" spans="1:13" ht="15.75" thickBot="1">
      <c r="A318" s="58"/>
      <c r="B318" s="59"/>
      <c r="C318" s="59"/>
      <c r="D318" s="59"/>
      <c r="E318" s="143"/>
      <c r="F318" s="59"/>
      <c r="G318" s="62"/>
      <c r="H318" s="154" t="s">
        <v>57</v>
      </c>
      <c r="I318" s="155"/>
      <c r="J318" s="107">
        <f>J310+J311+J312+J313+J314+J315</f>
        <v>0.51886644640485036</v>
      </c>
      <c r="K318" s="142">
        <f>J318*E310</f>
        <v>30466.800000000003</v>
      </c>
      <c r="L318" s="142">
        <v>30466.799999999999</v>
      </c>
      <c r="M318" s="57">
        <f>L318-K318</f>
        <v>0</v>
      </c>
    </row>
    <row r="319" spans="1:13">
      <c r="A319" s="12" t="s">
        <v>74</v>
      </c>
      <c r="B319" s="13" t="s">
        <v>45</v>
      </c>
      <c r="C319" s="93">
        <v>8.25</v>
      </c>
      <c r="D319" s="13">
        <v>150</v>
      </c>
      <c r="E319" s="143">
        <f>ком.усл!A193</f>
        <v>49572</v>
      </c>
      <c r="F319" s="5">
        <v>1979</v>
      </c>
      <c r="G319" s="14">
        <f>C319*F319</f>
        <v>16326.75</v>
      </c>
      <c r="H319" s="14">
        <f>G319/E319</f>
        <v>0.3293542725732268</v>
      </c>
      <c r="I319" s="7">
        <f>D319*12*1.302/1979</f>
        <v>1.1842344618494189</v>
      </c>
      <c r="J319" s="104">
        <f>I319*H319</f>
        <v>0.39003267973856209</v>
      </c>
      <c r="K319" s="137"/>
      <c r="L319" s="137"/>
    </row>
    <row r="320" spans="1:13">
      <c r="A320" s="16"/>
      <c r="B320" s="5" t="s">
        <v>108</v>
      </c>
      <c r="C320" s="94">
        <v>2</v>
      </c>
      <c r="D320" s="5">
        <v>150</v>
      </c>
      <c r="E320" s="139">
        <f>E319</f>
        <v>49572</v>
      </c>
      <c r="F320" s="5">
        <v>1979</v>
      </c>
      <c r="G320" s="6">
        <f t="shared" ref="G320:G323" si="229">C320*F320</f>
        <v>3958</v>
      </c>
      <c r="H320" s="6">
        <f t="shared" ref="H320:H321" si="230">G320/E320</f>
        <v>7.9843460017751958E-2</v>
      </c>
      <c r="I320" s="7">
        <f t="shared" ref="I320:I323" si="231">D320*12*1.302/1979</f>
        <v>1.1842344618494189</v>
      </c>
      <c r="J320" s="105">
        <f t="shared" ref="J320:J323" si="232">I320*H320</f>
        <v>9.4553376906318085E-2</v>
      </c>
      <c r="K320" s="137"/>
      <c r="L320" s="137"/>
    </row>
    <row r="321" spans="1:13">
      <c r="A321" s="16"/>
      <c r="B321" s="5" t="s">
        <v>46</v>
      </c>
      <c r="C321" s="94">
        <v>6</v>
      </c>
      <c r="D321" s="5">
        <v>150</v>
      </c>
      <c r="E321" s="139">
        <f>E320</f>
        <v>49572</v>
      </c>
      <c r="F321" s="5">
        <v>1979</v>
      </c>
      <c r="G321" s="6">
        <f t="shared" si="229"/>
        <v>11874</v>
      </c>
      <c r="H321" s="6">
        <f t="shared" si="230"/>
        <v>0.23953038005325586</v>
      </c>
      <c r="I321" s="7">
        <f t="shared" si="231"/>
        <v>1.1842344618494189</v>
      </c>
      <c r="J321" s="105">
        <f t="shared" si="232"/>
        <v>0.28366013071895424</v>
      </c>
      <c r="K321" s="137"/>
      <c r="L321" s="137"/>
    </row>
    <row r="322" spans="1:13">
      <c r="A322" s="16"/>
      <c r="B322" s="5" t="s">
        <v>90</v>
      </c>
      <c r="C322" s="94">
        <v>2.75</v>
      </c>
      <c r="D322" s="5">
        <v>150</v>
      </c>
      <c r="E322" s="139">
        <f>E320</f>
        <v>49572</v>
      </c>
      <c r="F322" s="5">
        <v>1979</v>
      </c>
      <c r="G322" s="6">
        <f t="shared" si="229"/>
        <v>5442.25</v>
      </c>
      <c r="H322" s="6">
        <f>G322/E322</f>
        <v>0.10978475752440894</v>
      </c>
      <c r="I322" s="7">
        <f t="shared" si="231"/>
        <v>1.1842344618494189</v>
      </c>
      <c r="J322" s="105">
        <f t="shared" si="232"/>
        <v>0.13001089324618736</v>
      </c>
      <c r="K322" s="137"/>
      <c r="L322" s="137"/>
    </row>
    <row r="323" spans="1:13">
      <c r="A323" s="16"/>
      <c r="B323" s="5" t="s">
        <v>47</v>
      </c>
      <c r="C323" s="94">
        <v>3.75</v>
      </c>
      <c r="D323" s="5">
        <v>150</v>
      </c>
      <c r="E323" s="139">
        <f>E319</f>
        <v>49572</v>
      </c>
      <c r="F323" s="5">
        <v>1979</v>
      </c>
      <c r="G323" s="6">
        <f t="shared" si="229"/>
        <v>7421.25</v>
      </c>
      <c r="H323" s="6">
        <f t="shared" ref="H323" si="233">G323/E323</f>
        <v>0.14970648753328492</v>
      </c>
      <c r="I323" s="7">
        <f t="shared" si="231"/>
        <v>1.1842344618494189</v>
      </c>
      <c r="J323" s="105">
        <f t="shared" si="232"/>
        <v>0.17728758169934641</v>
      </c>
      <c r="K323" s="137"/>
      <c r="L323" s="137"/>
    </row>
    <row r="324" spans="1:13">
      <c r="A324" s="16"/>
      <c r="B324" s="5"/>
      <c r="C324" s="94"/>
      <c r="D324" s="5"/>
      <c r="E324" s="139">
        <f>E319</f>
        <v>49572</v>
      </c>
      <c r="F324" s="5"/>
      <c r="G324" s="6"/>
      <c r="H324" s="6"/>
      <c r="I324" s="7"/>
      <c r="J324" s="105">
        <f t="shared" ref="J324" si="234">I324*H324</f>
        <v>0</v>
      </c>
      <c r="K324" s="137"/>
      <c r="L324" s="137"/>
    </row>
    <row r="325" spans="1:13" ht="15.75" thickBot="1">
      <c r="A325" s="17"/>
      <c r="B325" s="18"/>
      <c r="C325" s="96">
        <f>SUM(C319:C324)</f>
        <v>22.75</v>
      </c>
      <c r="D325" s="18"/>
      <c r="E325" s="140"/>
      <c r="F325" s="18"/>
      <c r="G325" s="19"/>
      <c r="H325" s="19"/>
      <c r="I325" s="20"/>
      <c r="J325" s="109">
        <f>SUM(J319:J324)</f>
        <v>1.0755446623093683</v>
      </c>
      <c r="K325" s="137"/>
      <c r="L325" s="137"/>
    </row>
    <row r="326" spans="1:13" ht="15.75" thickBot="1">
      <c r="A326" s="58"/>
      <c r="B326" s="59"/>
      <c r="C326" s="59"/>
      <c r="D326" s="59"/>
      <c r="E326" s="141"/>
      <c r="F326" s="59"/>
      <c r="G326" s="62"/>
      <c r="H326" s="154" t="s">
        <v>60</v>
      </c>
      <c r="I326" s="155"/>
      <c r="J326" s="107">
        <f>J325-J327</f>
        <v>0</v>
      </c>
      <c r="K326" s="142">
        <f>J326*122</f>
        <v>0</v>
      </c>
      <c r="L326" s="142"/>
      <c r="M326" s="57">
        <f>L326-K326</f>
        <v>0</v>
      </c>
    </row>
    <row r="327" spans="1:13" ht="15.75" thickBot="1">
      <c r="A327" s="58"/>
      <c r="B327" s="59"/>
      <c r="C327" s="59"/>
      <c r="D327" s="59"/>
      <c r="E327" s="143"/>
      <c r="F327" s="59"/>
      <c r="G327" s="62"/>
      <c r="H327" s="154" t="s">
        <v>57</v>
      </c>
      <c r="I327" s="155"/>
      <c r="J327" s="107">
        <f>J319+J320+J321+J322+J323</f>
        <v>1.0755446623093683</v>
      </c>
      <c r="K327" s="142">
        <f>J327*E319</f>
        <v>53316.9</v>
      </c>
      <c r="L327" s="142">
        <v>53316.9</v>
      </c>
      <c r="M327" s="57">
        <f>L327-K327</f>
        <v>0</v>
      </c>
    </row>
    <row r="328" spans="1:13">
      <c r="A328" s="12" t="s">
        <v>75</v>
      </c>
      <c r="B328" s="13" t="s">
        <v>45</v>
      </c>
      <c r="C328" s="93">
        <v>3</v>
      </c>
      <c r="D328" s="15">
        <v>150</v>
      </c>
      <c r="E328" s="143">
        <f>ком.усл!A199</f>
        <v>24701</v>
      </c>
      <c r="F328" s="5">
        <v>1979</v>
      </c>
      <c r="G328" s="14">
        <f>C328*F328</f>
        <v>5937</v>
      </c>
      <c r="H328" s="14">
        <f>G328/E328</f>
        <v>0.24035464151248936</v>
      </c>
      <c r="I328" s="7">
        <f>D328*12*1.302/1979</f>
        <v>1.1842344618494189</v>
      </c>
      <c r="J328" s="104">
        <f>I328*H328</f>
        <v>0.28463624954455286</v>
      </c>
      <c r="K328" s="137"/>
      <c r="L328" s="137"/>
    </row>
    <row r="329" spans="1:13">
      <c r="A329" s="16"/>
      <c r="B329" s="5" t="s">
        <v>108</v>
      </c>
      <c r="C329" s="94">
        <v>0.75</v>
      </c>
      <c r="D329" s="5">
        <v>150</v>
      </c>
      <c r="E329" s="139">
        <f>E328</f>
        <v>24701</v>
      </c>
      <c r="F329" s="5">
        <v>1979</v>
      </c>
      <c r="G329" s="6">
        <f t="shared" ref="G329:G332" si="235">C329*F329</f>
        <v>1484.25</v>
      </c>
      <c r="H329" s="6">
        <f t="shared" ref="H329:H330" si="236">G329/E329</f>
        <v>6.0088660378122341E-2</v>
      </c>
      <c r="I329" s="7">
        <f t="shared" ref="I329:I332" si="237">D329*12*1.302/1979</f>
        <v>1.1842344618494189</v>
      </c>
      <c r="J329" s="105">
        <f t="shared" ref="J329:J332" si="238">I329*H329</f>
        <v>7.1159062386138214E-2</v>
      </c>
      <c r="K329" s="137"/>
      <c r="L329" s="137"/>
    </row>
    <row r="330" spans="1:13">
      <c r="A330" s="16"/>
      <c r="B330" s="5" t="s">
        <v>46</v>
      </c>
      <c r="C330" s="94">
        <v>3</v>
      </c>
      <c r="D330" s="5">
        <v>150</v>
      </c>
      <c r="E330" s="139">
        <f>E329</f>
        <v>24701</v>
      </c>
      <c r="F330" s="5">
        <v>1979</v>
      </c>
      <c r="G330" s="6">
        <f t="shared" si="235"/>
        <v>5937</v>
      </c>
      <c r="H330" s="6">
        <f t="shared" si="236"/>
        <v>0.24035464151248936</v>
      </c>
      <c r="I330" s="7">
        <f t="shared" si="237"/>
        <v>1.1842344618494189</v>
      </c>
      <c r="J330" s="105">
        <f t="shared" si="238"/>
        <v>0.28463624954455286</v>
      </c>
      <c r="K330" s="137"/>
      <c r="L330" s="137"/>
    </row>
    <row r="331" spans="1:13">
      <c r="A331" s="16"/>
      <c r="B331" s="5" t="s">
        <v>90</v>
      </c>
      <c r="C331" s="94">
        <v>0.75</v>
      </c>
      <c r="D331" s="5">
        <v>150</v>
      </c>
      <c r="E331" s="139">
        <f>E329</f>
        <v>24701</v>
      </c>
      <c r="F331" s="5">
        <v>1979</v>
      </c>
      <c r="G331" s="6">
        <f t="shared" si="235"/>
        <v>1484.25</v>
      </c>
      <c r="H331" s="6">
        <f>G331/E331</f>
        <v>6.0088660378122341E-2</v>
      </c>
      <c r="I331" s="7">
        <f t="shared" si="237"/>
        <v>1.1842344618494189</v>
      </c>
      <c r="J331" s="105">
        <f t="shared" si="238"/>
        <v>7.1159062386138214E-2</v>
      </c>
      <c r="K331" s="137"/>
      <c r="L331" s="137"/>
    </row>
    <row r="332" spans="1:13">
      <c r="A332" s="16"/>
      <c r="B332" s="5" t="s">
        <v>47</v>
      </c>
      <c r="C332" s="94">
        <v>0.75</v>
      </c>
      <c r="D332" s="5">
        <v>150</v>
      </c>
      <c r="E332" s="139">
        <f>E328</f>
        <v>24701</v>
      </c>
      <c r="F332" s="5">
        <v>1979</v>
      </c>
      <c r="G332" s="6">
        <f t="shared" si="235"/>
        <v>1484.25</v>
      </c>
      <c r="H332" s="6">
        <f t="shared" ref="H332" si="239">G332/E332</f>
        <v>6.0088660378122341E-2</v>
      </c>
      <c r="I332" s="7">
        <f t="shared" si="237"/>
        <v>1.1842344618494189</v>
      </c>
      <c r="J332" s="105">
        <f t="shared" si="238"/>
        <v>7.1159062386138214E-2</v>
      </c>
      <c r="K332" s="137"/>
      <c r="L332" s="137"/>
    </row>
    <row r="333" spans="1:13">
      <c r="A333" s="16"/>
      <c r="B333" s="5"/>
      <c r="C333" s="94"/>
      <c r="D333" s="5"/>
      <c r="E333" s="139">
        <f>E328</f>
        <v>24701</v>
      </c>
      <c r="F333" s="5"/>
      <c r="G333" s="6"/>
      <c r="H333" s="6"/>
      <c r="I333" s="7"/>
      <c r="J333" s="105">
        <f t="shared" ref="J333" si="240">I333*H333</f>
        <v>0</v>
      </c>
      <c r="K333" s="137"/>
      <c r="L333" s="137"/>
    </row>
    <row r="334" spans="1:13" ht="15.75" thickBot="1">
      <c r="A334" s="17"/>
      <c r="B334" s="18"/>
      <c r="C334" s="98">
        <f>SUM(C328:C333)</f>
        <v>8.25</v>
      </c>
      <c r="D334" s="18"/>
      <c r="E334" s="140"/>
      <c r="F334" s="18"/>
      <c r="G334" s="19"/>
      <c r="H334" s="19"/>
      <c r="I334" s="20"/>
      <c r="J334" s="109">
        <f>SUM(J328:J333)</f>
        <v>0.78274968624752039</v>
      </c>
      <c r="K334" s="137"/>
      <c r="L334" s="137"/>
    </row>
    <row r="335" spans="1:13" ht="15.75" thickBot="1">
      <c r="A335" s="58"/>
      <c r="B335" s="59"/>
      <c r="C335" s="59"/>
      <c r="D335" s="59"/>
      <c r="E335" s="141"/>
      <c r="F335" s="59"/>
      <c r="G335" s="62"/>
      <c r="H335" s="154" t="s">
        <v>60</v>
      </c>
      <c r="I335" s="155"/>
      <c r="J335" s="107">
        <f>J334-J336</f>
        <v>0</v>
      </c>
      <c r="K335" s="142">
        <f>J335*122</f>
        <v>0</v>
      </c>
      <c r="L335" s="142"/>
      <c r="M335" s="57">
        <f>L335-K335</f>
        <v>0</v>
      </c>
    </row>
    <row r="336" spans="1:13" ht="15.75" thickBot="1">
      <c r="A336" s="58"/>
      <c r="B336" s="59"/>
      <c r="C336" s="59"/>
      <c r="D336" s="59"/>
      <c r="E336" s="141"/>
      <c r="F336" s="59"/>
      <c r="G336" s="62"/>
      <c r="H336" s="154" t="s">
        <v>57</v>
      </c>
      <c r="I336" s="155"/>
      <c r="J336" s="107">
        <f>J328+J329+J330+J331+J332</f>
        <v>0.78274968624752039</v>
      </c>
      <c r="K336" s="142">
        <f>J336*E328</f>
        <v>19334.7</v>
      </c>
      <c r="L336" s="142">
        <v>19334.7</v>
      </c>
      <c r="M336" s="57">
        <f>L336-K336</f>
        <v>0</v>
      </c>
    </row>
    <row r="337" spans="1:13">
      <c r="A337" s="12" t="s">
        <v>76</v>
      </c>
      <c r="B337" s="13" t="s">
        <v>45</v>
      </c>
      <c r="C337" s="99">
        <v>3.75</v>
      </c>
      <c r="D337" s="15">
        <v>150</v>
      </c>
      <c r="E337" s="143">
        <f>ком.усл!A204</f>
        <v>14280</v>
      </c>
      <c r="F337" s="5">
        <v>1979</v>
      </c>
      <c r="G337" s="14">
        <f>C337*F337</f>
        <v>7421.25</v>
      </c>
      <c r="H337" s="14">
        <f>G337/E337</f>
        <v>0.51969537815126055</v>
      </c>
      <c r="I337" s="7">
        <f>D337*12*1.302/1979</f>
        <v>1.1842344618494189</v>
      </c>
      <c r="J337" s="104">
        <f>I337*H337</f>
        <v>0.61544117647058827</v>
      </c>
      <c r="K337" s="137"/>
      <c r="L337" s="137"/>
    </row>
    <row r="338" spans="1:13">
      <c r="A338" s="16"/>
      <c r="B338" s="5" t="s">
        <v>109</v>
      </c>
      <c r="C338" s="95"/>
      <c r="D338" s="5">
        <v>150</v>
      </c>
      <c r="E338" s="139">
        <f>E337</f>
        <v>14280</v>
      </c>
      <c r="F338" s="5">
        <v>1979</v>
      </c>
      <c r="G338" s="6">
        <f t="shared" ref="G338:G341" si="241">C338*F338</f>
        <v>0</v>
      </c>
      <c r="H338" s="6">
        <f t="shared" ref="H338:H339" si="242">G338/E338</f>
        <v>0</v>
      </c>
      <c r="I338" s="7">
        <f t="shared" ref="I338:I341" si="243">D338*12*1.302/1979</f>
        <v>1.1842344618494189</v>
      </c>
      <c r="J338" s="105">
        <f t="shared" ref="J338:J341" si="244">I338*H338</f>
        <v>0</v>
      </c>
      <c r="K338" s="137"/>
      <c r="L338" s="137"/>
    </row>
    <row r="339" spans="1:13">
      <c r="A339" s="16"/>
      <c r="B339" s="5" t="s">
        <v>46</v>
      </c>
      <c r="C339" s="95">
        <v>3</v>
      </c>
      <c r="D339" s="5">
        <v>150</v>
      </c>
      <c r="E339" s="139">
        <f>E338</f>
        <v>14280</v>
      </c>
      <c r="F339" s="5">
        <v>1979</v>
      </c>
      <c r="G339" s="6">
        <f t="shared" si="241"/>
        <v>5937</v>
      </c>
      <c r="H339" s="6">
        <f t="shared" si="242"/>
        <v>0.41575630252100843</v>
      </c>
      <c r="I339" s="7">
        <f t="shared" si="243"/>
        <v>1.1842344618494189</v>
      </c>
      <c r="J339" s="105">
        <f t="shared" si="244"/>
        <v>0.4923529411764706</v>
      </c>
      <c r="K339" s="137"/>
      <c r="L339" s="137"/>
    </row>
    <row r="340" spans="1:13">
      <c r="A340" s="16"/>
      <c r="B340" s="5" t="s">
        <v>90</v>
      </c>
      <c r="C340" s="95">
        <v>0.75</v>
      </c>
      <c r="D340" s="5">
        <v>150</v>
      </c>
      <c r="E340" s="139">
        <f>E338</f>
        <v>14280</v>
      </c>
      <c r="F340" s="5">
        <v>1979</v>
      </c>
      <c r="G340" s="6">
        <f t="shared" si="241"/>
        <v>1484.25</v>
      </c>
      <c r="H340" s="6">
        <f>G340/E340</f>
        <v>0.10393907563025211</v>
      </c>
      <c r="I340" s="7">
        <f t="shared" si="243"/>
        <v>1.1842344618494189</v>
      </c>
      <c r="J340" s="105">
        <f t="shared" si="244"/>
        <v>0.12308823529411765</v>
      </c>
      <c r="K340" s="137"/>
      <c r="L340" s="137"/>
    </row>
    <row r="341" spans="1:13">
      <c r="A341" s="16"/>
      <c r="B341" s="5" t="s">
        <v>47</v>
      </c>
      <c r="C341" s="95">
        <v>1</v>
      </c>
      <c r="D341" s="5">
        <v>150</v>
      </c>
      <c r="E341" s="139">
        <f>E337</f>
        <v>14280</v>
      </c>
      <c r="F341" s="5">
        <v>1979</v>
      </c>
      <c r="G341" s="6">
        <f t="shared" si="241"/>
        <v>1979</v>
      </c>
      <c r="H341" s="6">
        <f t="shared" ref="H341" si="245">G341/E341</f>
        <v>0.13858543417366948</v>
      </c>
      <c r="I341" s="7">
        <f t="shared" si="243"/>
        <v>1.1842344618494189</v>
      </c>
      <c r="J341" s="105">
        <f t="shared" si="244"/>
        <v>0.16411764705882353</v>
      </c>
      <c r="K341" s="137"/>
      <c r="L341" s="137"/>
    </row>
    <row r="342" spans="1:13">
      <c r="A342" s="16"/>
      <c r="B342" s="5"/>
      <c r="C342" s="95"/>
      <c r="D342" s="5"/>
      <c r="E342" s="139">
        <f>E337</f>
        <v>14280</v>
      </c>
      <c r="F342" s="5"/>
      <c r="G342" s="6"/>
      <c r="H342" s="6"/>
      <c r="I342" s="7"/>
      <c r="J342" s="105">
        <f t="shared" ref="J342" si="246">I342*H342</f>
        <v>0</v>
      </c>
      <c r="K342" s="137"/>
      <c r="L342" s="137"/>
    </row>
    <row r="343" spans="1:13" ht="15.75" thickBot="1">
      <c r="A343" s="17"/>
      <c r="B343" s="18"/>
      <c r="C343" s="98">
        <f>SUM(C337:C342)</f>
        <v>8.5</v>
      </c>
      <c r="D343" s="18"/>
      <c r="E343" s="18"/>
      <c r="F343" s="18"/>
      <c r="G343" s="19"/>
      <c r="H343" s="19"/>
      <c r="I343" s="20"/>
      <c r="J343" s="109">
        <f>SUM(J337:J342)</f>
        <v>1.395</v>
      </c>
      <c r="K343" s="137"/>
      <c r="L343" s="137"/>
    </row>
    <row r="344" spans="1:13" ht="15.75" thickBot="1">
      <c r="A344" s="58"/>
      <c r="B344" s="59"/>
      <c r="C344" s="59"/>
      <c r="D344" s="59"/>
      <c r="E344" s="59"/>
      <c r="F344" s="59"/>
      <c r="G344" s="62"/>
      <c r="H344" s="154" t="s">
        <v>60</v>
      </c>
      <c r="I344" s="155"/>
      <c r="J344" s="107">
        <f>J343-J345</f>
        <v>0</v>
      </c>
      <c r="K344" s="142">
        <f>J344*122</f>
        <v>0</v>
      </c>
      <c r="L344" s="142"/>
      <c r="M344" s="57">
        <f>L344-K344</f>
        <v>0</v>
      </c>
    </row>
    <row r="345" spans="1:13" ht="15.75" thickBot="1">
      <c r="A345" s="58"/>
      <c r="B345" s="59"/>
      <c r="C345" s="59"/>
      <c r="D345" s="59"/>
      <c r="E345" s="59"/>
      <c r="F345" s="59"/>
      <c r="G345" s="62"/>
      <c r="H345" s="154" t="s">
        <v>57</v>
      </c>
      <c r="I345" s="155"/>
      <c r="J345" s="107">
        <f>J337+J338+J339+J340+J341</f>
        <v>1.395</v>
      </c>
      <c r="K345" s="142">
        <f>J345*E337</f>
        <v>19920.599999999999</v>
      </c>
      <c r="L345" s="142">
        <v>19920.599999999999</v>
      </c>
      <c r="M345" s="57">
        <f>L345-K345</f>
        <v>0</v>
      </c>
    </row>
    <row r="346" spans="1:13">
      <c r="A346" s="44"/>
      <c r="B346" s="45"/>
      <c r="C346" s="45"/>
      <c r="D346" s="45"/>
      <c r="E346" s="45"/>
      <c r="F346" s="45"/>
      <c r="G346" s="77"/>
      <c r="H346" s="78"/>
      <c r="I346" s="78"/>
      <c r="J346" s="48"/>
      <c r="K346" s="57"/>
      <c r="L346" s="57"/>
      <c r="M346" s="57"/>
    </row>
    <row r="347" spans="1:13" ht="18.75">
      <c r="A347" s="61" t="s">
        <v>99</v>
      </c>
    </row>
    <row r="348" spans="1:13" ht="79.150000000000006" customHeight="1">
      <c r="A348" s="4" t="s">
        <v>2</v>
      </c>
      <c r="B348" s="4" t="s">
        <v>4</v>
      </c>
      <c r="C348" s="79" t="s">
        <v>0</v>
      </c>
      <c r="D348" s="79" t="s">
        <v>13</v>
      </c>
      <c r="E348" s="79" t="s">
        <v>103</v>
      </c>
      <c r="F348" s="79" t="s">
        <v>1</v>
      </c>
      <c r="G348" s="79" t="s">
        <v>5</v>
      </c>
      <c r="H348" s="79" t="s">
        <v>7</v>
      </c>
      <c r="I348" s="79" t="s">
        <v>9</v>
      </c>
      <c r="J348" s="79" t="s">
        <v>11</v>
      </c>
      <c r="K348" s="2" t="s">
        <v>33</v>
      </c>
      <c r="L348" s="2" t="s">
        <v>34</v>
      </c>
      <c r="M348" s="2"/>
    </row>
    <row r="349" spans="1:13" ht="15.75" thickBot="1">
      <c r="A349" s="9">
        <v>1</v>
      </c>
      <c r="B349" s="25">
        <v>2</v>
      </c>
      <c r="C349" s="10">
        <v>3</v>
      </c>
      <c r="D349" s="10">
        <v>4</v>
      </c>
      <c r="E349" s="10">
        <v>5</v>
      </c>
      <c r="F349" s="10">
        <v>6</v>
      </c>
      <c r="G349" s="10" t="s">
        <v>6</v>
      </c>
      <c r="H349" s="9" t="s">
        <v>8</v>
      </c>
      <c r="I349" s="10" t="s">
        <v>10</v>
      </c>
      <c r="J349" s="10" t="s">
        <v>12</v>
      </c>
    </row>
    <row r="350" spans="1:13">
      <c r="A350" s="12" t="s">
        <v>64</v>
      </c>
      <c r="B350" s="11" t="s">
        <v>91</v>
      </c>
      <c r="C350" s="138">
        <v>1</v>
      </c>
      <c r="D350" s="15">
        <f>31690.45*1.302</f>
        <v>41260.965900000003</v>
      </c>
      <c r="E350" s="138">
        <v>1176</v>
      </c>
      <c r="F350" s="13">
        <v>1979</v>
      </c>
      <c r="G350" s="14">
        <f>C350*F350</f>
        <v>1979</v>
      </c>
      <c r="H350" s="14">
        <f>G350/E350</f>
        <v>1.6828231292517006</v>
      </c>
      <c r="I350" s="15">
        <f>D350*12*1.302/1979</f>
        <v>325.75105165315819</v>
      </c>
      <c r="J350" s="104">
        <f>I350*H350</f>
        <v>548.18140410000001</v>
      </c>
    </row>
    <row r="351" spans="1:13">
      <c r="A351" s="16"/>
      <c r="B351" s="5"/>
      <c r="C351" s="139"/>
      <c r="D351" s="5"/>
      <c r="E351" s="139"/>
      <c r="F351" s="5"/>
      <c r="G351" s="6"/>
      <c r="H351" s="6"/>
      <c r="I351" s="7"/>
      <c r="J351" s="105">
        <f t="shared" ref="J351" si="247">I351*H351</f>
        <v>0</v>
      </c>
    </row>
    <row r="352" spans="1:13" ht="15.75" thickBot="1">
      <c r="A352" s="17"/>
      <c r="B352" s="18"/>
      <c r="C352" s="140">
        <f>SUM(C350:C351)</f>
        <v>1</v>
      </c>
      <c r="D352" s="18"/>
      <c r="E352" s="140"/>
      <c r="F352" s="18"/>
      <c r="G352" s="19"/>
      <c r="H352" s="19"/>
      <c r="I352" s="20"/>
      <c r="J352" s="109">
        <f>SUM(J350:J351)</f>
        <v>548.18140410000001</v>
      </c>
    </row>
    <row r="353" spans="1:14" ht="15.75" thickBot="1">
      <c r="A353" s="58"/>
      <c r="B353" s="59"/>
      <c r="C353" s="141"/>
      <c r="D353" s="59"/>
      <c r="E353" s="141"/>
      <c r="F353" s="59"/>
      <c r="G353" s="62"/>
      <c r="H353" s="154" t="s">
        <v>57</v>
      </c>
      <c r="I353" s="155"/>
      <c r="J353" s="107">
        <f>J350</f>
        <v>548.18140410000001</v>
      </c>
      <c r="K353" s="142">
        <f>J353*E350</f>
        <v>644661.33122160006</v>
      </c>
      <c r="L353" s="142">
        <v>644661.30000000005</v>
      </c>
      <c r="M353" s="57">
        <f>L353-K353</f>
        <v>-3.1221600016579032E-2</v>
      </c>
      <c r="N353" s="76">
        <f>L353/12/1.302/1</f>
        <v>41260.963901689705</v>
      </c>
    </row>
    <row r="354" spans="1:14">
      <c r="A354" s="12" t="s">
        <v>71</v>
      </c>
      <c r="B354" s="11" t="s">
        <v>91</v>
      </c>
      <c r="C354" s="138">
        <v>1</v>
      </c>
      <c r="D354" s="15">
        <f>29508.34*1.302</f>
        <v>38419.858680000005</v>
      </c>
      <c r="E354" s="138">
        <v>1280</v>
      </c>
      <c r="F354" s="13">
        <v>1979</v>
      </c>
      <c r="G354" s="14">
        <f>C354*F354</f>
        <v>1979</v>
      </c>
      <c r="H354" s="14">
        <f>G354/E354</f>
        <v>1.54609375</v>
      </c>
      <c r="I354" s="15">
        <f>D354*12*1.302/1979</f>
        <v>303.32080445493688</v>
      </c>
      <c r="J354" s="104">
        <f>I354*H354</f>
        <v>468.96240001275009</v>
      </c>
      <c r="K354" s="137"/>
      <c r="L354" s="137"/>
    </row>
    <row r="355" spans="1:14">
      <c r="A355" s="16"/>
      <c r="B355" s="5"/>
      <c r="C355" s="139"/>
      <c r="D355" s="5"/>
      <c r="E355" s="139"/>
      <c r="F355" s="5"/>
      <c r="G355" s="6"/>
      <c r="H355" s="6"/>
      <c r="I355" s="7"/>
      <c r="J355" s="105">
        <f t="shared" ref="J355" si="248">I355*H355</f>
        <v>0</v>
      </c>
      <c r="K355" s="137"/>
      <c r="L355" s="137"/>
    </row>
    <row r="356" spans="1:14" ht="15.75" thickBot="1">
      <c r="A356" s="17"/>
      <c r="B356" s="18"/>
      <c r="C356" s="140">
        <f>SUM(C354:C355)</f>
        <v>1</v>
      </c>
      <c r="D356" s="18"/>
      <c r="E356" s="140"/>
      <c r="F356" s="18"/>
      <c r="G356" s="19"/>
      <c r="H356" s="19"/>
      <c r="I356" s="20"/>
      <c r="J356" s="109">
        <f>SUM(J354:J355)</f>
        <v>468.96240001275009</v>
      </c>
      <c r="K356" s="137"/>
      <c r="L356" s="137"/>
    </row>
    <row r="357" spans="1:14" ht="15.75" thickBot="1">
      <c r="A357" s="58"/>
      <c r="B357" s="59"/>
      <c r="C357" s="141"/>
      <c r="D357" s="59"/>
      <c r="E357" s="141"/>
      <c r="F357" s="59"/>
      <c r="G357" s="62"/>
      <c r="H357" s="154" t="s">
        <v>57</v>
      </c>
      <c r="I357" s="155"/>
      <c r="J357" s="107">
        <f>J354</f>
        <v>468.96240001275009</v>
      </c>
      <c r="K357" s="142">
        <f>J357*E354</f>
        <v>600271.87201632012</v>
      </c>
      <c r="L357" s="142">
        <v>600271.9</v>
      </c>
      <c r="M357" s="57">
        <f>L357-K357</f>
        <v>2.79836799018085E-2</v>
      </c>
      <c r="N357" s="76">
        <f>L357/12/1.302/1</f>
        <v>38419.860471070147</v>
      </c>
    </row>
    <row r="358" spans="1:14">
      <c r="A358" s="12" t="s">
        <v>73</v>
      </c>
      <c r="B358" s="11" t="s">
        <v>91</v>
      </c>
      <c r="C358" s="138">
        <v>1</v>
      </c>
      <c r="D358" s="15">
        <f>31859.68*1.302</f>
        <v>41481.303360000005</v>
      </c>
      <c r="E358" s="138">
        <v>370</v>
      </c>
      <c r="F358" s="13">
        <v>1979</v>
      </c>
      <c r="G358" s="14">
        <f>C358*F358</f>
        <v>1979</v>
      </c>
      <c r="H358" s="14">
        <f>G358/E358</f>
        <v>5.3486486486486484</v>
      </c>
      <c r="I358" s="15">
        <f>D358*12*1.302/1979</f>
        <v>327.49059307561402</v>
      </c>
      <c r="J358" s="104">
        <f>I358*H358</f>
        <v>1751.6321180990274</v>
      </c>
      <c r="K358" s="137"/>
      <c r="L358" s="137"/>
    </row>
    <row r="359" spans="1:14">
      <c r="A359" s="16"/>
      <c r="B359" s="5"/>
      <c r="C359" s="139"/>
      <c r="D359" s="5"/>
      <c r="E359" s="139"/>
      <c r="F359" s="5"/>
      <c r="G359" s="6"/>
      <c r="H359" s="6"/>
      <c r="I359" s="7"/>
      <c r="J359" s="105">
        <f t="shared" ref="J359" si="249">I359*H359</f>
        <v>0</v>
      </c>
      <c r="K359" s="137"/>
      <c r="L359" s="137"/>
    </row>
    <row r="360" spans="1:14" ht="15.75" thickBot="1">
      <c r="A360" s="17"/>
      <c r="B360" s="18"/>
      <c r="C360" s="140">
        <f>SUM(C358:C359)</f>
        <v>1</v>
      </c>
      <c r="D360" s="18"/>
      <c r="E360" s="18"/>
      <c r="F360" s="18"/>
      <c r="G360" s="19"/>
      <c r="H360" s="19"/>
      <c r="I360" s="20"/>
      <c r="J360" s="109">
        <f>SUM(J358:J359)</f>
        <v>1751.6321180990274</v>
      </c>
      <c r="K360" s="137"/>
      <c r="L360" s="137"/>
    </row>
    <row r="361" spans="1:14" ht="15.75" thickBot="1">
      <c r="A361" s="58"/>
      <c r="B361" s="59"/>
      <c r="C361" s="59"/>
      <c r="D361" s="59"/>
      <c r="E361" s="59"/>
      <c r="F361" s="59"/>
      <c r="G361" s="62"/>
      <c r="H361" s="154" t="s">
        <v>57</v>
      </c>
      <c r="I361" s="155"/>
      <c r="J361" s="107">
        <f>J358</f>
        <v>1751.6321180990274</v>
      </c>
      <c r="K361" s="142">
        <f>J361*E358</f>
        <v>648103.88369664014</v>
      </c>
      <c r="L361" s="142">
        <v>648103.9</v>
      </c>
      <c r="M361" s="57">
        <f>L361-K361</f>
        <v>1.6303359880112112E-2</v>
      </c>
      <c r="N361" s="76">
        <f>L361/12/1.302/1</f>
        <v>41481.304403481823</v>
      </c>
    </row>
    <row r="362" spans="1:14">
      <c r="A362" s="44"/>
      <c r="B362" s="45"/>
      <c r="C362" s="45"/>
      <c r="D362" s="45"/>
      <c r="E362" s="45">
        <f>SUM(E350:E359)</f>
        <v>2826</v>
      </c>
      <c r="F362" s="45"/>
      <c r="G362" s="77"/>
      <c r="H362" s="78"/>
      <c r="I362" s="78"/>
      <c r="J362" s="48"/>
      <c r="K362" s="57"/>
      <c r="L362" s="57"/>
      <c r="M362" s="57"/>
    </row>
    <row r="363" spans="1:14">
      <c r="A363" s="44"/>
      <c r="B363" s="45"/>
      <c r="C363" s="45"/>
      <c r="D363" s="45"/>
      <c r="E363" s="45"/>
      <c r="F363" s="45"/>
      <c r="G363" s="77"/>
      <c r="H363" s="78"/>
      <c r="I363" s="78"/>
      <c r="J363" s="48"/>
      <c r="K363" s="57"/>
      <c r="L363" s="57"/>
      <c r="M363" s="57"/>
    </row>
    <row r="364" spans="1:14">
      <c r="J364" s="1">
        <v>1</v>
      </c>
      <c r="K364" s="121">
        <f>K15+K101++K187+K353+K273</f>
        <v>3110494.9794471003</v>
      </c>
      <c r="L364" s="145">
        <f>2389013+721482</f>
        <v>3110495</v>
      </c>
      <c r="M364" s="121">
        <f>L364-K364</f>
        <v>2.0552899688482285E-2</v>
      </c>
    </row>
    <row r="365" spans="1:14">
      <c r="J365" s="1">
        <v>2</v>
      </c>
      <c r="K365" s="121">
        <f>K282+K196+K110+K24</f>
        <v>5382343.0001879996</v>
      </c>
      <c r="L365" s="145">
        <f>4133904+1248439</f>
        <v>5382343</v>
      </c>
      <c r="M365" s="121">
        <f t="shared" ref="M365:M372" si="250">L365-K365</f>
        <v>-1.8799956887960434E-4</v>
      </c>
    </row>
    <row r="366" spans="1:14">
      <c r="J366" s="1">
        <v>3</v>
      </c>
      <c r="K366" s="121">
        <f>K291+K205+K119+K33</f>
        <v>7492915.0327449609</v>
      </c>
      <c r="L366" s="145">
        <f>5752530+3120+1737265</f>
        <v>7492915</v>
      </c>
      <c r="M366" s="121">
        <f t="shared" si="250"/>
        <v>-3.2744960859417915E-2</v>
      </c>
    </row>
    <row r="367" spans="1:14">
      <c r="J367" s="1">
        <v>7</v>
      </c>
      <c r="K367" s="121">
        <f>K300+K214+K128+K42+K357</f>
        <v>4895784.9148282195</v>
      </c>
      <c r="L367" s="145">
        <f>3760205+1135580</f>
        <v>4895785</v>
      </c>
      <c r="M367" s="121">
        <f t="shared" si="250"/>
        <v>8.5171780548989773E-2</v>
      </c>
    </row>
    <row r="368" spans="1:14">
      <c r="J368" s="1">
        <v>9</v>
      </c>
      <c r="K368" s="121">
        <f>K223+K137+K51+K309</f>
        <v>4851687.9970944012</v>
      </c>
      <c r="L368" s="145">
        <f>3726335+1125353</f>
        <v>4851688</v>
      </c>
      <c r="M368" s="121">
        <f t="shared" si="250"/>
        <v>2.9055988416075706E-3</v>
      </c>
    </row>
    <row r="369" spans="10:13">
      <c r="J369" s="1">
        <v>14</v>
      </c>
      <c r="K369" s="121">
        <f>K318+K232+K146+K60+K361</f>
        <v>4401868.0008542398</v>
      </c>
      <c r="L369" s="145">
        <f>3380851+1021017</f>
        <v>4401868</v>
      </c>
      <c r="M369" s="121">
        <f t="shared" si="250"/>
        <v>-8.5423979908227921E-4</v>
      </c>
    </row>
    <row r="370" spans="10:13">
      <c r="J370" s="1">
        <v>8</v>
      </c>
      <c r="K370" s="121">
        <f>K327+K241+K155+K69</f>
        <v>6900054.9897006005</v>
      </c>
      <c r="L370" s="145">
        <f>5298385+1560+1600110</f>
        <v>6900055</v>
      </c>
      <c r="M370" s="121">
        <f t="shared" si="250"/>
        <v>1.0299399495124817E-2</v>
      </c>
    </row>
    <row r="371" spans="10:13">
      <c r="J371" s="1">
        <v>4</v>
      </c>
      <c r="K371" s="121">
        <f>K336+K250+K164+K78</f>
        <v>2501651.0047913999</v>
      </c>
      <c r="L371" s="145">
        <f>1921391+580260</f>
        <v>2501651</v>
      </c>
      <c r="M371" s="121">
        <f t="shared" si="250"/>
        <v>-4.7913999296724796E-3</v>
      </c>
    </row>
    <row r="372" spans="10:13">
      <c r="J372" s="1">
        <v>11</v>
      </c>
      <c r="K372" s="121">
        <f>K345+K259+K173+K87</f>
        <v>2577460.0054391995</v>
      </c>
      <c r="L372" s="145">
        <f>1979616+597844</f>
        <v>2577460</v>
      </c>
      <c r="M372" s="121">
        <f t="shared" si="250"/>
        <v>-5.4391995072364807E-3</v>
      </c>
    </row>
  </sheetData>
  <mergeCells count="76">
    <mergeCell ref="H353:I353"/>
    <mergeCell ref="H357:I357"/>
    <mergeCell ref="H361:I361"/>
    <mergeCell ref="H308:I308"/>
    <mergeCell ref="H309:I309"/>
    <mergeCell ref="H335:I335"/>
    <mergeCell ref="H344:I344"/>
    <mergeCell ref="H345:I345"/>
    <mergeCell ref="H317:I317"/>
    <mergeCell ref="H318:I318"/>
    <mergeCell ref="H326:I326"/>
    <mergeCell ref="H327:I327"/>
    <mergeCell ref="H336:I336"/>
    <mergeCell ref="H282:I282"/>
    <mergeCell ref="H290:I290"/>
    <mergeCell ref="H291:I291"/>
    <mergeCell ref="H299:I299"/>
    <mergeCell ref="H300:I300"/>
    <mergeCell ref="H241:I241"/>
    <mergeCell ref="H249:I249"/>
    <mergeCell ref="H250:I250"/>
    <mergeCell ref="H259:I259"/>
    <mergeCell ref="H281:I281"/>
    <mergeCell ref="H258:I258"/>
    <mergeCell ref="H14:I14"/>
    <mergeCell ref="H15:I15"/>
    <mergeCell ref="H23:I23"/>
    <mergeCell ref="H24:I24"/>
    <mergeCell ref="H32:I32"/>
    <mergeCell ref="H33:I33"/>
    <mergeCell ref="H60:I60"/>
    <mergeCell ref="H68:I68"/>
    <mergeCell ref="H69:I69"/>
    <mergeCell ref="H77:I77"/>
    <mergeCell ref="H41:I41"/>
    <mergeCell ref="H42:I42"/>
    <mergeCell ref="H50:I50"/>
    <mergeCell ref="H51:I51"/>
    <mergeCell ref="H59:I59"/>
    <mergeCell ref="H78:I78"/>
    <mergeCell ref="H86:I86"/>
    <mergeCell ref="H87:I87"/>
    <mergeCell ref="H100:I100"/>
    <mergeCell ref="H101:I101"/>
    <mergeCell ref="H109:I109"/>
    <mergeCell ref="H110:I110"/>
    <mergeCell ref="H118:I118"/>
    <mergeCell ref="H119:I119"/>
    <mergeCell ref="H127:I127"/>
    <mergeCell ref="H136:I136"/>
    <mergeCell ref="H137:I137"/>
    <mergeCell ref="H145:I145"/>
    <mergeCell ref="H146:I146"/>
    <mergeCell ref="H163:I163"/>
    <mergeCell ref="H195:I195"/>
    <mergeCell ref="H164:I164"/>
    <mergeCell ref="H172:I172"/>
    <mergeCell ref="H173:I173"/>
    <mergeCell ref="H186:I186"/>
    <mergeCell ref="H187:I187"/>
    <mergeCell ref="A3:J3"/>
    <mergeCell ref="H272:I272"/>
    <mergeCell ref="H273:I273"/>
    <mergeCell ref="H222:I222"/>
    <mergeCell ref="H223:I223"/>
    <mergeCell ref="H231:I231"/>
    <mergeCell ref="H232:I232"/>
    <mergeCell ref="H240:I240"/>
    <mergeCell ref="H196:I196"/>
    <mergeCell ref="H204:I204"/>
    <mergeCell ref="H205:I205"/>
    <mergeCell ref="H213:I213"/>
    <mergeCell ref="H214:I214"/>
    <mergeCell ref="H128:I128"/>
    <mergeCell ref="H154:I154"/>
    <mergeCell ref="H155:I155"/>
  </mergeCells>
  <pageMargins left="0.11811023622047245" right="0" top="0.35433070866141736" bottom="0" header="0.31496062992125984" footer="0.31496062992125984"/>
  <pageSetup paperSize="9" scale="84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180"/>
  <sheetViews>
    <sheetView workbookViewId="0">
      <pane xSplit="1" ySplit="6" topLeftCell="B170" activePane="bottomRight" state="frozen"/>
      <selection pane="topRight" activeCell="B1" sqref="B1"/>
      <selection pane="bottomLeft" activeCell="A7" sqref="A7"/>
      <selection pane="bottomRight" activeCell="K180" sqref="K180:L180"/>
    </sheetView>
  </sheetViews>
  <sheetFormatPr defaultRowHeight="15"/>
  <cols>
    <col min="1" max="1" width="12.28515625" customWidth="1"/>
    <col min="2" max="2" width="37.5703125" style="1" customWidth="1"/>
    <col min="3" max="3" width="10.85546875" style="1" customWidth="1"/>
    <col min="4" max="4" width="8.28515625" style="1" customWidth="1"/>
    <col min="5" max="5" width="12.5703125" style="1" customWidth="1"/>
    <col min="6" max="6" width="10.7109375" style="1" customWidth="1"/>
    <col min="7" max="7" width="14.5703125" customWidth="1"/>
    <col min="8" max="8" width="10.85546875" style="1" customWidth="1"/>
    <col min="9" max="9" width="10.7109375" style="1" bestFit="1" customWidth="1"/>
    <col min="10" max="10" width="10.85546875" style="1" customWidth="1"/>
    <col min="11" max="11" width="10.42578125" style="1" bestFit="1" customWidth="1"/>
    <col min="12" max="12" width="5.5703125" style="1" customWidth="1"/>
    <col min="13" max="13" width="5.7109375" style="1" customWidth="1"/>
    <col min="14" max="18" width="9.140625" style="1"/>
  </cols>
  <sheetData>
    <row r="1" spans="1:20" ht="18.75">
      <c r="A1" s="152" t="s">
        <v>93</v>
      </c>
      <c r="B1" s="152"/>
      <c r="C1" s="152"/>
      <c r="D1" s="152"/>
      <c r="E1" s="152"/>
      <c r="F1" s="152"/>
      <c r="G1" s="152"/>
      <c r="H1" s="152"/>
    </row>
    <row r="2" spans="1:20" ht="13.7" customHeight="1">
      <c r="A2" s="75" t="s">
        <v>57</v>
      </c>
      <c r="B2" s="73"/>
      <c r="C2" s="73"/>
      <c r="D2" s="73"/>
      <c r="E2" s="73"/>
      <c r="F2" s="73"/>
      <c r="G2" s="73"/>
      <c r="H2" s="73"/>
    </row>
    <row r="3" spans="1:20" ht="11.25" customHeight="1">
      <c r="A3" s="73"/>
      <c r="B3" s="73"/>
      <c r="C3" s="73"/>
      <c r="D3" s="73"/>
      <c r="E3" s="73"/>
      <c r="F3" s="73"/>
      <c r="G3" s="73"/>
      <c r="H3" s="73"/>
    </row>
    <row r="4" spans="1:20" ht="19.5" thickBot="1">
      <c r="A4" s="61" t="s">
        <v>77</v>
      </c>
      <c r="H4"/>
      <c r="S4" s="1"/>
      <c r="T4" s="1"/>
    </row>
    <row r="5" spans="1:20" ht="79.5" customHeight="1">
      <c r="A5" s="22" t="s">
        <v>2</v>
      </c>
      <c r="B5" s="23" t="s">
        <v>48</v>
      </c>
      <c r="C5" s="23" t="s">
        <v>14</v>
      </c>
      <c r="D5" s="23" t="s">
        <v>16</v>
      </c>
      <c r="E5" s="65" t="s">
        <v>27</v>
      </c>
      <c r="F5" s="23" t="s">
        <v>28</v>
      </c>
      <c r="G5" s="23" t="s">
        <v>49</v>
      </c>
      <c r="H5" s="23" t="s">
        <v>51</v>
      </c>
      <c r="I5" s="23" t="s">
        <v>11</v>
      </c>
      <c r="J5" s="2" t="s">
        <v>34</v>
      </c>
      <c r="K5" s="2" t="s">
        <v>33</v>
      </c>
    </row>
    <row r="6" spans="1:20" ht="15.75" thickBot="1">
      <c r="A6" s="38">
        <v>1</v>
      </c>
      <c r="B6" s="25">
        <v>2</v>
      </c>
      <c r="C6" s="25">
        <v>3</v>
      </c>
      <c r="D6" s="10">
        <v>4</v>
      </c>
      <c r="E6" s="10">
        <v>5</v>
      </c>
      <c r="F6" s="10">
        <v>6</v>
      </c>
      <c r="G6" s="10" t="s">
        <v>31</v>
      </c>
      <c r="H6" s="9">
        <v>8</v>
      </c>
      <c r="I6" s="39" t="s">
        <v>32</v>
      </c>
    </row>
    <row r="7" spans="1:20">
      <c r="A7" s="122" t="s">
        <v>64</v>
      </c>
      <c r="B7" s="11" t="s">
        <v>62</v>
      </c>
      <c r="C7" s="11" t="s">
        <v>17</v>
      </c>
      <c r="D7" s="13">
        <v>1</v>
      </c>
      <c r="E7" s="15">
        <f>248*8*(A8/1979)</f>
        <v>182.45982819605862</v>
      </c>
      <c r="F7" s="28">
        <f>E7/A8</f>
        <v>1.0025265285497726</v>
      </c>
      <c r="G7" s="41">
        <f t="shared" ref="G7:G10" si="0">D7/E7*F7</f>
        <v>5.4945054945054941E-3</v>
      </c>
      <c r="H7" s="148">
        <f>36201*0.4</f>
        <v>14480.400000000001</v>
      </c>
      <c r="I7" s="104">
        <f>H7*G7</f>
        <v>79.562637362637361</v>
      </c>
      <c r="J7" s="3"/>
      <c r="L7" s="3">
        <f>J7-K7</f>
        <v>0</v>
      </c>
    </row>
    <row r="8" spans="1:20" s="1" customFormat="1" ht="33" customHeight="1">
      <c r="A8" s="146">
        <f>ком.усл!A11</f>
        <v>182</v>
      </c>
      <c r="B8" s="35" t="s">
        <v>50</v>
      </c>
      <c r="C8" s="5" t="s">
        <v>17</v>
      </c>
      <c r="D8" s="5">
        <v>1</v>
      </c>
      <c r="E8" s="7">
        <f>248*8*(A8/1979)</f>
        <v>182.45982819605862</v>
      </c>
      <c r="F8" s="29">
        <f>E8/A8</f>
        <v>1.0025265285497726</v>
      </c>
      <c r="G8" s="40">
        <f t="shared" si="0"/>
        <v>5.4945054945054941E-3</v>
      </c>
      <c r="H8" s="150">
        <f>79074.98*0.4</f>
        <v>31629.991999999998</v>
      </c>
      <c r="I8" s="105">
        <f t="shared" ref="I8:I9" si="1">H8*G8</f>
        <v>173.79116483516481</v>
      </c>
      <c r="L8" s="3">
        <f t="shared" ref="L8:L71" si="2">J8-K8</f>
        <v>0</v>
      </c>
    </row>
    <row r="9" spans="1:20" s="1" customFormat="1">
      <c r="A9" s="146"/>
      <c r="B9" s="5" t="s">
        <v>121</v>
      </c>
      <c r="C9" s="5" t="s">
        <v>17</v>
      </c>
      <c r="D9" s="5">
        <v>1</v>
      </c>
      <c r="E9" s="7">
        <f>248*8*(A8/1979)</f>
        <v>182.45982819605862</v>
      </c>
      <c r="F9" s="29">
        <f>E9/A8</f>
        <v>1.0025265285497726</v>
      </c>
      <c r="G9" s="40">
        <f t="shared" si="0"/>
        <v>5.4945054945054941E-3</v>
      </c>
      <c r="H9" s="150">
        <f>(15489+16369+15000+15650)*0.4</f>
        <v>25003.200000000001</v>
      </c>
      <c r="I9" s="105">
        <f t="shared" si="1"/>
        <v>137.38021978021976</v>
      </c>
      <c r="L9" s="3">
        <f t="shared" si="2"/>
        <v>0</v>
      </c>
    </row>
    <row r="10" spans="1:20" s="1" customFormat="1">
      <c r="A10" s="146"/>
      <c r="B10" s="5" t="s">
        <v>61</v>
      </c>
      <c r="C10" s="5" t="s">
        <v>17</v>
      </c>
      <c r="D10" s="5">
        <v>1</v>
      </c>
      <c r="E10" s="7">
        <f>248*8*(A8/1979)</f>
        <v>182.45982819605862</v>
      </c>
      <c r="F10" s="29">
        <f>E10/A8</f>
        <v>1.0025265285497726</v>
      </c>
      <c r="G10" s="40">
        <f t="shared" si="0"/>
        <v>5.4945054945054941E-3</v>
      </c>
      <c r="H10" s="150">
        <f>4950*0.4</f>
        <v>1980</v>
      </c>
      <c r="I10" s="105">
        <f t="shared" ref="I10" si="3">H10*G10</f>
        <v>10.879120879120878</v>
      </c>
      <c r="L10" s="3">
        <f t="shared" si="2"/>
        <v>0</v>
      </c>
    </row>
    <row r="11" spans="1:20" s="1" customFormat="1" ht="15.75" thickBot="1">
      <c r="A11" s="126"/>
      <c r="B11" s="18"/>
      <c r="C11" s="18"/>
      <c r="D11" s="18"/>
      <c r="E11" s="18"/>
      <c r="F11" s="18"/>
      <c r="G11" s="21"/>
      <c r="H11" s="42"/>
      <c r="I11" s="109">
        <f>SUM(I7:I10)</f>
        <v>401.6131428571428</v>
      </c>
      <c r="J11" s="121">
        <f>(36201+4950+15489+16369+15650+15000+79074.98)*0.4</f>
        <v>73093.59199999999</v>
      </c>
      <c r="K11" s="137">
        <f>I11*A8</f>
        <v>73093.59199999999</v>
      </c>
      <c r="L11" s="3">
        <f t="shared" si="2"/>
        <v>0</v>
      </c>
    </row>
    <row r="12" spans="1:20">
      <c r="A12" s="122" t="s">
        <v>69</v>
      </c>
      <c r="B12" s="11" t="s">
        <v>62</v>
      </c>
      <c r="C12" s="11" t="s">
        <v>17</v>
      </c>
      <c r="D12" s="13">
        <v>1</v>
      </c>
      <c r="E12" s="15">
        <f>248*8*(A13/1979)</f>
        <v>306.7731177362304</v>
      </c>
      <c r="F12" s="28">
        <f>E12/A13</f>
        <v>1.0025265285497726</v>
      </c>
      <c r="G12" s="41">
        <f t="shared" ref="G12:G15" si="4">D12/E12*F12</f>
        <v>3.2679738562091504E-3</v>
      </c>
      <c r="H12" s="148">
        <f>65626*0.45</f>
        <v>29531.7</v>
      </c>
      <c r="I12" s="104">
        <f>H12*G12</f>
        <v>96.508823529411771</v>
      </c>
      <c r="J12" s="3"/>
      <c r="L12" s="3">
        <f t="shared" si="2"/>
        <v>0</v>
      </c>
    </row>
    <row r="13" spans="1:20" s="1" customFormat="1" ht="33" customHeight="1">
      <c r="A13" s="146">
        <f>ком.усл!A16</f>
        <v>306</v>
      </c>
      <c r="B13" s="35" t="s">
        <v>50</v>
      </c>
      <c r="C13" s="5" t="s">
        <v>17</v>
      </c>
      <c r="D13" s="5">
        <v>1</v>
      </c>
      <c r="E13" s="7">
        <f>248*8*(A13/1979)</f>
        <v>306.7731177362304</v>
      </c>
      <c r="F13" s="29">
        <f>E13/A13</f>
        <v>1.0025265285497726</v>
      </c>
      <c r="G13" s="40">
        <f t="shared" si="4"/>
        <v>3.2679738562091504E-3</v>
      </c>
      <c r="H13" s="150">
        <f>127661.32*0.45</f>
        <v>57447.594000000005</v>
      </c>
      <c r="I13" s="105">
        <f t="shared" ref="I13:I15" si="5">H13*G13</f>
        <v>187.73723529411768</v>
      </c>
      <c r="L13" s="3">
        <f t="shared" si="2"/>
        <v>0</v>
      </c>
    </row>
    <row r="14" spans="1:20" s="1" customFormat="1">
      <c r="A14" s="146"/>
      <c r="B14" s="5" t="s">
        <v>121</v>
      </c>
      <c r="C14" s="5" t="s">
        <v>17</v>
      </c>
      <c r="D14" s="5">
        <v>1</v>
      </c>
      <c r="E14" s="7">
        <f>248*8*(A13/1979)</f>
        <v>306.7731177362304</v>
      </c>
      <c r="F14" s="29">
        <f>E14/A13</f>
        <v>1.0025265285497726</v>
      </c>
      <c r="G14" s="40">
        <f t="shared" si="4"/>
        <v>3.2679738562091504E-3</v>
      </c>
      <c r="H14" s="150">
        <f>30000*0.45</f>
        <v>13500</v>
      </c>
      <c r="I14" s="105">
        <f t="shared" si="5"/>
        <v>44.117647058823529</v>
      </c>
      <c r="L14" s="3">
        <f t="shared" si="2"/>
        <v>0</v>
      </c>
    </row>
    <row r="15" spans="1:20" s="1" customFormat="1">
      <c r="A15" s="146"/>
      <c r="B15" s="5" t="s">
        <v>61</v>
      </c>
      <c r="C15" s="5" t="s">
        <v>17</v>
      </c>
      <c r="D15" s="5">
        <v>1</v>
      </c>
      <c r="E15" s="7">
        <f>248*8*(A13/1979)</f>
        <v>306.7731177362304</v>
      </c>
      <c r="F15" s="29">
        <f>E15/A13</f>
        <v>1.0025265285497726</v>
      </c>
      <c r="G15" s="40">
        <f t="shared" si="4"/>
        <v>3.2679738562091504E-3</v>
      </c>
      <c r="H15" s="150">
        <f>8550*0.45</f>
        <v>3847.5</v>
      </c>
      <c r="I15" s="105">
        <f t="shared" si="5"/>
        <v>12.573529411764707</v>
      </c>
      <c r="L15" s="3">
        <f t="shared" si="2"/>
        <v>0</v>
      </c>
    </row>
    <row r="16" spans="1:20" s="1" customFormat="1" ht="15.75" thickBot="1">
      <c r="A16" s="126"/>
      <c r="B16" s="18"/>
      <c r="C16" s="18"/>
      <c r="D16" s="18"/>
      <c r="E16" s="18"/>
      <c r="F16" s="18"/>
      <c r="G16" s="21"/>
      <c r="H16" s="42"/>
      <c r="I16" s="109">
        <f>SUM(I12:I15)</f>
        <v>340.93723529411767</v>
      </c>
      <c r="J16" s="121">
        <f>(65626+8550+127661.32+30000)*0.45</f>
        <v>104326.79400000001</v>
      </c>
      <c r="K16" s="137">
        <f>I16*A13</f>
        <v>104326.79400000001</v>
      </c>
      <c r="L16" s="3">
        <f t="shared" si="2"/>
        <v>0</v>
      </c>
    </row>
    <row r="17" spans="1:13">
      <c r="A17" s="122" t="s">
        <v>70</v>
      </c>
      <c r="B17" s="11" t="s">
        <v>62</v>
      </c>
      <c r="C17" s="11" t="s">
        <v>17</v>
      </c>
      <c r="D17" s="13">
        <v>1</v>
      </c>
      <c r="E17" s="15">
        <f>248*8*(A18/1979)</f>
        <v>252.63668519454271</v>
      </c>
      <c r="F17" s="28">
        <f>E17/A18</f>
        <v>1.0025265285497726</v>
      </c>
      <c r="G17" s="41">
        <f t="shared" ref="G17:G20" si="6">D17/E17*F17</f>
        <v>3.968253968253968E-3</v>
      </c>
      <c r="H17" s="148">
        <f>64828.68*0.44</f>
        <v>28524.619200000001</v>
      </c>
      <c r="I17" s="104">
        <f>H17*G17</f>
        <v>113.19293333333333</v>
      </c>
      <c r="J17" s="3"/>
      <c r="L17" s="3">
        <f t="shared" si="2"/>
        <v>0</v>
      </c>
      <c r="M17" s="1">
        <f>J17/A18/G17</f>
        <v>0</v>
      </c>
    </row>
    <row r="18" spans="1:13" s="1" customFormat="1" ht="33" customHeight="1">
      <c r="A18" s="146">
        <f>ком.усл!A21</f>
        <v>252</v>
      </c>
      <c r="B18" s="35" t="s">
        <v>50</v>
      </c>
      <c r="C18" s="5" t="s">
        <v>17</v>
      </c>
      <c r="D18" s="5">
        <v>1</v>
      </c>
      <c r="E18" s="7">
        <f>248*8*(A18/1979)</f>
        <v>252.63668519454271</v>
      </c>
      <c r="F18" s="29">
        <f>E18/A18</f>
        <v>1.0025265285497726</v>
      </c>
      <c r="G18" s="40">
        <f t="shared" si="6"/>
        <v>3.968253968253968E-3</v>
      </c>
      <c r="H18" s="150">
        <f>136222.32*0.44</f>
        <v>59937.820800000001</v>
      </c>
      <c r="I18" s="105">
        <f t="shared" ref="I18:I20" si="7">H18*G18</f>
        <v>237.84849523809524</v>
      </c>
      <c r="L18" s="3">
        <f t="shared" si="2"/>
        <v>0</v>
      </c>
    </row>
    <row r="19" spans="1:13" s="1" customFormat="1">
      <c r="A19" s="146"/>
      <c r="B19" s="5" t="s">
        <v>121</v>
      </c>
      <c r="C19" s="5" t="s">
        <v>17</v>
      </c>
      <c r="D19" s="5">
        <v>1</v>
      </c>
      <c r="E19" s="7">
        <f>248*8*(A18/1979)</f>
        <v>252.63668519454271</v>
      </c>
      <c r="F19" s="29">
        <f>E19/A18</f>
        <v>1.0025265285497726</v>
      </c>
      <c r="G19" s="40">
        <f t="shared" si="6"/>
        <v>3.968253968253968E-3</v>
      </c>
      <c r="H19" s="150">
        <f>(45000)*0.44</f>
        <v>19800</v>
      </c>
      <c r="I19" s="105">
        <f t="shared" si="7"/>
        <v>78.571428571428569</v>
      </c>
      <c r="L19" s="3">
        <f t="shared" si="2"/>
        <v>0</v>
      </c>
    </row>
    <row r="20" spans="1:13" s="1" customFormat="1">
      <c r="A20" s="146"/>
      <c r="B20" s="5" t="s">
        <v>61</v>
      </c>
      <c r="C20" s="5" t="s">
        <v>17</v>
      </c>
      <c r="D20" s="5">
        <v>1</v>
      </c>
      <c r="E20" s="7">
        <f>248*8*(A18/1979)</f>
        <v>252.63668519454271</v>
      </c>
      <c r="F20" s="29">
        <f>E20/A18</f>
        <v>1.0025265285497726</v>
      </c>
      <c r="G20" s="40">
        <f t="shared" si="6"/>
        <v>3.968253968253968E-3</v>
      </c>
      <c r="H20" s="150">
        <f>12600*0.44</f>
        <v>5544</v>
      </c>
      <c r="I20" s="105">
        <f t="shared" si="7"/>
        <v>22</v>
      </c>
      <c r="L20" s="3">
        <f t="shared" si="2"/>
        <v>0</v>
      </c>
    </row>
    <row r="21" spans="1:13" s="1" customFormat="1" ht="15.75" thickBot="1">
      <c r="A21" s="126"/>
      <c r="B21" s="18"/>
      <c r="C21" s="18"/>
      <c r="D21" s="18"/>
      <c r="E21" s="18"/>
      <c r="F21" s="18"/>
      <c r="G21" s="21"/>
      <c r="H21" s="42"/>
      <c r="I21" s="109">
        <f>SUM(I17:I20)</f>
        <v>451.61285714285714</v>
      </c>
      <c r="J21" s="121">
        <f>(64828.68+12600+136222.32+45000)*0.44</f>
        <v>113806.44</v>
      </c>
      <c r="K21" s="137">
        <f>I21*A18</f>
        <v>113806.44</v>
      </c>
      <c r="L21" s="3">
        <f t="shared" si="2"/>
        <v>0</v>
      </c>
    </row>
    <row r="22" spans="1:13">
      <c r="A22" s="122" t="s">
        <v>71</v>
      </c>
      <c r="B22" s="11" t="s">
        <v>62</v>
      </c>
      <c r="C22" s="11" t="s">
        <v>17</v>
      </c>
      <c r="D22" s="13">
        <v>1</v>
      </c>
      <c r="E22" s="15">
        <f>248*8*(A23/1979)</f>
        <v>408.02829711975744</v>
      </c>
      <c r="F22" s="28">
        <f>E22/A23</f>
        <v>1.0025265285497726</v>
      </c>
      <c r="G22" s="41">
        <f t="shared" ref="G22:G25" si="8">D22/E22*F22</f>
        <v>2.4570024570024574E-3</v>
      </c>
      <c r="H22" s="148">
        <f>45325.06*0.44</f>
        <v>19943.026399999999</v>
      </c>
      <c r="I22" s="104">
        <f>H22*G22</f>
        <v>49.000064864864868</v>
      </c>
      <c r="J22" s="3"/>
      <c r="L22" s="3">
        <f t="shared" si="2"/>
        <v>0</v>
      </c>
    </row>
    <row r="23" spans="1:13" s="1" customFormat="1" ht="33" customHeight="1">
      <c r="A23" s="146">
        <f>ком.усл!A26</f>
        <v>407</v>
      </c>
      <c r="B23" s="35" t="s">
        <v>50</v>
      </c>
      <c r="C23" s="5" t="s">
        <v>17</v>
      </c>
      <c r="D23" s="5">
        <v>1</v>
      </c>
      <c r="E23" s="7">
        <f>248*8*(A23/1979)</f>
        <v>408.02829711975744</v>
      </c>
      <c r="F23" s="29">
        <f>E23/A23</f>
        <v>1.0025265285497726</v>
      </c>
      <c r="G23" s="40">
        <f t="shared" si="8"/>
        <v>2.4570024570024574E-3</v>
      </c>
      <c r="H23" s="150">
        <f>185464.83*0.44</f>
        <v>81604.525199999989</v>
      </c>
      <c r="I23" s="105">
        <f t="shared" ref="I23:I25" si="9">H23*G23</f>
        <v>200.50251891891892</v>
      </c>
      <c r="L23" s="3">
        <f t="shared" si="2"/>
        <v>0</v>
      </c>
    </row>
    <row r="24" spans="1:13" s="1" customFormat="1">
      <c r="A24" s="146"/>
      <c r="B24" s="5" t="s">
        <v>121</v>
      </c>
      <c r="C24" s="5" t="s">
        <v>17</v>
      </c>
      <c r="D24" s="5">
        <v>1</v>
      </c>
      <c r="E24" s="7">
        <f>248*8*(A23/1979)</f>
        <v>408.02829711975744</v>
      </c>
      <c r="F24" s="29">
        <f>E24/A23</f>
        <v>1.0025265285497726</v>
      </c>
      <c r="G24" s="40">
        <f t="shared" si="8"/>
        <v>2.4570024570024574E-3</v>
      </c>
      <c r="H24" s="150">
        <f>(13286+15000)*0.44</f>
        <v>12445.84</v>
      </c>
      <c r="I24" s="105">
        <f t="shared" si="9"/>
        <v>30.579459459459464</v>
      </c>
      <c r="L24" s="3">
        <f t="shared" si="2"/>
        <v>0</v>
      </c>
    </row>
    <row r="25" spans="1:13" s="1" customFormat="1">
      <c r="A25" s="146"/>
      <c r="B25" s="5" t="s">
        <v>61</v>
      </c>
      <c r="C25" s="5" t="s">
        <v>17</v>
      </c>
      <c r="D25" s="5">
        <v>1</v>
      </c>
      <c r="E25" s="7">
        <f>248*8*(A23/1979)</f>
        <v>408.02829711975744</v>
      </c>
      <c r="F25" s="29">
        <f>E25/A23</f>
        <v>1.0025265285497726</v>
      </c>
      <c r="G25" s="40">
        <f t="shared" si="8"/>
        <v>2.4570024570024574E-3</v>
      </c>
      <c r="H25" s="150">
        <f>7650*0.44</f>
        <v>3366</v>
      </c>
      <c r="I25" s="105">
        <f t="shared" si="9"/>
        <v>8.270270270270272</v>
      </c>
      <c r="L25" s="3">
        <f t="shared" si="2"/>
        <v>0</v>
      </c>
    </row>
    <row r="26" spans="1:13" s="1" customFormat="1" ht="15.75" thickBot="1">
      <c r="A26" s="126"/>
      <c r="B26" s="18"/>
      <c r="C26" s="18"/>
      <c r="D26" s="18"/>
      <c r="E26" s="18"/>
      <c r="F26" s="18"/>
      <c r="G26" s="21"/>
      <c r="H26" s="42"/>
      <c r="I26" s="109">
        <f>SUM(I22:I25)</f>
        <v>288.35231351351354</v>
      </c>
      <c r="J26" s="121">
        <f>(45325.06+7650+13286+185464.83+15000)*0.44</f>
        <v>117359.3916</v>
      </c>
      <c r="K26" s="137">
        <f>I26*A23</f>
        <v>117359.3916</v>
      </c>
      <c r="L26" s="3">
        <f t="shared" si="2"/>
        <v>0</v>
      </c>
    </row>
    <row r="27" spans="1:13">
      <c r="A27" s="122" t="s">
        <v>72</v>
      </c>
      <c r="B27" s="11" t="s">
        <v>62</v>
      </c>
      <c r="C27" s="11" t="s">
        <v>17</v>
      </c>
      <c r="D27" s="13">
        <v>1</v>
      </c>
      <c r="E27" s="15">
        <f>248*8*(A28/1979)</f>
        <v>404.01819100555832</v>
      </c>
      <c r="F27" s="28">
        <f>E27/A28</f>
        <v>1.0025265285497724</v>
      </c>
      <c r="G27" s="41">
        <f t="shared" ref="G27:G30" si="10">D27/E27*F27</f>
        <v>2.4813895781637713E-3</v>
      </c>
      <c r="H27" s="148">
        <f>40183*0.41</f>
        <v>16475.03</v>
      </c>
      <c r="I27" s="104">
        <f>H27*G27</f>
        <v>40.880967741935471</v>
      </c>
      <c r="J27" s="3"/>
      <c r="L27" s="3">
        <f t="shared" si="2"/>
        <v>0</v>
      </c>
    </row>
    <row r="28" spans="1:13" s="1" customFormat="1" ht="33" customHeight="1">
      <c r="A28" s="146">
        <f>ком.усл!A31</f>
        <v>403</v>
      </c>
      <c r="B28" s="35" t="s">
        <v>50</v>
      </c>
      <c r="C28" s="5" t="s">
        <v>17</v>
      </c>
      <c r="D28" s="5">
        <v>1</v>
      </c>
      <c r="E28" s="7">
        <f>248*8*(A28/1979)</f>
        <v>404.01819100555832</v>
      </c>
      <c r="F28" s="29">
        <f>E28/A28</f>
        <v>1.0025265285497724</v>
      </c>
      <c r="G28" s="40">
        <f t="shared" si="10"/>
        <v>2.4813895781637713E-3</v>
      </c>
      <c r="H28" s="150">
        <f>224478.95*0.41</f>
        <v>92036.369500000001</v>
      </c>
      <c r="I28" s="105">
        <f t="shared" ref="I28:I30" si="11">H28*G28</f>
        <v>228.37808808932999</v>
      </c>
      <c r="L28" s="3">
        <f t="shared" si="2"/>
        <v>0</v>
      </c>
    </row>
    <row r="29" spans="1:13" s="1" customFormat="1">
      <c r="A29" s="146"/>
      <c r="B29" s="5" t="s">
        <v>121</v>
      </c>
      <c r="C29" s="5" t="s">
        <v>17</v>
      </c>
      <c r="D29" s="5">
        <v>1</v>
      </c>
      <c r="E29" s="7">
        <f>248*8*(A28/1979)</f>
        <v>404.01819100555832</v>
      </c>
      <c r="F29" s="29">
        <f>E29/A28</f>
        <v>1.0025265285497724</v>
      </c>
      <c r="G29" s="40">
        <f t="shared" si="10"/>
        <v>2.4813895781637713E-3</v>
      </c>
      <c r="H29" s="150">
        <f>(8560+13800+15000+53918.24)*0.41</f>
        <v>37424.078399999991</v>
      </c>
      <c r="I29" s="105">
        <f t="shared" si="11"/>
        <v>92.863718114143879</v>
      </c>
      <c r="L29" s="3">
        <f t="shared" si="2"/>
        <v>0</v>
      </c>
    </row>
    <row r="30" spans="1:13" s="1" customFormat="1">
      <c r="A30" s="146"/>
      <c r="B30" s="5" t="s">
        <v>61</v>
      </c>
      <c r="C30" s="5" t="s">
        <v>17</v>
      </c>
      <c r="D30" s="5">
        <v>1</v>
      </c>
      <c r="E30" s="7">
        <f>248*8*(A28/1979)</f>
        <v>404.01819100555832</v>
      </c>
      <c r="F30" s="29">
        <f>E30/A28</f>
        <v>1.0025265285497724</v>
      </c>
      <c r="G30" s="40">
        <f t="shared" si="10"/>
        <v>2.4813895781637713E-3</v>
      </c>
      <c r="H30" s="150">
        <f>9000*0.41</f>
        <v>3690</v>
      </c>
      <c r="I30" s="105">
        <f t="shared" si="11"/>
        <v>9.1563275434243163</v>
      </c>
      <c r="L30" s="3">
        <f t="shared" si="2"/>
        <v>0</v>
      </c>
    </row>
    <row r="31" spans="1:13" s="1" customFormat="1" ht="15.75" thickBot="1">
      <c r="A31" s="126"/>
      <c r="B31" s="18"/>
      <c r="C31" s="18"/>
      <c r="D31" s="18"/>
      <c r="E31" s="18"/>
      <c r="F31" s="18"/>
      <c r="G31" s="21"/>
      <c r="H31" s="42"/>
      <c r="I31" s="109">
        <f>SUM(I27:I30)</f>
        <v>371.27910148883365</v>
      </c>
      <c r="J31" s="121">
        <f>(40183+9000+224478.95+8560+13800+15000+53918.24)*0.41</f>
        <v>149625.4779</v>
      </c>
      <c r="K31" s="137">
        <f>I31*A28</f>
        <v>149625.47789999997</v>
      </c>
      <c r="L31" s="3">
        <f t="shared" si="2"/>
        <v>0</v>
      </c>
    </row>
    <row r="32" spans="1:13">
      <c r="A32" s="122" t="s">
        <v>73</v>
      </c>
      <c r="B32" s="11" t="s">
        <v>62</v>
      </c>
      <c r="C32" s="11" t="s">
        <v>17</v>
      </c>
      <c r="D32" s="13">
        <v>1</v>
      </c>
      <c r="E32" s="15">
        <f>248*8*(A33/1979)</f>
        <v>267.67458312278927</v>
      </c>
      <c r="F32" s="28">
        <f>E32/A33</f>
        <v>1.0025265285497726</v>
      </c>
      <c r="G32" s="41">
        <f t="shared" ref="G32:G35" si="12">D32/E32*F32</f>
        <v>3.7453183520599256E-3</v>
      </c>
      <c r="H32" s="148">
        <f>57258.8*0.43</f>
        <v>24621.284</v>
      </c>
      <c r="I32" s="104">
        <f>H32*G32</f>
        <v>92.214546816479412</v>
      </c>
      <c r="J32" s="3"/>
      <c r="L32" s="3">
        <f t="shared" si="2"/>
        <v>0</v>
      </c>
    </row>
    <row r="33" spans="1:12" s="1" customFormat="1" ht="33" customHeight="1">
      <c r="A33" s="146">
        <f>ком.усл!A36</f>
        <v>267</v>
      </c>
      <c r="B33" s="35" t="s">
        <v>50</v>
      </c>
      <c r="C33" s="5" t="s">
        <v>17</v>
      </c>
      <c r="D33" s="5">
        <v>1</v>
      </c>
      <c r="E33" s="7">
        <f>248*8*(A33/1979)</f>
        <v>267.67458312278927</v>
      </c>
      <c r="F33" s="29">
        <f>E33/A33</f>
        <v>1.0025265285497726</v>
      </c>
      <c r="G33" s="40">
        <f t="shared" si="12"/>
        <v>3.7453183520599256E-3</v>
      </c>
      <c r="H33" s="150">
        <f>123204.78*0.43</f>
        <v>52978.055399999997</v>
      </c>
      <c r="I33" s="105">
        <f t="shared" ref="I33:I35" si="13">H33*G33</f>
        <v>198.41968314606743</v>
      </c>
      <c r="L33" s="3">
        <f t="shared" si="2"/>
        <v>0</v>
      </c>
    </row>
    <row r="34" spans="1:12" s="1" customFormat="1">
      <c r="A34" s="146"/>
      <c r="B34" s="5" t="s">
        <v>121</v>
      </c>
      <c r="C34" s="5" t="s">
        <v>17</v>
      </c>
      <c r="D34" s="5">
        <v>1</v>
      </c>
      <c r="E34" s="7">
        <f>248*8*(A33/1979)</f>
        <v>267.67458312278927</v>
      </c>
      <c r="F34" s="29">
        <f>E34/A33</f>
        <v>1.0025265285497726</v>
      </c>
      <c r="G34" s="40">
        <f t="shared" si="12"/>
        <v>3.7453183520599256E-3</v>
      </c>
      <c r="H34" s="150">
        <f>15000*0.43</f>
        <v>6450</v>
      </c>
      <c r="I34" s="105">
        <f t="shared" si="13"/>
        <v>24.157303370786519</v>
      </c>
      <c r="L34" s="3">
        <f t="shared" si="2"/>
        <v>0</v>
      </c>
    </row>
    <row r="35" spans="1:12" s="1" customFormat="1">
      <c r="A35" s="146"/>
      <c r="B35" s="5" t="s">
        <v>61</v>
      </c>
      <c r="C35" s="5" t="s">
        <v>17</v>
      </c>
      <c r="D35" s="5">
        <v>1</v>
      </c>
      <c r="E35" s="7">
        <f>248*8*(A33/1979)</f>
        <v>267.67458312278927</v>
      </c>
      <c r="F35" s="29">
        <f>E35/A33</f>
        <v>1.0025265285497726</v>
      </c>
      <c r="G35" s="40">
        <f t="shared" si="12"/>
        <v>3.7453183520599256E-3</v>
      </c>
      <c r="H35" s="150">
        <f>9000*0.43</f>
        <v>3870</v>
      </c>
      <c r="I35" s="105">
        <f t="shared" si="13"/>
        <v>14.494382022471912</v>
      </c>
      <c r="L35" s="3">
        <f t="shared" si="2"/>
        <v>0</v>
      </c>
    </row>
    <row r="36" spans="1:12" s="1" customFormat="1" ht="15.75" thickBot="1">
      <c r="A36" s="126"/>
      <c r="B36" s="18"/>
      <c r="C36" s="18"/>
      <c r="D36" s="18"/>
      <c r="E36" s="18"/>
      <c r="F36" s="18"/>
      <c r="G36" s="21"/>
      <c r="H36" s="42"/>
      <c r="I36" s="109">
        <f>SUM(I32:I35)</f>
        <v>329.28591535580529</v>
      </c>
      <c r="J36" s="121">
        <f>(57258.8+9000+123204.78+15000)*0.43</f>
        <v>87919.339400000012</v>
      </c>
      <c r="K36" s="137">
        <f>I36*A33</f>
        <v>87919.339400000012</v>
      </c>
      <c r="L36" s="3">
        <f t="shared" si="2"/>
        <v>0</v>
      </c>
    </row>
    <row r="37" spans="1:12">
      <c r="A37" s="122" t="s">
        <v>96</v>
      </c>
      <c r="B37" s="11" t="s">
        <v>62</v>
      </c>
      <c r="C37" s="11" t="s">
        <v>17</v>
      </c>
      <c r="D37" s="13">
        <v>1</v>
      </c>
      <c r="E37" s="15">
        <f>248*8*(A38/1979)</f>
        <v>413.04092976250632</v>
      </c>
      <c r="F37" s="28">
        <f>E37/A38</f>
        <v>1.0025265285497726</v>
      </c>
      <c r="G37" s="41">
        <f t="shared" ref="G37:G40" si="14">D37/E37*F37</f>
        <v>2.4271844660194173E-3</v>
      </c>
      <c r="H37" s="148">
        <f>71674*0.41</f>
        <v>29386.339999999997</v>
      </c>
      <c r="I37" s="104">
        <f>H37*G37</f>
        <v>71.326067961165037</v>
      </c>
      <c r="J37" s="3"/>
      <c r="L37" s="3">
        <f t="shared" si="2"/>
        <v>0</v>
      </c>
    </row>
    <row r="38" spans="1:12" s="1" customFormat="1" ht="33" customHeight="1">
      <c r="A38" s="146">
        <f>ком.усл!A41</f>
        <v>412</v>
      </c>
      <c r="B38" s="35" t="s">
        <v>50</v>
      </c>
      <c r="C38" s="5" t="s">
        <v>17</v>
      </c>
      <c r="D38" s="5">
        <v>1</v>
      </c>
      <c r="E38" s="7">
        <f>248*8*(A38/1979)</f>
        <v>413.04092976250632</v>
      </c>
      <c r="F38" s="29">
        <f>E38/A38</f>
        <v>1.0025265285497726</v>
      </c>
      <c r="G38" s="40">
        <f t="shared" si="14"/>
        <v>2.4271844660194173E-3</v>
      </c>
      <c r="H38" s="150">
        <f>195739.17*0.41</f>
        <v>80253.059699999998</v>
      </c>
      <c r="I38" s="105">
        <f t="shared" ref="I38:I40" si="15">H38*G38</f>
        <v>194.7889798543689</v>
      </c>
      <c r="L38" s="3">
        <f t="shared" si="2"/>
        <v>0</v>
      </c>
    </row>
    <row r="39" spans="1:12" s="1" customFormat="1">
      <c r="A39" s="146"/>
      <c r="B39" s="5" t="s">
        <v>121</v>
      </c>
      <c r="C39" s="5" t="s">
        <v>17</v>
      </c>
      <c r="D39" s="5">
        <v>1</v>
      </c>
      <c r="E39" s="7">
        <f>248*8*(A38/1979)</f>
        <v>413.04092976250632</v>
      </c>
      <c r="F39" s="29">
        <f>E39/A38</f>
        <v>1.0025265285497726</v>
      </c>
      <c r="G39" s="40">
        <f t="shared" si="14"/>
        <v>2.4271844660194173E-3</v>
      </c>
      <c r="H39" s="150">
        <f>(11388+30000)*0.41</f>
        <v>16969.079999999998</v>
      </c>
      <c r="I39" s="105">
        <f t="shared" si="15"/>
        <v>41.187087378640769</v>
      </c>
      <c r="L39" s="3">
        <f t="shared" si="2"/>
        <v>0</v>
      </c>
    </row>
    <row r="40" spans="1:12" s="1" customFormat="1">
      <c r="A40" s="146"/>
      <c r="B40" s="5" t="s">
        <v>61</v>
      </c>
      <c r="C40" s="5" t="s">
        <v>17</v>
      </c>
      <c r="D40" s="5">
        <v>1</v>
      </c>
      <c r="E40" s="7">
        <f>248*8*(A38/1979)</f>
        <v>413.04092976250632</v>
      </c>
      <c r="F40" s="29">
        <f>E40/A38</f>
        <v>1.0025265285497726</v>
      </c>
      <c r="G40" s="40">
        <f t="shared" si="14"/>
        <v>2.4271844660194173E-3</v>
      </c>
      <c r="H40" s="150">
        <f>9000*0.41</f>
        <v>3690</v>
      </c>
      <c r="I40" s="105">
        <f t="shared" si="15"/>
        <v>8.956310679611649</v>
      </c>
      <c r="L40" s="3">
        <f t="shared" si="2"/>
        <v>0</v>
      </c>
    </row>
    <row r="41" spans="1:12" s="1" customFormat="1" ht="15.75" thickBot="1">
      <c r="A41" s="126"/>
      <c r="B41" s="18"/>
      <c r="C41" s="18"/>
      <c r="D41" s="18"/>
      <c r="E41" s="18"/>
      <c r="F41" s="18"/>
      <c r="G41" s="21"/>
      <c r="H41" s="42"/>
      <c r="I41" s="109">
        <f>SUM(I37:I40)</f>
        <v>316.2584458737864</v>
      </c>
      <c r="J41" s="121">
        <f>(71674+9000+11388+195739.17+30000)*0.41</f>
        <v>130298.47970000001</v>
      </c>
      <c r="K41" s="137">
        <f>I41*A38</f>
        <v>130298.4797</v>
      </c>
      <c r="L41" s="3">
        <f t="shared" si="2"/>
        <v>0</v>
      </c>
    </row>
    <row r="42" spans="1:12">
      <c r="A42" s="122" t="s">
        <v>75</v>
      </c>
      <c r="B42" s="11" t="s">
        <v>62</v>
      </c>
      <c r="C42" s="11" t="s">
        <v>17</v>
      </c>
      <c r="D42" s="13">
        <v>1</v>
      </c>
      <c r="E42" s="15">
        <f>248*8*(A43/1979)</f>
        <v>137.34613441131884</v>
      </c>
      <c r="F42" s="28">
        <f>E42/A43</f>
        <v>1.0025265285497726</v>
      </c>
      <c r="G42" s="41">
        <f t="shared" ref="G42:G45" si="16">D42/E42*F42</f>
        <v>7.2992700729927014E-3</v>
      </c>
      <c r="H42" s="148">
        <f>27838.92*0.47</f>
        <v>13084.292399999998</v>
      </c>
      <c r="I42" s="104">
        <f>H42*G42</f>
        <v>95.505783941605841</v>
      </c>
      <c r="J42" s="3"/>
      <c r="L42" s="3">
        <f t="shared" si="2"/>
        <v>0</v>
      </c>
    </row>
    <row r="43" spans="1:12" s="1" customFormat="1" ht="33" customHeight="1">
      <c r="A43" s="146">
        <f>ком.усл!A47</f>
        <v>137</v>
      </c>
      <c r="B43" s="35" t="s">
        <v>50</v>
      </c>
      <c r="C43" s="5" t="s">
        <v>17</v>
      </c>
      <c r="D43" s="5">
        <v>1</v>
      </c>
      <c r="E43" s="7">
        <f>248*8*(A43/1979)</f>
        <v>137.34613441131884</v>
      </c>
      <c r="F43" s="29">
        <f>E43/A43</f>
        <v>1.0025265285497726</v>
      </c>
      <c r="G43" s="40">
        <f t="shared" si="16"/>
        <v>7.2992700729927014E-3</v>
      </c>
      <c r="H43" s="150">
        <f>123809.97*0.47</f>
        <v>58190.685899999997</v>
      </c>
      <c r="I43" s="105">
        <f t="shared" ref="I43:I45" si="17">H43*G43</f>
        <v>424.74953211678832</v>
      </c>
      <c r="L43" s="3">
        <f t="shared" si="2"/>
        <v>0</v>
      </c>
    </row>
    <row r="44" spans="1:12" s="1" customFormat="1">
      <c r="A44" s="146"/>
      <c r="B44" s="5" t="s">
        <v>121</v>
      </c>
      <c r="C44" s="5" t="s">
        <v>17</v>
      </c>
      <c r="D44" s="5">
        <v>1</v>
      </c>
      <c r="E44" s="7">
        <f>248*8*(A43/1979)</f>
        <v>137.34613441131884</v>
      </c>
      <c r="F44" s="29">
        <f>E44/A43</f>
        <v>1.0025265285497726</v>
      </c>
      <c r="G44" s="40">
        <f t="shared" si="16"/>
        <v>7.2992700729927014E-3</v>
      </c>
      <c r="H44" s="150">
        <f>(1540+7090.6+15000)*0.47</f>
        <v>11106.381999999998</v>
      </c>
      <c r="I44" s="105">
        <f t="shared" si="17"/>
        <v>81.068481751824805</v>
      </c>
      <c r="L44" s="3">
        <f t="shared" si="2"/>
        <v>0</v>
      </c>
    </row>
    <row r="45" spans="1:12" s="1" customFormat="1">
      <c r="A45" s="146"/>
      <c r="B45" s="5" t="s">
        <v>61</v>
      </c>
      <c r="C45" s="5" t="s">
        <v>17</v>
      </c>
      <c r="D45" s="5">
        <v>1</v>
      </c>
      <c r="E45" s="7">
        <f>248*8*(A43/1979)</f>
        <v>137.34613441131884</v>
      </c>
      <c r="F45" s="29">
        <f>E45/A43</f>
        <v>1.0025265285497726</v>
      </c>
      <c r="G45" s="40">
        <f t="shared" si="16"/>
        <v>7.2992700729927014E-3</v>
      </c>
      <c r="H45" s="150">
        <f>5400*0.47</f>
        <v>2538</v>
      </c>
      <c r="I45" s="105">
        <f t="shared" si="17"/>
        <v>18.525547445255476</v>
      </c>
      <c r="L45" s="3">
        <f t="shared" si="2"/>
        <v>0</v>
      </c>
    </row>
    <row r="46" spans="1:12" s="1" customFormat="1" ht="15.75" thickBot="1">
      <c r="A46" s="126"/>
      <c r="B46" s="18"/>
      <c r="C46" s="18"/>
      <c r="D46" s="18"/>
      <c r="E46" s="18"/>
      <c r="F46" s="18"/>
      <c r="G46" s="21"/>
      <c r="H46" s="42"/>
      <c r="I46" s="109">
        <f>SUM(I42:I45)</f>
        <v>619.84934525547442</v>
      </c>
      <c r="J46" s="121">
        <f>(27838.92+5400+123809.97+1540+7090.6+15000)*0.47</f>
        <v>84919.3603</v>
      </c>
      <c r="K46" s="137">
        <f>I46*A43</f>
        <v>84919.3603</v>
      </c>
      <c r="L46" s="3">
        <f t="shared" si="2"/>
        <v>0</v>
      </c>
    </row>
    <row r="47" spans="1:12">
      <c r="A47" s="122" t="s">
        <v>76</v>
      </c>
      <c r="B47" s="11" t="s">
        <v>62</v>
      </c>
      <c r="C47" s="11" t="s">
        <v>17</v>
      </c>
      <c r="D47" s="13">
        <v>1</v>
      </c>
      <c r="E47" s="15">
        <f>248*8*(A48/1979)</f>
        <v>112.28297119757453</v>
      </c>
      <c r="F47" s="28">
        <f>E47/A48</f>
        <v>1.0025265285497726</v>
      </c>
      <c r="G47" s="41">
        <f t="shared" ref="G47:G50" si="18">D47/E47*F47</f>
        <v>8.9285714285714298E-3</v>
      </c>
      <c r="H47" s="148">
        <f>26676*0.46</f>
        <v>12270.960000000001</v>
      </c>
      <c r="I47" s="104">
        <f>H47*G47</f>
        <v>109.56214285714287</v>
      </c>
      <c r="J47" s="3"/>
      <c r="L47" s="3">
        <f t="shared" si="2"/>
        <v>0</v>
      </c>
    </row>
    <row r="48" spans="1:12" s="1" customFormat="1" ht="33" customHeight="1">
      <c r="A48" s="146">
        <f>ком.усл!A52</f>
        <v>112</v>
      </c>
      <c r="B48" s="35" t="s">
        <v>50</v>
      </c>
      <c r="C48" s="5" t="s">
        <v>17</v>
      </c>
      <c r="D48" s="5">
        <v>1</v>
      </c>
      <c r="E48" s="7">
        <f>248*8*(A48/1979)</f>
        <v>112.28297119757453</v>
      </c>
      <c r="F48" s="29">
        <f>E48/A48</f>
        <v>1.0025265285497726</v>
      </c>
      <c r="G48" s="40">
        <f t="shared" si="18"/>
        <v>8.9285714285714298E-3</v>
      </c>
      <c r="H48" s="150">
        <f>80408.84*0.46</f>
        <v>36988.066400000003</v>
      </c>
      <c r="I48" s="105">
        <f t="shared" ref="I48:I50" si="19">H48*G48</f>
        <v>330.25059285714292</v>
      </c>
      <c r="L48" s="3">
        <f t="shared" si="2"/>
        <v>0</v>
      </c>
    </row>
    <row r="49" spans="1:20" s="1" customFormat="1">
      <c r="A49" s="146"/>
      <c r="B49" s="5" t="s">
        <v>121</v>
      </c>
      <c r="C49" s="5" t="s">
        <v>17</v>
      </c>
      <c r="D49" s="5">
        <v>1</v>
      </c>
      <c r="E49" s="7">
        <f>248*8*(A48/1979)</f>
        <v>112.28297119757453</v>
      </c>
      <c r="F49" s="29">
        <f>E49/A48</f>
        <v>1.0025265285497726</v>
      </c>
      <c r="G49" s="40">
        <f t="shared" si="18"/>
        <v>8.9285714285714298E-3</v>
      </c>
      <c r="H49" s="150">
        <f>15000*0.46</f>
        <v>6900</v>
      </c>
      <c r="I49" s="105">
        <f t="shared" si="19"/>
        <v>61.607142857142868</v>
      </c>
      <c r="L49" s="3">
        <f t="shared" si="2"/>
        <v>0</v>
      </c>
    </row>
    <row r="50" spans="1:20" s="1" customFormat="1">
      <c r="A50" s="146"/>
      <c r="B50" s="5" t="s">
        <v>61</v>
      </c>
      <c r="C50" s="5" t="s">
        <v>17</v>
      </c>
      <c r="D50" s="5">
        <v>1</v>
      </c>
      <c r="E50" s="7">
        <f>248*8*(A48/1979)</f>
        <v>112.28297119757453</v>
      </c>
      <c r="F50" s="29">
        <f>E50/A48</f>
        <v>1.0025265285497726</v>
      </c>
      <c r="G50" s="40">
        <f t="shared" si="18"/>
        <v>8.9285714285714298E-3</v>
      </c>
      <c r="H50" s="150">
        <f>4500*0.46</f>
        <v>2070</v>
      </c>
      <c r="I50" s="105">
        <f t="shared" si="19"/>
        <v>18.482142857142861</v>
      </c>
      <c r="L50" s="3">
        <f t="shared" si="2"/>
        <v>0</v>
      </c>
    </row>
    <row r="51" spans="1:20" s="1" customFormat="1" ht="15.75" thickBot="1">
      <c r="A51" s="126"/>
      <c r="B51" s="18"/>
      <c r="C51" s="18"/>
      <c r="D51" s="18"/>
      <c r="E51" s="18"/>
      <c r="F51" s="18"/>
      <c r="G51" s="21"/>
      <c r="H51" s="42"/>
      <c r="I51" s="109">
        <f>SUM(I47:I50)</f>
        <v>519.90202142857152</v>
      </c>
      <c r="J51" s="121">
        <f>(26676+4500+80408.84+15000)*0.46</f>
        <v>58229.026400000002</v>
      </c>
      <c r="K51" s="137">
        <f>I51*A48</f>
        <v>58229.02640000001</v>
      </c>
      <c r="L51" s="3">
        <f t="shared" si="2"/>
        <v>0</v>
      </c>
    </row>
    <row r="52" spans="1:20">
      <c r="I52" s="81"/>
      <c r="L52" s="3">
        <f t="shared" si="2"/>
        <v>0</v>
      </c>
    </row>
    <row r="53" spans="1:20" ht="19.5" thickBot="1">
      <c r="A53" s="61" t="s">
        <v>78</v>
      </c>
      <c r="H53"/>
      <c r="I53" s="81"/>
      <c r="L53" s="3">
        <f t="shared" si="2"/>
        <v>0</v>
      </c>
      <c r="S53" s="1"/>
      <c r="T53" s="1"/>
    </row>
    <row r="54" spans="1:20" ht="79.5" customHeight="1">
      <c r="A54" s="22" t="s">
        <v>2</v>
      </c>
      <c r="B54" s="23" t="s">
        <v>48</v>
      </c>
      <c r="C54" s="23" t="s">
        <v>14</v>
      </c>
      <c r="D54" s="23" t="s">
        <v>16</v>
      </c>
      <c r="E54" s="65" t="s">
        <v>27</v>
      </c>
      <c r="F54" s="23" t="s">
        <v>28</v>
      </c>
      <c r="G54" s="23" t="s">
        <v>49</v>
      </c>
      <c r="H54" s="23" t="s">
        <v>51</v>
      </c>
      <c r="I54" s="90" t="s">
        <v>11</v>
      </c>
      <c r="J54" s="2" t="s">
        <v>34</v>
      </c>
      <c r="K54" s="2" t="s">
        <v>33</v>
      </c>
      <c r="L54" s="3" t="e">
        <f t="shared" si="2"/>
        <v>#VALUE!</v>
      </c>
    </row>
    <row r="55" spans="1:20" ht="15.75" thickBot="1">
      <c r="A55" s="38">
        <v>1</v>
      </c>
      <c r="B55" s="25">
        <v>2</v>
      </c>
      <c r="C55" s="25">
        <v>3</v>
      </c>
      <c r="D55" s="10">
        <v>4</v>
      </c>
      <c r="E55" s="10">
        <v>5</v>
      </c>
      <c r="F55" s="10">
        <v>6</v>
      </c>
      <c r="G55" s="10" t="s">
        <v>31</v>
      </c>
      <c r="H55" s="9">
        <v>8</v>
      </c>
      <c r="I55" s="91" t="s">
        <v>32</v>
      </c>
      <c r="L55" s="3">
        <f t="shared" si="2"/>
        <v>0</v>
      </c>
    </row>
    <row r="56" spans="1:20">
      <c r="A56" s="122" t="s">
        <v>64</v>
      </c>
      <c r="B56" s="11" t="s">
        <v>62</v>
      </c>
      <c r="C56" s="11" t="s">
        <v>17</v>
      </c>
      <c r="D56" s="13">
        <v>1</v>
      </c>
      <c r="E56" s="15">
        <f>248*8*(A57/1979)</f>
        <v>221.55836280949973</v>
      </c>
      <c r="F56" s="28">
        <f>E56/A57</f>
        <v>1.0025265285497724</v>
      </c>
      <c r="G56" s="41">
        <f t="shared" ref="G56:G59" si="20">D56/E56*F56</f>
        <v>4.5248868778280538E-3</v>
      </c>
      <c r="H56" s="148">
        <f>36201*0.49</f>
        <v>17738.489999999998</v>
      </c>
      <c r="I56" s="104">
        <f>H56*G56</f>
        <v>80.264660633484141</v>
      </c>
      <c r="J56" s="3"/>
      <c r="L56" s="3">
        <f t="shared" si="2"/>
        <v>0</v>
      </c>
      <c r="M56" s="1">
        <f>J56/A57/G56</f>
        <v>0</v>
      </c>
    </row>
    <row r="57" spans="1:20" s="1" customFormat="1" ht="33" customHeight="1">
      <c r="A57" s="146">
        <f>ком.усл!A62</f>
        <v>221</v>
      </c>
      <c r="B57" s="35" t="s">
        <v>50</v>
      </c>
      <c r="C57" s="5" t="s">
        <v>17</v>
      </c>
      <c r="D57" s="5">
        <v>1</v>
      </c>
      <c r="E57" s="7">
        <f>248*8*(A57/1979)</f>
        <v>221.55836280949973</v>
      </c>
      <c r="F57" s="29">
        <f>E57/A57</f>
        <v>1.0025265285497724</v>
      </c>
      <c r="G57" s="40">
        <f t="shared" si="20"/>
        <v>4.5248868778280538E-3</v>
      </c>
      <c r="H57" s="150">
        <f>79074.98*0.49</f>
        <v>38746.7402</v>
      </c>
      <c r="I57" s="105">
        <f t="shared" ref="I57:I59" si="21">H57*G57</f>
        <v>175.32461628959274</v>
      </c>
      <c r="L57" s="3">
        <f t="shared" si="2"/>
        <v>0</v>
      </c>
    </row>
    <row r="58" spans="1:20" s="1" customFormat="1">
      <c r="A58" s="146"/>
      <c r="B58" s="5" t="s">
        <v>121</v>
      </c>
      <c r="C58" s="5" t="s">
        <v>17</v>
      </c>
      <c r="D58" s="5">
        <v>1</v>
      </c>
      <c r="E58" s="7">
        <f>248*8*(A57/1979)</f>
        <v>221.55836280949973</v>
      </c>
      <c r="F58" s="29">
        <f>E58/A57</f>
        <v>1.0025265285497724</v>
      </c>
      <c r="G58" s="40">
        <f t="shared" si="20"/>
        <v>4.5248868778280538E-3</v>
      </c>
      <c r="H58" s="150">
        <f>(15489+16369+15000+15650)*0.49</f>
        <v>30628.92</v>
      </c>
      <c r="I58" s="105">
        <f t="shared" si="21"/>
        <v>138.59239819004523</v>
      </c>
      <c r="L58" s="3">
        <f t="shared" si="2"/>
        <v>0</v>
      </c>
    </row>
    <row r="59" spans="1:20" s="1" customFormat="1">
      <c r="A59" s="146"/>
      <c r="B59" s="5" t="s">
        <v>61</v>
      </c>
      <c r="C59" s="5" t="s">
        <v>17</v>
      </c>
      <c r="D59" s="5">
        <v>1</v>
      </c>
      <c r="E59" s="7">
        <f>248*8*(A57/1979)</f>
        <v>221.55836280949973</v>
      </c>
      <c r="F59" s="29">
        <f>E59/A57</f>
        <v>1.0025265285497724</v>
      </c>
      <c r="G59" s="40">
        <f t="shared" si="20"/>
        <v>4.5248868778280538E-3</v>
      </c>
      <c r="H59" s="150">
        <f>4950*0.49</f>
        <v>2425.5</v>
      </c>
      <c r="I59" s="105">
        <f t="shared" si="21"/>
        <v>10.975113122171944</v>
      </c>
      <c r="L59" s="3">
        <f t="shared" si="2"/>
        <v>0</v>
      </c>
    </row>
    <row r="60" spans="1:20" s="1" customFormat="1" ht="15.75" thickBot="1">
      <c r="A60" s="126"/>
      <c r="B60" s="18"/>
      <c r="C60" s="18"/>
      <c r="D60" s="18"/>
      <c r="E60" s="18"/>
      <c r="F60" s="18"/>
      <c r="G60" s="21"/>
      <c r="H60" s="42"/>
      <c r="I60" s="109">
        <f>SUM(I56:I59)</f>
        <v>405.15678823529402</v>
      </c>
      <c r="J60" s="121">
        <f>(36201+4950+15489+16369+15650+15000+79074.98)*0.49</f>
        <v>89539.650199999989</v>
      </c>
      <c r="K60" s="137">
        <f>I60*A57</f>
        <v>89539.650199999975</v>
      </c>
      <c r="L60" s="3">
        <f t="shared" si="2"/>
        <v>0</v>
      </c>
    </row>
    <row r="61" spans="1:20">
      <c r="A61" s="122" t="s">
        <v>69</v>
      </c>
      <c r="B61" s="11" t="s">
        <v>62</v>
      </c>
      <c r="C61" s="11" t="s">
        <v>17</v>
      </c>
      <c r="D61" s="13">
        <v>1</v>
      </c>
      <c r="E61" s="15">
        <f>248*8*(A62/1979)</f>
        <v>328.82870136432547</v>
      </c>
      <c r="F61" s="28">
        <f>E61/A62</f>
        <v>1.0025265285497729</v>
      </c>
      <c r="G61" s="41">
        <f t="shared" ref="G61:G64" si="22">D61/E61*F61</f>
        <v>3.0487804878048786E-3</v>
      </c>
      <c r="H61" s="148">
        <f>65626*0.49</f>
        <v>32156.739999999998</v>
      </c>
      <c r="I61" s="104">
        <f>H61*G61</f>
        <v>98.038841463414641</v>
      </c>
      <c r="J61" s="3"/>
      <c r="L61" s="3">
        <f t="shared" si="2"/>
        <v>0</v>
      </c>
      <c r="M61" s="1">
        <f>J61/A62/G61</f>
        <v>0</v>
      </c>
    </row>
    <row r="62" spans="1:20" s="1" customFormat="1" ht="33" customHeight="1">
      <c r="A62" s="146">
        <f>ком.усл!A67</f>
        <v>328</v>
      </c>
      <c r="B62" s="35" t="s">
        <v>50</v>
      </c>
      <c r="C62" s="5" t="s">
        <v>17</v>
      </c>
      <c r="D62" s="5">
        <v>1</v>
      </c>
      <c r="E62" s="7">
        <f>248*8*(A62/1979)</f>
        <v>328.82870136432547</v>
      </c>
      <c r="F62" s="29">
        <f>E62/A62</f>
        <v>1.0025265285497729</v>
      </c>
      <c r="G62" s="40">
        <f t="shared" si="22"/>
        <v>3.0487804878048786E-3</v>
      </c>
      <c r="H62" s="150">
        <f>127661.32*0.49</f>
        <v>62554.046800000004</v>
      </c>
      <c r="I62" s="105">
        <f t="shared" ref="I62:I64" si="23">H62*G62</f>
        <v>190.71355731707322</v>
      </c>
      <c r="L62" s="3">
        <f t="shared" si="2"/>
        <v>0</v>
      </c>
    </row>
    <row r="63" spans="1:20" s="1" customFormat="1">
      <c r="A63" s="146"/>
      <c r="B63" s="5" t="s">
        <v>121</v>
      </c>
      <c r="C63" s="5" t="s">
        <v>17</v>
      </c>
      <c r="D63" s="5">
        <v>1</v>
      </c>
      <c r="E63" s="7">
        <f>248*8*(A62/1979)</f>
        <v>328.82870136432547</v>
      </c>
      <c r="F63" s="29">
        <f>E63/A62</f>
        <v>1.0025265285497729</v>
      </c>
      <c r="G63" s="40">
        <f t="shared" si="22"/>
        <v>3.0487804878048786E-3</v>
      </c>
      <c r="H63" s="150">
        <f>30000*0.49</f>
        <v>14700</v>
      </c>
      <c r="I63" s="105">
        <f t="shared" si="23"/>
        <v>44.817073170731717</v>
      </c>
      <c r="L63" s="3">
        <f t="shared" si="2"/>
        <v>0</v>
      </c>
    </row>
    <row r="64" spans="1:20" s="1" customFormat="1">
      <c r="A64" s="146"/>
      <c r="B64" s="5" t="s">
        <v>61</v>
      </c>
      <c r="C64" s="5" t="s">
        <v>17</v>
      </c>
      <c r="D64" s="5">
        <v>1</v>
      </c>
      <c r="E64" s="7">
        <f>248*8*(A62/1979)</f>
        <v>328.82870136432547</v>
      </c>
      <c r="F64" s="29">
        <f>E64/A62</f>
        <v>1.0025265285497729</v>
      </c>
      <c r="G64" s="40">
        <f t="shared" si="22"/>
        <v>3.0487804878048786E-3</v>
      </c>
      <c r="H64" s="150">
        <f>8550*0.49</f>
        <v>4189.5</v>
      </c>
      <c r="I64" s="105">
        <f t="shared" si="23"/>
        <v>12.772865853658539</v>
      </c>
      <c r="L64" s="3">
        <f t="shared" si="2"/>
        <v>0</v>
      </c>
    </row>
    <row r="65" spans="1:13" s="1" customFormat="1" ht="15.75" thickBot="1">
      <c r="A65" s="126"/>
      <c r="B65" s="18"/>
      <c r="C65" s="18"/>
      <c r="D65" s="18"/>
      <c r="E65" s="18"/>
      <c r="F65" s="18"/>
      <c r="G65" s="21"/>
      <c r="H65" s="42"/>
      <c r="I65" s="109">
        <f>SUM(I61:I64)</f>
        <v>346.34233780487807</v>
      </c>
      <c r="J65" s="121">
        <f>(65626+8550+127661.32+30000)*0.49</f>
        <v>113600.2868</v>
      </c>
      <c r="K65" s="137">
        <f>I65*A62</f>
        <v>113600.2868</v>
      </c>
      <c r="L65" s="3">
        <f t="shared" si="2"/>
        <v>0</v>
      </c>
    </row>
    <row r="66" spans="1:13">
      <c r="A66" s="122" t="s">
        <v>70</v>
      </c>
      <c r="B66" s="11" t="s">
        <v>62</v>
      </c>
      <c r="C66" s="11" t="s">
        <v>17</v>
      </c>
      <c r="D66" s="13">
        <v>1</v>
      </c>
      <c r="E66" s="15">
        <f>248*8*(A67/1979)</f>
        <v>285.72006063668522</v>
      </c>
      <c r="F66" s="28">
        <f>E66/A67</f>
        <v>1.0025265285497726</v>
      </c>
      <c r="G66" s="41">
        <f t="shared" ref="G66:G69" si="24">D66/E66*F66</f>
        <v>3.508771929824561E-3</v>
      </c>
      <c r="H66" s="148">
        <f>64828.68*0.49</f>
        <v>31766.053199999998</v>
      </c>
      <c r="I66" s="104">
        <f>H66*G66</f>
        <v>111.45983578947367</v>
      </c>
      <c r="J66" s="3"/>
      <c r="L66" s="3">
        <f t="shared" si="2"/>
        <v>0</v>
      </c>
      <c r="M66" s="1">
        <f>J66/A67/G66</f>
        <v>0</v>
      </c>
    </row>
    <row r="67" spans="1:13" s="1" customFormat="1" ht="33" customHeight="1">
      <c r="A67" s="146">
        <f>ком.усл!A72</f>
        <v>285</v>
      </c>
      <c r="B67" s="35" t="s">
        <v>50</v>
      </c>
      <c r="C67" s="5" t="s">
        <v>17</v>
      </c>
      <c r="D67" s="5">
        <v>1</v>
      </c>
      <c r="E67" s="7">
        <f>248*8*(A67/1979)</f>
        <v>285.72006063668522</v>
      </c>
      <c r="F67" s="29">
        <f>E67/A67</f>
        <v>1.0025265285497726</v>
      </c>
      <c r="G67" s="40">
        <f t="shared" si="24"/>
        <v>3.508771929824561E-3</v>
      </c>
      <c r="H67" s="150">
        <f>136222.32*0.49</f>
        <v>66748.936799999996</v>
      </c>
      <c r="I67" s="105">
        <f t="shared" ref="I67:I69" si="25">H67*G67</f>
        <v>234.20679578947363</v>
      </c>
      <c r="L67" s="3">
        <f t="shared" si="2"/>
        <v>0</v>
      </c>
    </row>
    <row r="68" spans="1:13" s="1" customFormat="1">
      <c r="A68" s="146"/>
      <c r="B68" s="5" t="s">
        <v>121</v>
      </c>
      <c r="C68" s="5" t="s">
        <v>17</v>
      </c>
      <c r="D68" s="5">
        <v>1</v>
      </c>
      <c r="E68" s="7">
        <f>248*8*(A67/1979)</f>
        <v>285.72006063668522</v>
      </c>
      <c r="F68" s="29">
        <f>E68/A67</f>
        <v>1.0025265285497726</v>
      </c>
      <c r="G68" s="40">
        <f t="shared" si="24"/>
        <v>3.508771929824561E-3</v>
      </c>
      <c r="H68" s="150">
        <f>(45000)*0.49</f>
        <v>22050</v>
      </c>
      <c r="I68" s="105">
        <f t="shared" si="25"/>
        <v>77.368421052631575</v>
      </c>
      <c r="L68" s="3">
        <f t="shared" si="2"/>
        <v>0</v>
      </c>
    </row>
    <row r="69" spans="1:13" s="1" customFormat="1">
      <c r="A69" s="146"/>
      <c r="B69" s="5" t="s">
        <v>61</v>
      </c>
      <c r="C69" s="5" t="s">
        <v>17</v>
      </c>
      <c r="D69" s="5">
        <v>1</v>
      </c>
      <c r="E69" s="7">
        <f>248*8*(A67/1979)</f>
        <v>285.72006063668522</v>
      </c>
      <c r="F69" s="29">
        <f>E69/A67</f>
        <v>1.0025265285497726</v>
      </c>
      <c r="G69" s="40">
        <f t="shared" si="24"/>
        <v>3.508771929824561E-3</v>
      </c>
      <c r="H69" s="150">
        <f>12600*0.49</f>
        <v>6174</v>
      </c>
      <c r="I69" s="105">
        <f t="shared" si="25"/>
        <v>21.663157894736841</v>
      </c>
      <c r="L69" s="3">
        <f t="shared" si="2"/>
        <v>0</v>
      </c>
    </row>
    <row r="70" spans="1:13" s="1" customFormat="1" ht="15.75" thickBot="1">
      <c r="A70" s="126"/>
      <c r="B70" s="18"/>
      <c r="C70" s="18"/>
      <c r="D70" s="18"/>
      <c r="E70" s="18"/>
      <c r="F70" s="18"/>
      <c r="G70" s="21"/>
      <c r="H70" s="42"/>
      <c r="I70" s="109">
        <f>SUM(I66:I69)</f>
        <v>444.69821052631573</v>
      </c>
      <c r="J70" s="121">
        <f>(64828.68+12600+136222.32+45000)*0.49</f>
        <v>126738.98999999999</v>
      </c>
      <c r="K70" s="137">
        <f>I70*A67</f>
        <v>126738.98999999999</v>
      </c>
      <c r="L70" s="3">
        <f t="shared" si="2"/>
        <v>0</v>
      </c>
    </row>
    <row r="71" spans="1:13">
      <c r="A71" s="122" t="s">
        <v>71</v>
      </c>
      <c r="B71" s="11" t="s">
        <v>62</v>
      </c>
      <c r="C71" s="11" t="s">
        <v>17</v>
      </c>
      <c r="D71" s="13">
        <v>1</v>
      </c>
      <c r="E71" s="15">
        <f>248*8*(A72/1979)</f>
        <v>419.05608893380497</v>
      </c>
      <c r="F71" s="28">
        <f>E71/A72</f>
        <v>1.0025265285497726</v>
      </c>
      <c r="G71" s="41">
        <f t="shared" ref="G71:G74" si="26">D71/E71*F71</f>
        <v>2.3923444976076554E-3</v>
      </c>
      <c r="H71" s="148">
        <f>45325.06*0.45</f>
        <v>20396.276999999998</v>
      </c>
      <c r="I71" s="104">
        <f>H71*G71</f>
        <v>48.794921052631572</v>
      </c>
      <c r="J71" s="3"/>
      <c r="L71" s="3">
        <f t="shared" si="2"/>
        <v>0</v>
      </c>
      <c r="M71" s="1">
        <f>J71/A72/G71</f>
        <v>0</v>
      </c>
    </row>
    <row r="72" spans="1:13" s="1" customFormat="1" ht="33" customHeight="1">
      <c r="A72" s="146">
        <f>ком.усл!A77</f>
        <v>418</v>
      </c>
      <c r="B72" s="35" t="s">
        <v>50</v>
      </c>
      <c r="C72" s="5" t="s">
        <v>17</v>
      </c>
      <c r="D72" s="5">
        <v>1</v>
      </c>
      <c r="E72" s="7">
        <f>248*8*(A72/1979)</f>
        <v>419.05608893380497</v>
      </c>
      <c r="F72" s="29">
        <f>E72/A72</f>
        <v>1.0025265285497726</v>
      </c>
      <c r="G72" s="40">
        <f t="shared" si="26"/>
        <v>2.3923444976076554E-3</v>
      </c>
      <c r="H72" s="150">
        <f>185464.83*0.45</f>
        <v>83459.17349999999</v>
      </c>
      <c r="I72" s="105">
        <f t="shared" ref="I72:I74" si="27">H72*G72</f>
        <v>199.66309449760763</v>
      </c>
      <c r="L72" s="3">
        <f t="shared" ref="L72:L135" si="28">J72-K72</f>
        <v>0</v>
      </c>
    </row>
    <row r="73" spans="1:13" s="1" customFormat="1">
      <c r="A73" s="146"/>
      <c r="B73" s="5" t="s">
        <v>121</v>
      </c>
      <c r="C73" s="5" t="s">
        <v>17</v>
      </c>
      <c r="D73" s="5">
        <v>1</v>
      </c>
      <c r="E73" s="7">
        <f>248*8*(A72/1979)</f>
        <v>419.05608893380497</v>
      </c>
      <c r="F73" s="29">
        <f>E73/A72</f>
        <v>1.0025265285497726</v>
      </c>
      <c r="G73" s="40">
        <f t="shared" si="26"/>
        <v>2.3923444976076554E-3</v>
      </c>
      <c r="H73" s="150">
        <f>(13286+15000)*0.45</f>
        <v>12728.7</v>
      </c>
      <c r="I73" s="105">
        <f t="shared" si="27"/>
        <v>30.451435406698565</v>
      </c>
      <c r="L73" s="3">
        <f t="shared" si="28"/>
        <v>0</v>
      </c>
    </row>
    <row r="74" spans="1:13" s="1" customFormat="1">
      <c r="A74" s="146"/>
      <c r="B74" s="5" t="s">
        <v>61</v>
      </c>
      <c r="C74" s="5" t="s">
        <v>17</v>
      </c>
      <c r="D74" s="5">
        <v>1</v>
      </c>
      <c r="E74" s="7">
        <f>248*8*(A72/1979)</f>
        <v>419.05608893380497</v>
      </c>
      <c r="F74" s="29">
        <f>E74/A72</f>
        <v>1.0025265285497726</v>
      </c>
      <c r="G74" s="40">
        <f t="shared" si="26"/>
        <v>2.3923444976076554E-3</v>
      </c>
      <c r="H74" s="150">
        <f>7650*0.45</f>
        <v>3442.5</v>
      </c>
      <c r="I74" s="105">
        <f t="shared" si="27"/>
        <v>8.2356459330143537</v>
      </c>
      <c r="L74" s="3">
        <f t="shared" si="28"/>
        <v>0</v>
      </c>
    </row>
    <row r="75" spans="1:13" s="1" customFormat="1" ht="15.75" thickBot="1">
      <c r="A75" s="126"/>
      <c r="B75" s="18"/>
      <c r="C75" s="18"/>
      <c r="D75" s="18"/>
      <c r="E75" s="18"/>
      <c r="F75" s="18"/>
      <c r="G75" s="21"/>
      <c r="H75" s="42"/>
      <c r="I75" s="109">
        <f>SUM(I71:I74)</f>
        <v>287.14509688995213</v>
      </c>
      <c r="J75" s="121">
        <f>(45325.06+7650+13286+185464.83+15000)*0.45</f>
        <v>120026.6505</v>
      </c>
      <c r="K75" s="137">
        <f>I75*A72</f>
        <v>120026.65049999999</v>
      </c>
      <c r="L75" s="3">
        <f t="shared" si="28"/>
        <v>0</v>
      </c>
    </row>
    <row r="76" spans="1:13">
      <c r="A76" s="122" t="s">
        <v>72</v>
      </c>
      <c r="B76" s="11" t="s">
        <v>62</v>
      </c>
      <c r="C76" s="11" t="s">
        <v>17</v>
      </c>
      <c r="D76" s="13">
        <v>1</v>
      </c>
      <c r="E76" s="15">
        <f>248*8*(A77/1979)</f>
        <v>482.21526023244064</v>
      </c>
      <c r="F76" s="28">
        <f>E76/A77</f>
        <v>1.0025265285497726</v>
      </c>
      <c r="G76" s="41">
        <f t="shared" ref="G76:G79" si="29">D76/E76*F76</f>
        <v>2.0790020790020791E-3</v>
      </c>
      <c r="H76" s="148">
        <f>40183*0.49</f>
        <v>19689.669999999998</v>
      </c>
      <c r="I76" s="104">
        <f>H76*G76</f>
        <v>40.934864864864863</v>
      </c>
      <c r="J76" s="3"/>
      <c r="L76" s="3">
        <f t="shared" si="28"/>
        <v>0</v>
      </c>
      <c r="M76" s="1">
        <f>J76/A77/G76</f>
        <v>0</v>
      </c>
    </row>
    <row r="77" spans="1:13" s="1" customFormat="1" ht="33" customHeight="1">
      <c r="A77" s="146">
        <f>ком.усл!A82</f>
        <v>481</v>
      </c>
      <c r="B77" s="35" t="s">
        <v>50</v>
      </c>
      <c r="C77" s="5" t="s">
        <v>17</v>
      </c>
      <c r="D77" s="5">
        <v>1</v>
      </c>
      <c r="E77" s="7">
        <f>248*8*(A77/1979)</f>
        <v>482.21526023244064</v>
      </c>
      <c r="F77" s="29">
        <f>E77/A77</f>
        <v>1.0025265285497726</v>
      </c>
      <c r="G77" s="40">
        <f t="shared" si="29"/>
        <v>2.0790020790020791E-3</v>
      </c>
      <c r="H77" s="150">
        <f>224478.95*0.49</f>
        <v>109994.68550000001</v>
      </c>
      <c r="I77" s="105">
        <f t="shared" ref="I77:I79" si="30">H77*G77</f>
        <v>228.67917983367985</v>
      </c>
      <c r="L77" s="3">
        <f t="shared" si="28"/>
        <v>0</v>
      </c>
    </row>
    <row r="78" spans="1:13" s="1" customFormat="1">
      <c r="A78" s="146"/>
      <c r="B78" s="5" t="s">
        <v>121</v>
      </c>
      <c r="C78" s="5" t="s">
        <v>17</v>
      </c>
      <c r="D78" s="5">
        <v>1</v>
      </c>
      <c r="E78" s="7">
        <f>248*8*(A77/1979)</f>
        <v>482.21526023244064</v>
      </c>
      <c r="F78" s="29">
        <f>E78/A77</f>
        <v>1.0025265285497726</v>
      </c>
      <c r="G78" s="40">
        <f t="shared" si="29"/>
        <v>2.0790020790020791E-3</v>
      </c>
      <c r="H78" s="150">
        <f>(8560+13800+15000+53918.24)*0.49</f>
        <v>44726.337599999992</v>
      </c>
      <c r="I78" s="105">
        <f t="shared" si="30"/>
        <v>92.986148856548851</v>
      </c>
      <c r="L78" s="3">
        <f t="shared" si="28"/>
        <v>0</v>
      </c>
    </row>
    <row r="79" spans="1:13" s="1" customFormat="1">
      <c r="A79" s="146"/>
      <c r="B79" s="5" t="s">
        <v>61</v>
      </c>
      <c r="C79" s="5" t="s">
        <v>17</v>
      </c>
      <c r="D79" s="5">
        <v>1</v>
      </c>
      <c r="E79" s="7">
        <f>248*8*(A77/1979)</f>
        <v>482.21526023244064</v>
      </c>
      <c r="F79" s="29">
        <f>E79/A77</f>
        <v>1.0025265285497726</v>
      </c>
      <c r="G79" s="40">
        <f t="shared" si="29"/>
        <v>2.0790020790020791E-3</v>
      </c>
      <c r="H79" s="150">
        <f>9000*0.49</f>
        <v>4410</v>
      </c>
      <c r="I79" s="105">
        <f t="shared" si="30"/>
        <v>9.1683991683991692</v>
      </c>
      <c r="L79" s="3">
        <f t="shared" si="28"/>
        <v>0</v>
      </c>
    </row>
    <row r="80" spans="1:13" s="1" customFormat="1" ht="15.75" thickBot="1">
      <c r="A80" s="126"/>
      <c r="B80" s="18"/>
      <c r="C80" s="18"/>
      <c r="D80" s="18"/>
      <c r="E80" s="18"/>
      <c r="F80" s="18"/>
      <c r="G80" s="21"/>
      <c r="H80" s="42"/>
      <c r="I80" s="109">
        <f>SUM(I76:I79)</f>
        <v>371.76859272349276</v>
      </c>
      <c r="J80" s="121">
        <f>(40183+9000+224478.95+8560+13800+15000+53918.24)*0.49</f>
        <v>178820.6931</v>
      </c>
      <c r="K80" s="137">
        <f>I80*A77</f>
        <v>178820.6931</v>
      </c>
      <c r="L80" s="3">
        <f t="shared" si="28"/>
        <v>0</v>
      </c>
    </row>
    <row r="81" spans="1:13">
      <c r="A81" s="122" t="s">
        <v>73</v>
      </c>
      <c r="B81" s="11" t="s">
        <v>62</v>
      </c>
      <c r="C81" s="11" t="s">
        <v>17</v>
      </c>
      <c r="D81" s="13">
        <v>1</v>
      </c>
      <c r="E81" s="15">
        <f>248*8*(A82/1979)</f>
        <v>302.76301162203129</v>
      </c>
      <c r="F81" s="28">
        <f>E81/A82</f>
        <v>1.0025265285497724</v>
      </c>
      <c r="G81" s="41">
        <f t="shared" ref="G81:G84" si="31">D81/E81*F81</f>
        <v>3.3112582781456954E-3</v>
      </c>
      <c r="H81" s="148">
        <f>57258.8*0.49</f>
        <v>28056.812000000002</v>
      </c>
      <c r="I81" s="104">
        <f>H81*G81</f>
        <v>92.903350993377487</v>
      </c>
      <c r="J81" s="3"/>
      <c r="L81" s="3">
        <f t="shared" si="28"/>
        <v>0</v>
      </c>
      <c r="M81" s="1">
        <f>J81/A82/G81</f>
        <v>0</v>
      </c>
    </row>
    <row r="82" spans="1:13" s="1" customFormat="1" ht="33" customHeight="1">
      <c r="A82" s="146">
        <f>ком.усл!A87</f>
        <v>302</v>
      </c>
      <c r="B82" s="35" t="s">
        <v>50</v>
      </c>
      <c r="C82" s="5" t="s">
        <v>17</v>
      </c>
      <c r="D82" s="5">
        <v>1</v>
      </c>
      <c r="E82" s="7">
        <f>248*8*(A82/1979)</f>
        <v>302.76301162203129</v>
      </c>
      <c r="F82" s="29">
        <f>E82/A82</f>
        <v>1.0025265285497724</v>
      </c>
      <c r="G82" s="40">
        <f t="shared" si="31"/>
        <v>3.3112582781456954E-3</v>
      </c>
      <c r="H82" s="150">
        <f>123204.78*0.49</f>
        <v>60370.342199999999</v>
      </c>
      <c r="I82" s="105">
        <f t="shared" ref="I82:I84" si="32">H82*G82</f>
        <v>199.90179536423841</v>
      </c>
      <c r="L82" s="3">
        <f t="shared" si="28"/>
        <v>0</v>
      </c>
    </row>
    <row r="83" spans="1:13" s="1" customFormat="1">
      <c r="A83" s="146"/>
      <c r="B83" s="5" t="s">
        <v>121</v>
      </c>
      <c r="C83" s="5" t="s">
        <v>17</v>
      </c>
      <c r="D83" s="5">
        <v>1</v>
      </c>
      <c r="E83" s="7">
        <f>248*8*(A82/1979)</f>
        <v>302.76301162203129</v>
      </c>
      <c r="F83" s="29">
        <f>E83/A82</f>
        <v>1.0025265285497724</v>
      </c>
      <c r="G83" s="40">
        <f t="shared" si="31"/>
        <v>3.3112582781456954E-3</v>
      </c>
      <c r="H83" s="150">
        <f>15000*0.49</f>
        <v>7350</v>
      </c>
      <c r="I83" s="105">
        <f t="shared" si="32"/>
        <v>24.337748344370862</v>
      </c>
      <c r="L83" s="3">
        <f t="shared" si="28"/>
        <v>0</v>
      </c>
    </row>
    <row r="84" spans="1:13" s="1" customFormat="1">
      <c r="A84" s="146"/>
      <c r="B84" s="5" t="s">
        <v>61</v>
      </c>
      <c r="C84" s="5" t="s">
        <v>17</v>
      </c>
      <c r="D84" s="5">
        <v>1</v>
      </c>
      <c r="E84" s="7">
        <f>248*8*(A82/1979)</f>
        <v>302.76301162203129</v>
      </c>
      <c r="F84" s="29">
        <f>E84/A82</f>
        <v>1.0025265285497724</v>
      </c>
      <c r="G84" s="40">
        <f t="shared" si="31"/>
        <v>3.3112582781456954E-3</v>
      </c>
      <c r="H84" s="150">
        <f>9000*0.49</f>
        <v>4410</v>
      </c>
      <c r="I84" s="105">
        <f t="shared" si="32"/>
        <v>14.602649006622517</v>
      </c>
      <c r="L84" s="3">
        <f t="shared" si="28"/>
        <v>0</v>
      </c>
    </row>
    <row r="85" spans="1:13" s="1" customFormat="1" ht="15.75" thickBot="1">
      <c r="A85" s="126"/>
      <c r="B85" s="18"/>
      <c r="C85" s="18"/>
      <c r="D85" s="18"/>
      <c r="E85" s="18"/>
      <c r="F85" s="18"/>
      <c r="G85" s="21"/>
      <c r="H85" s="42"/>
      <c r="I85" s="109">
        <f>SUM(I81:I84)</f>
        <v>331.74554370860932</v>
      </c>
      <c r="J85" s="121">
        <f>(57258.8+9000+123204.78+15000)*0.49</f>
        <v>100187.1542</v>
      </c>
      <c r="K85" s="137">
        <f>I85*A82</f>
        <v>100187.15420000002</v>
      </c>
      <c r="L85" s="3">
        <f t="shared" si="28"/>
        <v>0</v>
      </c>
    </row>
    <row r="86" spans="1:13">
      <c r="A86" s="122" t="s">
        <v>96</v>
      </c>
      <c r="B86" s="11" t="s">
        <v>62</v>
      </c>
      <c r="C86" s="11" t="s">
        <v>17</v>
      </c>
      <c r="D86" s="13">
        <v>1</v>
      </c>
      <c r="E86" s="15">
        <f>248*8*(A87/1979)</f>
        <v>465.17230924709452</v>
      </c>
      <c r="F86" s="28">
        <f>E86/A87</f>
        <v>1.0025265285497726</v>
      </c>
      <c r="G86" s="41">
        <f t="shared" ref="G86:G89" si="33">D86/E86*F86</f>
        <v>2.1551724137931034E-3</v>
      </c>
      <c r="H86" s="148">
        <f>71674*0.47</f>
        <v>33686.78</v>
      </c>
      <c r="I86" s="104">
        <f>H86*G86</f>
        <v>72.600818965517234</v>
      </c>
      <c r="J86" s="3"/>
      <c r="L86" s="3">
        <f t="shared" si="28"/>
        <v>0</v>
      </c>
      <c r="M86" s="1">
        <f>J86/A87/G86</f>
        <v>0</v>
      </c>
    </row>
    <row r="87" spans="1:13" s="1" customFormat="1" ht="33" customHeight="1">
      <c r="A87" s="146">
        <f>ком.усл!A92</f>
        <v>464</v>
      </c>
      <c r="B87" s="35" t="s">
        <v>50</v>
      </c>
      <c r="C87" s="5" t="s">
        <v>17</v>
      </c>
      <c r="D87" s="5">
        <v>1</v>
      </c>
      <c r="E87" s="7">
        <f>248*8*(A87/1979)</f>
        <v>465.17230924709452</v>
      </c>
      <c r="F87" s="29">
        <f>E87/A87</f>
        <v>1.0025265285497726</v>
      </c>
      <c r="G87" s="40">
        <f t="shared" si="33"/>
        <v>2.1551724137931034E-3</v>
      </c>
      <c r="H87" s="150">
        <f>195739.17*0.47</f>
        <v>91997.409899999999</v>
      </c>
      <c r="I87" s="105">
        <f t="shared" ref="I87:I89" si="34">H87*G87</f>
        <v>198.27027995689656</v>
      </c>
      <c r="L87" s="3">
        <f t="shared" si="28"/>
        <v>0</v>
      </c>
    </row>
    <row r="88" spans="1:13" s="1" customFormat="1">
      <c r="A88" s="146"/>
      <c r="B88" s="5" t="s">
        <v>121</v>
      </c>
      <c r="C88" s="5" t="s">
        <v>17</v>
      </c>
      <c r="D88" s="5">
        <v>1</v>
      </c>
      <c r="E88" s="7">
        <f>248*8*(A87/1979)</f>
        <v>465.17230924709452</v>
      </c>
      <c r="F88" s="29">
        <f>E88/A87</f>
        <v>1.0025265285497726</v>
      </c>
      <c r="G88" s="40">
        <f t="shared" si="33"/>
        <v>2.1551724137931034E-3</v>
      </c>
      <c r="H88" s="150">
        <f>(11388+30000)*0.47</f>
        <v>19452.36</v>
      </c>
      <c r="I88" s="105">
        <f t="shared" si="34"/>
        <v>41.923189655172415</v>
      </c>
      <c r="L88" s="3">
        <f t="shared" si="28"/>
        <v>0</v>
      </c>
    </row>
    <row r="89" spans="1:13" s="1" customFormat="1">
      <c r="A89" s="146"/>
      <c r="B89" s="5" t="s">
        <v>61</v>
      </c>
      <c r="C89" s="5" t="s">
        <v>17</v>
      </c>
      <c r="D89" s="5">
        <v>1</v>
      </c>
      <c r="E89" s="7">
        <f>248*8*(A87/1979)</f>
        <v>465.17230924709452</v>
      </c>
      <c r="F89" s="29">
        <f>E89/A87</f>
        <v>1.0025265285497726</v>
      </c>
      <c r="G89" s="40">
        <f t="shared" si="33"/>
        <v>2.1551724137931034E-3</v>
      </c>
      <c r="H89" s="150">
        <f>9000*0.47</f>
        <v>4230</v>
      </c>
      <c r="I89" s="105">
        <f t="shared" si="34"/>
        <v>9.1163793103448274</v>
      </c>
      <c r="L89" s="3">
        <f t="shared" si="28"/>
        <v>0</v>
      </c>
    </row>
    <row r="90" spans="1:13" s="1" customFormat="1" ht="15.75" thickBot="1">
      <c r="A90" s="126"/>
      <c r="B90" s="18"/>
      <c r="C90" s="18"/>
      <c r="D90" s="18"/>
      <c r="E90" s="18"/>
      <c r="F90" s="18"/>
      <c r="G90" s="21"/>
      <c r="H90" s="42"/>
      <c r="I90" s="109">
        <f>SUM(I86:I89)</f>
        <v>321.91066788793103</v>
      </c>
      <c r="J90" s="121">
        <f>(71674+9000+11388+195739.17+30000)*0.47</f>
        <v>149366.54990000001</v>
      </c>
      <c r="K90" s="137">
        <f>I90*A87</f>
        <v>149366.54989999998</v>
      </c>
      <c r="L90" s="3">
        <f t="shared" si="28"/>
        <v>0</v>
      </c>
    </row>
    <row r="91" spans="1:13">
      <c r="A91" s="122" t="s">
        <v>75</v>
      </c>
      <c r="B91" s="11" t="s">
        <v>62</v>
      </c>
      <c r="C91" s="11" t="s">
        <v>17</v>
      </c>
      <c r="D91" s="13">
        <v>1</v>
      </c>
      <c r="E91" s="15">
        <f>248*8*(A92/1979)</f>
        <v>118.29813036887316</v>
      </c>
      <c r="F91" s="28">
        <f>E91/A92</f>
        <v>1.0025265285497726</v>
      </c>
      <c r="G91" s="41">
        <f t="shared" ref="G91:G94" si="35">D91/E91*F91</f>
        <v>8.4745762711864406E-3</v>
      </c>
      <c r="H91" s="148">
        <f>27838.92*0.41</f>
        <v>11413.957199999999</v>
      </c>
      <c r="I91" s="104">
        <f>H91*G91</f>
        <v>96.728450847457623</v>
      </c>
      <c r="J91" s="3"/>
      <c r="L91" s="3">
        <f t="shared" si="28"/>
        <v>0</v>
      </c>
      <c r="M91" s="1">
        <f>J91/A92/G91</f>
        <v>0</v>
      </c>
    </row>
    <row r="92" spans="1:13" s="1" customFormat="1" ht="33" customHeight="1">
      <c r="A92" s="146">
        <f>ком.усл!A98</f>
        <v>118</v>
      </c>
      <c r="B92" s="35" t="s">
        <v>50</v>
      </c>
      <c r="C92" s="5" t="s">
        <v>17</v>
      </c>
      <c r="D92" s="5">
        <v>1</v>
      </c>
      <c r="E92" s="7">
        <f>248*8*(A92/1979)</f>
        <v>118.29813036887316</v>
      </c>
      <c r="F92" s="29">
        <f>E92/A92</f>
        <v>1.0025265285497726</v>
      </c>
      <c r="G92" s="40">
        <f t="shared" si="35"/>
        <v>8.4745762711864406E-3</v>
      </c>
      <c r="H92" s="150">
        <f>123809.97*0.41</f>
        <v>50762.087699999996</v>
      </c>
      <c r="I92" s="105">
        <f t="shared" ref="I92:I94" si="36">H92*G92</f>
        <v>430.18718389830508</v>
      </c>
      <c r="L92" s="3">
        <f t="shared" si="28"/>
        <v>0</v>
      </c>
    </row>
    <row r="93" spans="1:13" s="1" customFormat="1">
      <c r="A93" s="146"/>
      <c r="B93" s="5" t="s">
        <v>121</v>
      </c>
      <c r="C93" s="5" t="s">
        <v>17</v>
      </c>
      <c r="D93" s="5">
        <v>1</v>
      </c>
      <c r="E93" s="7">
        <f>248*8*(A92/1979)</f>
        <v>118.29813036887316</v>
      </c>
      <c r="F93" s="29">
        <f>E93/A92</f>
        <v>1.0025265285497726</v>
      </c>
      <c r="G93" s="40">
        <f t="shared" si="35"/>
        <v>8.4745762711864406E-3</v>
      </c>
      <c r="H93" s="150">
        <f>(1540+7090.6+15000)*0.41</f>
        <v>9688.5459999999985</v>
      </c>
      <c r="I93" s="105">
        <f t="shared" si="36"/>
        <v>82.106322033898294</v>
      </c>
      <c r="L93" s="3">
        <f t="shared" si="28"/>
        <v>0</v>
      </c>
    </row>
    <row r="94" spans="1:13" s="1" customFormat="1">
      <c r="A94" s="146"/>
      <c r="B94" s="5" t="s">
        <v>61</v>
      </c>
      <c r="C94" s="5" t="s">
        <v>17</v>
      </c>
      <c r="D94" s="5">
        <v>1</v>
      </c>
      <c r="E94" s="7">
        <f>248*8*(A92/1979)</f>
        <v>118.29813036887316</v>
      </c>
      <c r="F94" s="29">
        <f>E94/A92</f>
        <v>1.0025265285497726</v>
      </c>
      <c r="G94" s="40">
        <f t="shared" si="35"/>
        <v>8.4745762711864406E-3</v>
      </c>
      <c r="H94" s="150">
        <f>5400*0.41</f>
        <v>2214</v>
      </c>
      <c r="I94" s="105">
        <f t="shared" si="36"/>
        <v>18.762711864406779</v>
      </c>
      <c r="L94" s="3">
        <f t="shared" si="28"/>
        <v>0</v>
      </c>
    </row>
    <row r="95" spans="1:13" s="1" customFormat="1" ht="15.75" thickBot="1">
      <c r="A95" s="126"/>
      <c r="B95" s="18"/>
      <c r="C95" s="18"/>
      <c r="D95" s="18"/>
      <c r="E95" s="18"/>
      <c r="F95" s="18"/>
      <c r="G95" s="21"/>
      <c r="H95" s="42"/>
      <c r="I95" s="109">
        <f>SUM(I91:I94)</f>
        <v>627.78466864406778</v>
      </c>
      <c r="J95" s="121">
        <f>(27838.92+5400+123809.97+1540+7090.6+15000)*0.41</f>
        <v>74078.59090000001</v>
      </c>
      <c r="K95" s="137">
        <f>I95*A92</f>
        <v>74078.590899999996</v>
      </c>
      <c r="L95" s="3">
        <f t="shared" si="28"/>
        <v>0</v>
      </c>
    </row>
    <row r="96" spans="1:13">
      <c r="A96" s="122" t="s">
        <v>76</v>
      </c>
      <c r="B96" s="11" t="s">
        <v>62</v>
      </c>
      <c r="C96" s="11" t="s">
        <v>17</v>
      </c>
      <c r="D96" s="13">
        <v>1</v>
      </c>
      <c r="E96" s="15">
        <f>248*8*(A97/1979)</f>
        <v>134.33855482566952</v>
      </c>
      <c r="F96" s="28">
        <f>E96/A97</f>
        <v>1.0025265285497724</v>
      </c>
      <c r="G96" s="41">
        <f t="shared" ref="G96:G99" si="37">D96/E96*F96</f>
        <v>7.4626865671641781E-3</v>
      </c>
      <c r="H96" s="148">
        <f>26676*0.54</f>
        <v>14405.04</v>
      </c>
      <c r="I96" s="104">
        <f>H96*G96</f>
        <v>107.50029850746267</v>
      </c>
      <c r="J96" s="3"/>
      <c r="L96" s="3">
        <f t="shared" si="28"/>
        <v>0</v>
      </c>
      <c r="M96" s="1">
        <f>J96/A97/G96</f>
        <v>0</v>
      </c>
    </row>
    <row r="97" spans="1:20" s="1" customFormat="1" ht="33" customHeight="1">
      <c r="A97" s="146">
        <f>ком.усл!A103</f>
        <v>134</v>
      </c>
      <c r="B97" s="35" t="s">
        <v>50</v>
      </c>
      <c r="C97" s="5" t="s">
        <v>17</v>
      </c>
      <c r="D97" s="5">
        <v>1</v>
      </c>
      <c r="E97" s="7">
        <f>248*8*(A97/1979)</f>
        <v>134.33855482566952</v>
      </c>
      <c r="F97" s="29">
        <f>E97/A97</f>
        <v>1.0025265285497724</v>
      </c>
      <c r="G97" s="40">
        <f t="shared" si="37"/>
        <v>7.4626865671641781E-3</v>
      </c>
      <c r="H97" s="150">
        <f>80408.84*0.54</f>
        <v>43420.7736</v>
      </c>
      <c r="I97" s="105">
        <f t="shared" ref="I97:I99" si="38">H97*G97</f>
        <v>324.03562388059697</v>
      </c>
      <c r="L97" s="3">
        <f t="shared" si="28"/>
        <v>0</v>
      </c>
    </row>
    <row r="98" spans="1:20" s="1" customFormat="1">
      <c r="A98" s="146"/>
      <c r="B98" s="5" t="s">
        <v>121</v>
      </c>
      <c r="C98" s="5" t="s">
        <v>17</v>
      </c>
      <c r="D98" s="5">
        <v>1</v>
      </c>
      <c r="E98" s="7">
        <f>248*8*(A97/1979)</f>
        <v>134.33855482566952</v>
      </c>
      <c r="F98" s="29">
        <f>E98/A97</f>
        <v>1.0025265285497724</v>
      </c>
      <c r="G98" s="40">
        <f t="shared" si="37"/>
        <v>7.4626865671641781E-3</v>
      </c>
      <c r="H98" s="150">
        <f>15000*0.54</f>
        <v>8100.0000000000009</v>
      </c>
      <c r="I98" s="105">
        <f t="shared" si="38"/>
        <v>60.447761194029852</v>
      </c>
      <c r="L98" s="3">
        <f t="shared" si="28"/>
        <v>0</v>
      </c>
    </row>
    <row r="99" spans="1:20" s="1" customFormat="1">
      <c r="A99" s="146"/>
      <c r="B99" s="5" t="s">
        <v>61</v>
      </c>
      <c r="C99" s="5" t="s">
        <v>17</v>
      </c>
      <c r="D99" s="5">
        <v>1</v>
      </c>
      <c r="E99" s="7">
        <f>248*8*(A97/1979)</f>
        <v>134.33855482566952</v>
      </c>
      <c r="F99" s="29">
        <f>E99/A97</f>
        <v>1.0025265285497724</v>
      </c>
      <c r="G99" s="40">
        <f t="shared" si="37"/>
        <v>7.4626865671641781E-3</v>
      </c>
      <c r="H99" s="150">
        <f>4500*0.54</f>
        <v>2430</v>
      </c>
      <c r="I99" s="105">
        <f t="shared" si="38"/>
        <v>18.134328358208954</v>
      </c>
      <c r="L99" s="3">
        <f t="shared" si="28"/>
        <v>0</v>
      </c>
    </row>
    <row r="100" spans="1:20" s="1" customFormat="1" ht="15.75" thickBot="1">
      <c r="A100" s="126"/>
      <c r="B100" s="18"/>
      <c r="C100" s="18"/>
      <c r="D100" s="18"/>
      <c r="E100" s="18"/>
      <c r="F100" s="18"/>
      <c r="G100" s="21"/>
      <c r="H100" s="42"/>
      <c r="I100" s="109">
        <f>SUM(I96:I99)</f>
        <v>510.11801194029846</v>
      </c>
      <c r="J100" s="121">
        <f>(26676+4500+80408.84+15000)*0.54</f>
        <v>68355.813600000009</v>
      </c>
      <c r="K100" s="137">
        <f>I100*A97</f>
        <v>68355.813599999994</v>
      </c>
      <c r="L100" s="3">
        <f t="shared" si="28"/>
        <v>0</v>
      </c>
    </row>
    <row r="101" spans="1:20">
      <c r="L101" s="3">
        <f t="shared" si="28"/>
        <v>0</v>
      </c>
    </row>
    <row r="102" spans="1:20" ht="19.5" thickBot="1">
      <c r="A102" s="61" t="s">
        <v>79</v>
      </c>
      <c r="H102"/>
      <c r="L102" s="3">
        <f t="shared" si="28"/>
        <v>0</v>
      </c>
      <c r="S102" s="1"/>
      <c r="T102" s="1"/>
    </row>
    <row r="103" spans="1:20" ht="79.5" customHeight="1">
      <c r="A103" s="22" t="s">
        <v>2</v>
      </c>
      <c r="B103" s="23" t="s">
        <v>48</v>
      </c>
      <c r="C103" s="23" t="s">
        <v>14</v>
      </c>
      <c r="D103" s="23" t="s">
        <v>16</v>
      </c>
      <c r="E103" s="65" t="s">
        <v>27</v>
      </c>
      <c r="F103" s="23" t="s">
        <v>28</v>
      </c>
      <c r="G103" s="23" t="s">
        <v>49</v>
      </c>
      <c r="H103" s="23" t="s">
        <v>51</v>
      </c>
      <c r="I103" s="23" t="s">
        <v>11</v>
      </c>
      <c r="J103" s="2" t="s">
        <v>34</v>
      </c>
      <c r="K103" s="2" t="s">
        <v>33</v>
      </c>
      <c r="L103" s="3" t="e">
        <f t="shared" si="28"/>
        <v>#VALUE!</v>
      </c>
    </row>
    <row r="104" spans="1:20" ht="15.75" thickBot="1">
      <c r="A104" s="38">
        <v>1</v>
      </c>
      <c r="B104" s="25">
        <v>2</v>
      </c>
      <c r="C104" s="25">
        <v>3</v>
      </c>
      <c r="D104" s="10">
        <v>4</v>
      </c>
      <c r="E104" s="10">
        <v>5</v>
      </c>
      <c r="F104" s="10">
        <v>6</v>
      </c>
      <c r="G104" s="10" t="s">
        <v>31</v>
      </c>
      <c r="H104" s="9">
        <v>8</v>
      </c>
      <c r="I104" s="39" t="s">
        <v>32</v>
      </c>
      <c r="L104" s="3">
        <f t="shared" si="28"/>
        <v>0</v>
      </c>
    </row>
    <row r="105" spans="1:20">
      <c r="A105" s="122" t="s">
        <v>64</v>
      </c>
      <c r="B105" s="11" t="s">
        <v>62</v>
      </c>
      <c r="C105" s="11" t="s">
        <v>17</v>
      </c>
      <c r="D105" s="13">
        <v>1</v>
      </c>
      <c r="E105" s="15">
        <f>248*8*(A106/1979)</f>
        <v>50.126326427488628</v>
      </c>
      <c r="F105" s="28">
        <f>E105/A106</f>
        <v>1.0025265285497726</v>
      </c>
      <c r="G105" s="41">
        <f t="shared" ref="G105:G108" si="39">D105/E105*F105</f>
        <v>0.02</v>
      </c>
      <c r="H105" s="148">
        <f>36201*0.11</f>
        <v>3982.11</v>
      </c>
      <c r="I105" s="104">
        <f>H105*G105</f>
        <v>79.642200000000003</v>
      </c>
      <c r="J105" s="3"/>
      <c r="L105" s="3">
        <f t="shared" si="28"/>
        <v>0</v>
      </c>
      <c r="M105" s="1">
        <f>J105/A106/G105</f>
        <v>0</v>
      </c>
    </row>
    <row r="106" spans="1:20" s="1" customFormat="1" ht="33" customHeight="1">
      <c r="A106" s="146">
        <f>ком.усл!A113</f>
        <v>50</v>
      </c>
      <c r="B106" s="35" t="s">
        <v>50</v>
      </c>
      <c r="C106" s="5" t="s">
        <v>17</v>
      </c>
      <c r="D106" s="5">
        <v>1</v>
      </c>
      <c r="E106" s="7">
        <f>248*8*(A106/1979)</f>
        <v>50.126326427488628</v>
      </c>
      <c r="F106" s="29">
        <f>E106/A106</f>
        <v>1.0025265285497726</v>
      </c>
      <c r="G106" s="40">
        <f t="shared" si="39"/>
        <v>0.02</v>
      </c>
      <c r="H106" s="150">
        <f>79074.98*0.11</f>
        <v>8698.2477999999992</v>
      </c>
      <c r="I106" s="105">
        <f t="shared" ref="I106:I108" si="40">H106*G106</f>
        <v>173.964956</v>
      </c>
      <c r="L106" s="3">
        <f t="shared" si="28"/>
        <v>0</v>
      </c>
    </row>
    <row r="107" spans="1:20" s="1" customFormat="1">
      <c r="A107" s="146"/>
      <c r="B107" s="5" t="s">
        <v>121</v>
      </c>
      <c r="C107" s="5" t="s">
        <v>17</v>
      </c>
      <c r="D107" s="5">
        <v>1</v>
      </c>
      <c r="E107" s="7">
        <f>248*8*(A106/1979)</f>
        <v>50.126326427488628</v>
      </c>
      <c r="F107" s="29">
        <f>E107/A106</f>
        <v>1.0025265285497726</v>
      </c>
      <c r="G107" s="40">
        <f t="shared" si="39"/>
        <v>0.02</v>
      </c>
      <c r="H107" s="150">
        <f>(15489+16369+15000+15650)*0.11</f>
        <v>6875.88</v>
      </c>
      <c r="I107" s="105">
        <f t="shared" si="40"/>
        <v>137.51760000000002</v>
      </c>
      <c r="L107" s="3">
        <f t="shared" si="28"/>
        <v>0</v>
      </c>
    </row>
    <row r="108" spans="1:20" s="1" customFormat="1">
      <c r="A108" s="146"/>
      <c r="B108" s="5" t="s">
        <v>61</v>
      </c>
      <c r="C108" s="5" t="s">
        <v>17</v>
      </c>
      <c r="D108" s="5">
        <v>1</v>
      </c>
      <c r="E108" s="7">
        <f>248*8*(A106/1979)</f>
        <v>50.126326427488628</v>
      </c>
      <c r="F108" s="29">
        <f>E108/A106</f>
        <v>1.0025265285497726</v>
      </c>
      <c r="G108" s="40">
        <f t="shared" si="39"/>
        <v>0.02</v>
      </c>
      <c r="H108" s="150">
        <f>4950*0.11</f>
        <v>544.5</v>
      </c>
      <c r="I108" s="105">
        <f t="shared" si="40"/>
        <v>10.89</v>
      </c>
      <c r="L108" s="3">
        <f t="shared" si="28"/>
        <v>0</v>
      </c>
    </row>
    <row r="109" spans="1:20" s="1" customFormat="1">
      <c r="A109" s="146"/>
      <c r="B109" s="5" t="s">
        <v>94</v>
      </c>
      <c r="C109" s="5" t="s">
        <v>17</v>
      </c>
      <c r="D109" s="5">
        <v>1</v>
      </c>
      <c r="E109" s="7">
        <f>248*8*(A106/1979)</f>
        <v>50.126326427488628</v>
      </c>
      <c r="F109" s="29">
        <f>E109/A106</f>
        <v>1.0025265285497726</v>
      </c>
      <c r="G109" s="40">
        <f t="shared" ref="G109" si="41">D109/E109*F109</f>
        <v>0.02</v>
      </c>
      <c r="H109" s="150">
        <v>6972.5</v>
      </c>
      <c r="I109" s="105">
        <f t="shared" ref="I109" si="42">H109*G109</f>
        <v>139.45000000000002</v>
      </c>
      <c r="L109" s="3">
        <f t="shared" si="28"/>
        <v>0</v>
      </c>
    </row>
    <row r="110" spans="1:20" s="1" customFormat="1" ht="15.75" thickBot="1">
      <c r="A110" s="126"/>
      <c r="B110" s="18"/>
      <c r="C110" s="18"/>
      <c r="D110" s="18"/>
      <c r="E110" s="18"/>
      <c r="F110" s="18"/>
      <c r="G110" s="21"/>
      <c r="H110" s="42"/>
      <c r="I110" s="109">
        <f>SUM(I105:I109)</f>
        <v>541.46475600000008</v>
      </c>
      <c r="J110" s="121">
        <f>(36201+4950+15489+16369+15650+15000+79074.98)*0.11+6972.5</f>
        <v>27073.237799999999</v>
      </c>
      <c r="K110" s="137">
        <f>I110*A106</f>
        <v>27073.237800000003</v>
      </c>
      <c r="L110" s="3">
        <f t="shared" si="28"/>
        <v>0</v>
      </c>
    </row>
    <row r="111" spans="1:20">
      <c r="A111" s="122" t="s">
        <v>69</v>
      </c>
      <c r="B111" s="11" t="s">
        <v>62</v>
      </c>
      <c r="C111" s="11" t="s">
        <v>17</v>
      </c>
      <c r="D111" s="13">
        <v>1</v>
      </c>
      <c r="E111" s="15">
        <f>248*8*(A112/1979)</f>
        <v>38.096008084891359</v>
      </c>
      <c r="F111" s="28">
        <f>E111/A112</f>
        <v>1.0025265285497726</v>
      </c>
      <c r="G111" s="41">
        <f t="shared" ref="G111:G115" si="43">D111/E111*F111</f>
        <v>2.6315789473684209E-2</v>
      </c>
      <c r="H111" s="148">
        <f>65626*0.06</f>
        <v>3937.56</v>
      </c>
      <c r="I111" s="104">
        <f>H111*G111</f>
        <v>103.61999999999999</v>
      </c>
      <c r="J111" s="3"/>
      <c r="L111" s="3">
        <f t="shared" si="28"/>
        <v>0</v>
      </c>
      <c r="M111" s="1">
        <f>J111/A112/G111</f>
        <v>0</v>
      </c>
    </row>
    <row r="112" spans="1:20" s="1" customFormat="1" ht="33" customHeight="1">
      <c r="A112" s="146">
        <f>ком.усл!A118</f>
        <v>38</v>
      </c>
      <c r="B112" s="35" t="s">
        <v>50</v>
      </c>
      <c r="C112" s="5" t="s">
        <v>17</v>
      </c>
      <c r="D112" s="5">
        <v>1</v>
      </c>
      <c r="E112" s="7">
        <f>248*8*(A112/1979)</f>
        <v>38.096008084891359</v>
      </c>
      <c r="F112" s="29">
        <f>E112/A112</f>
        <v>1.0025265285497726</v>
      </c>
      <c r="G112" s="40">
        <f t="shared" si="43"/>
        <v>2.6315789473684209E-2</v>
      </c>
      <c r="H112" s="150">
        <f>127661.32*0.06</f>
        <v>7659.6792000000005</v>
      </c>
      <c r="I112" s="105">
        <f t="shared" ref="I112:I115" si="44">H112*G112</f>
        <v>201.57050526315788</v>
      </c>
      <c r="L112" s="3">
        <f t="shared" si="28"/>
        <v>0</v>
      </c>
    </row>
    <row r="113" spans="1:13" s="1" customFormat="1">
      <c r="A113" s="146"/>
      <c r="B113" s="5" t="s">
        <v>121</v>
      </c>
      <c r="C113" s="5" t="s">
        <v>17</v>
      </c>
      <c r="D113" s="5">
        <v>1</v>
      </c>
      <c r="E113" s="7">
        <f>248*8*(A112/1979)</f>
        <v>38.096008084891359</v>
      </c>
      <c r="F113" s="29">
        <f>E113/A112</f>
        <v>1.0025265285497726</v>
      </c>
      <c r="G113" s="40">
        <f t="shared" si="43"/>
        <v>2.6315789473684209E-2</v>
      </c>
      <c r="H113" s="150">
        <f>30000*0.06</f>
        <v>1800</v>
      </c>
      <c r="I113" s="105">
        <f t="shared" si="44"/>
        <v>47.368421052631575</v>
      </c>
      <c r="L113" s="3">
        <f t="shared" si="28"/>
        <v>0</v>
      </c>
    </row>
    <row r="114" spans="1:13" s="1" customFormat="1">
      <c r="A114" s="146"/>
      <c r="B114" s="5" t="s">
        <v>94</v>
      </c>
      <c r="C114" s="5" t="s">
        <v>17</v>
      </c>
      <c r="D114" s="5">
        <v>1</v>
      </c>
      <c r="E114" s="7">
        <f>248*8*(A112/1979)</f>
        <v>38.096008084891359</v>
      </c>
      <c r="F114" s="29">
        <f>E114/A112</f>
        <v>1.0025265285497726</v>
      </c>
      <c r="G114" s="40">
        <f t="shared" si="43"/>
        <v>2.6315789473684209E-2</v>
      </c>
      <c r="H114" s="150">
        <v>6972.5</v>
      </c>
      <c r="I114" s="105">
        <f>H114*G114</f>
        <v>183.48684210526315</v>
      </c>
      <c r="L114" s="3">
        <f t="shared" si="28"/>
        <v>0</v>
      </c>
    </row>
    <row r="115" spans="1:13" s="1" customFormat="1">
      <c r="A115" s="146"/>
      <c r="B115" s="5" t="s">
        <v>61</v>
      </c>
      <c r="C115" s="5" t="s">
        <v>17</v>
      </c>
      <c r="D115" s="5">
        <v>1</v>
      </c>
      <c r="E115" s="7">
        <f>248*8*(A112/1979)</f>
        <v>38.096008084891359</v>
      </c>
      <c r="F115" s="29">
        <f>E115/A112</f>
        <v>1.0025265285497726</v>
      </c>
      <c r="G115" s="40">
        <f t="shared" si="43"/>
        <v>2.6315789473684209E-2</v>
      </c>
      <c r="H115" s="150">
        <f>8550*0.06</f>
        <v>513</v>
      </c>
      <c r="I115" s="105">
        <f t="shared" si="44"/>
        <v>13.5</v>
      </c>
      <c r="L115" s="3">
        <f t="shared" si="28"/>
        <v>0</v>
      </c>
    </row>
    <row r="116" spans="1:13" s="1" customFormat="1" ht="15.75" thickBot="1">
      <c r="A116" s="126"/>
      <c r="B116" s="18"/>
      <c r="C116" s="18"/>
      <c r="D116" s="18"/>
      <c r="E116" s="18"/>
      <c r="F116" s="18"/>
      <c r="G116" s="21"/>
      <c r="H116" s="42"/>
      <c r="I116" s="109">
        <f>SUM(I111:I115)</f>
        <v>549.54576842105257</v>
      </c>
      <c r="J116" s="121">
        <f>(65626+8550+127661.32+30000)*0.06+6972.5</f>
        <v>20882.7392</v>
      </c>
      <c r="K116" s="137">
        <f>I116*A112</f>
        <v>20882.739199999996</v>
      </c>
      <c r="L116" s="3">
        <f t="shared" si="28"/>
        <v>0</v>
      </c>
    </row>
    <row r="117" spans="1:13">
      <c r="A117" s="122" t="s">
        <v>70</v>
      </c>
      <c r="B117" s="11" t="s">
        <v>62</v>
      </c>
      <c r="C117" s="11" t="s">
        <v>17</v>
      </c>
      <c r="D117" s="13">
        <v>1</v>
      </c>
      <c r="E117" s="15">
        <f>248*8*(A118/1979)</f>
        <v>40.101061141990904</v>
      </c>
      <c r="F117" s="28">
        <f>E117/A118</f>
        <v>1.0025265285497726</v>
      </c>
      <c r="G117" s="41">
        <f t="shared" ref="G117:G121" si="45">D117/E117*F117</f>
        <v>2.5000000000000001E-2</v>
      </c>
      <c r="H117" s="148">
        <f>64828.68*0.07</f>
        <v>4538.0076000000008</v>
      </c>
      <c r="I117" s="104">
        <f>H117*G117</f>
        <v>113.45019000000002</v>
      </c>
      <c r="J117" s="3"/>
      <c r="L117" s="3">
        <f t="shared" si="28"/>
        <v>0</v>
      </c>
      <c r="M117" s="1">
        <f>J117/A118/G117</f>
        <v>0</v>
      </c>
    </row>
    <row r="118" spans="1:13" s="1" customFormat="1" ht="33" customHeight="1">
      <c r="A118" s="146">
        <f>ком.усл!A123</f>
        <v>40</v>
      </c>
      <c r="B118" s="35" t="s">
        <v>50</v>
      </c>
      <c r="C118" s="5" t="s">
        <v>17</v>
      </c>
      <c r="D118" s="5">
        <v>1</v>
      </c>
      <c r="E118" s="7">
        <f>248*8*(A118/1979)</f>
        <v>40.101061141990904</v>
      </c>
      <c r="F118" s="29">
        <f>E118/A118</f>
        <v>1.0025265285497726</v>
      </c>
      <c r="G118" s="40">
        <f t="shared" si="45"/>
        <v>2.5000000000000001E-2</v>
      </c>
      <c r="H118" s="150">
        <f>136222.32*0.07</f>
        <v>9535.5624000000007</v>
      </c>
      <c r="I118" s="105">
        <f t="shared" ref="I118:I121" si="46">H118*G118</f>
        <v>238.38906000000003</v>
      </c>
      <c r="L118" s="3">
        <f t="shared" si="28"/>
        <v>0</v>
      </c>
    </row>
    <row r="119" spans="1:13" s="1" customFormat="1" ht="14.25" customHeight="1">
      <c r="A119" s="146"/>
      <c r="B119" s="5" t="s">
        <v>94</v>
      </c>
      <c r="C119" s="5" t="s">
        <v>17</v>
      </c>
      <c r="D119" s="5">
        <v>1</v>
      </c>
      <c r="E119" s="7">
        <f>248*8*(A118/1979)</f>
        <v>40.101061141990904</v>
      </c>
      <c r="F119" s="29">
        <f>E119/A118</f>
        <v>1.0025265285497726</v>
      </c>
      <c r="G119" s="40">
        <f t="shared" ref="G119" si="47">D119/E119*F119</f>
        <v>2.5000000000000001E-2</v>
      </c>
      <c r="H119" s="150">
        <v>6972.5</v>
      </c>
      <c r="I119" s="105">
        <f t="shared" ref="I119" si="48">H119*G119</f>
        <v>174.3125</v>
      </c>
      <c r="L119" s="3">
        <f t="shared" si="28"/>
        <v>0</v>
      </c>
    </row>
    <row r="120" spans="1:13" s="1" customFormat="1">
      <c r="A120" s="146"/>
      <c r="B120" s="5" t="s">
        <v>121</v>
      </c>
      <c r="C120" s="5" t="s">
        <v>17</v>
      </c>
      <c r="D120" s="5">
        <v>1</v>
      </c>
      <c r="E120" s="7">
        <f>248*8*(A118/1979)</f>
        <v>40.101061141990904</v>
      </c>
      <c r="F120" s="29">
        <f>E120/A118</f>
        <v>1.0025265285497726</v>
      </c>
      <c r="G120" s="40">
        <f t="shared" si="45"/>
        <v>2.5000000000000001E-2</v>
      </c>
      <c r="H120" s="150">
        <f>(45000)*0.07</f>
        <v>3150.0000000000005</v>
      </c>
      <c r="I120" s="105">
        <f t="shared" si="46"/>
        <v>78.750000000000014</v>
      </c>
      <c r="L120" s="3">
        <f t="shared" si="28"/>
        <v>0</v>
      </c>
    </row>
    <row r="121" spans="1:13" s="1" customFormat="1">
      <c r="A121" s="146"/>
      <c r="B121" s="5" t="s">
        <v>61</v>
      </c>
      <c r="C121" s="5" t="s">
        <v>17</v>
      </c>
      <c r="D121" s="5">
        <v>1</v>
      </c>
      <c r="E121" s="7">
        <f>248*8*(A118/1979)</f>
        <v>40.101061141990904</v>
      </c>
      <c r="F121" s="29">
        <f>E121/A118</f>
        <v>1.0025265285497726</v>
      </c>
      <c r="G121" s="40">
        <f t="shared" si="45"/>
        <v>2.5000000000000001E-2</v>
      </c>
      <c r="H121" s="150">
        <f>12600*0.07</f>
        <v>882.00000000000011</v>
      </c>
      <c r="I121" s="105">
        <f t="shared" si="46"/>
        <v>22.050000000000004</v>
      </c>
      <c r="L121" s="3">
        <f t="shared" si="28"/>
        <v>0</v>
      </c>
    </row>
    <row r="122" spans="1:13" s="1" customFormat="1" ht="15.75" thickBot="1">
      <c r="A122" s="126"/>
      <c r="B122" s="18"/>
      <c r="C122" s="18"/>
      <c r="D122" s="18"/>
      <c r="E122" s="18"/>
      <c r="F122" s="18"/>
      <c r="G122" s="21"/>
      <c r="H122" s="42"/>
      <c r="I122" s="109">
        <f>SUM(I117:I121)</f>
        <v>626.95174999999995</v>
      </c>
      <c r="J122" s="121">
        <f>(64828.68+12600+136222.32+45000)*0.07+6972.5</f>
        <v>25078.070000000003</v>
      </c>
      <c r="K122" s="137">
        <f>I122*A118</f>
        <v>25078.07</v>
      </c>
      <c r="L122" s="3">
        <f t="shared" si="28"/>
        <v>0</v>
      </c>
    </row>
    <row r="123" spans="1:13">
      <c r="A123" s="122" t="s">
        <v>71</v>
      </c>
      <c r="B123" s="11" t="s">
        <v>62</v>
      </c>
      <c r="C123" s="11" t="s">
        <v>17</v>
      </c>
      <c r="D123" s="13">
        <v>1</v>
      </c>
      <c r="E123" s="15">
        <f>248*8*(A124/1979)</f>
        <v>94.237493683678622</v>
      </c>
      <c r="F123" s="28">
        <f>E123/A124</f>
        <v>1.0025265285497726</v>
      </c>
      <c r="G123" s="41">
        <f t="shared" ref="G123:G126" si="49">D123/E123*F123</f>
        <v>1.0638297872340427E-2</v>
      </c>
      <c r="H123" s="148">
        <f>45325.06*0.11</f>
        <v>4985.7565999999997</v>
      </c>
      <c r="I123" s="104">
        <f>H123*G123</f>
        <v>53.03996382978724</v>
      </c>
      <c r="J123" s="3"/>
      <c r="L123" s="3">
        <f t="shared" si="28"/>
        <v>0</v>
      </c>
      <c r="M123" s="1">
        <f>J123/A124/G123</f>
        <v>0</v>
      </c>
    </row>
    <row r="124" spans="1:13" s="1" customFormat="1" ht="33" customHeight="1">
      <c r="A124" s="146">
        <f>ком.усл!A128</f>
        <v>94</v>
      </c>
      <c r="B124" s="35" t="s">
        <v>50</v>
      </c>
      <c r="C124" s="5" t="s">
        <v>17</v>
      </c>
      <c r="D124" s="5">
        <v>1</v>
      </c>
      <c r="E124" s="7">
        <f>248*8*(A124/1979)</f>
        <v>94.237493683678622</v>
      </c>
      <c r="F124" s="29">
        <f>E124/A124</f>
        <v>1.0025265285497726</v>
      </c>
      <c r="G124" s="40">
        <f t="shared" si="49"/>
        <v>1.0638297872340427E-2</v>
      </c>
      <c r="H124" s="150">
        <f>185464.83*0.11</f>
        <v>20401.131299999997</v>
      </c>
      <c r="I124" s="105">
        <f t="shared" ref="I124:I127" si="50">H124*G124</f>
        <v>217.03331170212766</v>
      </c>
      <c r="L124" s="3">
        <f t="shared" si="28"/>
        <v>0</v>
      </c>
    </row>
    <row r="125" spans="1:13" s="1" customFormat="1">
      <c r="A125" s="146"/>
      <c r="B125" s="5" t="s">
        <v>121</v>
      </c>
      <c r="C125" s="5" t="s">
        <v>17</v>
      </c>
      <c r="D125" s="5">
        <v>1</v>
      </c>
      <c r="E125" s="7">
        <f>248*8*(A124/1979)</f>
        <v>94.237493683678622</v>
      </c>
      <c r="F125" s="29">
        <f>E125/A124</f>
        <v>1.0025265285497726</v>
      </c>
      <c r="G125" s="40">
        <f t="shared" si="49"/>
        <v>1.0638297872340427E-2</v>
      </c>
      <c r="H125" s="150">
        <f>(13286+15000)*0.11</f>
        <v>3111.46</v>
      </c>
      <c r="I125" s="105">
        <f t="shared" si="50"/>
        <v>33.100638297872344</v>
      </c>
      <c r="L125" s="3">
        <f t="shared" si="28"/>
        <v>0</v>
      </c>
    </row>
    <row r="126" spans="1:13" s="1" customFormat="1">
      <c r="A126" s="146"/>
      <c r="B126" s="5" t="s">
        <v>61</v>
      </c>
      <c r="C126" s="5" t="s">
        <v>17</v>
      </c>
      <c r="D126" s="5">
        <v>1</v>
      </c>
      <c r="E126" s="7">
        <f>248*8*(A124/1979)</f>
        <v>94.237493683678622</v>
      </c>
      <c r="F126" s="29">
        <f>E126/A124</f>
        <v>1.0025265285497726</v>
      </c>
      <c r="G126" s="40">
        <f t="shared" si="49"/>
        <v>1.0638297872340427E-2</v>
      </c>
      <c r="H126" s="150">
        <f>7650*0.11</f>
        <v>841.5</v>
      </c>
      <c r="I126" s="105">
        <f t="shared" si="50"/>
        <v>8.9521276595744688</v>
      </c>
      <c r="L126" s="3">
        <f t="shared" si="28"/>
        <v>0</v>
      </c>
    </row>
    <row r="127" spans="1:13" s="1" customFormat="1">
      <c r="A127" s="146"/>
      <c r="B127" s="5" t="s">
        <v>94</v>
      </c>
      <c r="C127" s="5" t="s">
        <v>17</v>
      </c>
      <c r="D127" s="5">
        <v>1</v>
      </c>
      <c r="E127" s="7">
        <f>248*8*(A124/1979)</f>
        <v>94.237493683678622</v>
      </c>
      <c r="F127" s="29">
        <f>E127/A124</f>
        <v>1.0025265285497726</v>
      </c>
      <c r="G127" s="40">
        <f t="shared" ref="G127" si="51">D127/E127*F127</f>
        <v>1.0638297872340427E-2</v>
      </c>
      <c r="H127" s="150">
        <v>8367</v>
      </c>
      <c r="I127" s="105">
        <f t="shared" si="50"/>
        <v>89.010638297872347</v>
      </c>
      <c r="L127" s="3">
        <f t="shared" si="28"/>
        <v>0</v>
      </c>
    </row>
    <row r="128" spans="1:13" s="1" customFormat="1" ht="15.75" thickBot="1">
      <c r="A128" s="126"/>
      <c r="B128" s="18"/>
      <c r="C128" s="18"/>
      <c r="D128" s="18"/>
      <c r="E128" s="18"/>
      <c r="F128" s="18"/>
      <c r="G128" s="21"/>
      <c r="H128" s="42"/>
      <c r="I128" s="109">
        <f>SUM(I123:I127)</f>
        <v>401.13667978723402</v>
      </c>
      <c r="J128" s="121">
        <f>(45325.06+7650+13286+185464.83+15000)*0.11+8367</f>
        <v>37706.847900000001</v>
      </c>
      <c r="K128" s="137">
        <f>I128*A124</f>
        <v>37706.847900000001</v>
      </c>
      <c r="L128" s="3">
        <f t="shared" si="28"/>
        <v>0</v>
      </c>
    </row>
    <row r="129" spans="1:13">
      <c r="A129" s="122" t="s">
        <v>72</v>
      </c>
      <c r="B129" s="11" t="s">
        <v>62</v>
      </c>
      <c r="C129" s="11" t="s">
        <v>17</v>
      </c>
      <c r="D129" s="13">
        <v>1</v>
      </c>
      <c r="E129" s="15">
        <f>248*8*(A130/1979)</f>
        <v>96.242546740778167</v>
      </c>
      <c r="F129" s="28">
        <f>E129/A130</f>
        <v>1.0025265285497726</v>
      </c>
      <c r="G129" s="41">
        <f t="shared" ref="G129:G133" si="52">D129/E129*F129</f>
        <v>1.0416666666666668E-2</v>
      </c>
      <c r="H129" s="148">
        <f>40183*0.1</f>
        <v>4018.3</v>
      </c>
      <c r="I129" s="104">
        <f>H129*G129</f>
        <v>41.857291666666676</v>
      </c>
      <c r="J129" s="3"/>
      <c r="L129" s="3">
        <f t="shared" si="28"/>
        <v>0</v>
      </c>
      <c r="M129" s="1">
        <f>J129/A130/G129</f>
        <v>0</v>
      </c>
    </row>
    <row r="130" spans="1:13" s="1" customFormat="1" ht="33" customHeight="1">
      <c r="A130" s="146">
        <f>ком.усл!A133</f>
        <v>96</v>
      </c>
      <c r="B130" s="35" t="s">
        <v>50</v>
      </c>
      <c r="C130" s="5" t="s">
        <v>17</v>
      </c>
      <c r="D130" s="5">
        <v>1</v>
      </c>
      <c r="E130" s="7">
        <f>248*8*(A130/1979)</f>
        <v>96.242546740778167</v>
      </c>
      <c r="F130" s="29">
        <f>E130/A130</f>
        <v>1.0025265285497726</v>
      </c>
      <c r="G130" s="40">
        <f t="shared" si="52"/>
        <v>1.0416666666666668E-2</v>
      </c>
      <c r="H130" s="150">
        <f>224478.95*0.1</f>
        <v>22447.895000000004</v>
      </c>
      <c r="I130" s="105">
        <f t="shared" ref="I130:I133" si="53">H130*G130</f>
        <v>233.8322395833334</v>
      </c>
      <c r="L130" s="3">
        <f t="shared" si="28"/>
        <v>0</v>
      </c>
    </row>
    <row r="131" spans="1:13" s="1" customFormat="1">
      <c r="A131" s="146"/>
      <c r="B131" s="5" t="s">
        <v>61</v>
      </c>
      <c r="C131" s="5" t="s">
        <v>17</v>
      </c>
      <c r="D131" s="5">
        <v>1</v>
      </c>
      <c r="E131" s="7">
        <f>248*8*(A130/1979)</f>
        <v>96.242546740778167</v>
      </c>
      <c r="F131" s="29">
        <f>E131/A130</f>
        <v>1.0025265285497726</v>
      </c>
      <c r="G131" s="40">
        <f t="shared" si="52"/>
        <v>1.0416666666666668E-2</v>
      </c>
      <c r="H131" s="150">
        <f>9000*0.1</f>
        <v>900</v>
      </c>
      <c r="I131" s="105">
        <f t="shared" si="53"/>
        <v>9.3750000000000018</v>
      </c>
      <c r="L131" s="3">
        <f t="shared" si="28"/>
        <v>0</v>
      </c>
    </row>
    <row r="132" spans="1:13" s="1" customFormat="1">
      <c r="A132" s="146"/>
      <c r="B132" s="5" t="s">
        <v>94</v>
      </c>
      <c r="C132" s="5" t="s">
        <v>17</v>
      </c>
      <c r="D132" s="5">
        <v>1</v>
      </c>
      <c r="E132" s="7">
        <f>248*8*(A130/1979)</f>
        <v>96.242546740778167</v>
      </c>
      <c r="F132" s="29">
        <f>E132/A130</f>
        <v>1.0025265285497726</v>
      </c>
      <c r="G132" s="40">
        <f t="shared" si="52"/>
        <v>1.0416666666666668E-2</v>
      </c>
      <c r="H132" s="150">
        <v>16036.75</v>
      </c>
      <c r="I132" s="105">
        <f t="shared" si="53"/>
        <v>167.04947916666669</v>
      </c>
      <c r="L132" s="3">
        <f t="shared" si="28"/>
        <v>0</v>
      </c>
    </row>
    <row r="133" spans="1:13" s="1" customFormat="1">
      <c r="A133" s="146"/>
      <c r="B133" s="5" t="s">
        <v>121</v>
      </c>
      <c r="C133" s="5" t="s">
        <v>17</v>
      </c>
      <c r="D133" s="5">
        <v>1</v>
      </c>
      <c r="E133" s="7">
        <f>248*8*(A130/1979)</f>
        <v>96.242546740778167</v>
      </c>
      <c r="F133" s="29">
        <f>E133/A130</f>
        <v>1.0025265285497726</v>
      </c>
      <c r="G133" s="40">
        <f t="shared" si="52"/>
        <v>1.0416666666666668E-2</v>
      </c>
      <c r="H133" s="150">
        <f>(8560+13800+15000+53918.24)*0.1</f>
        <v>9127.8239999999987</v>
      </c>
      <c r="I133" s="105">
        <f t="shared" si="53"/>
        <v>95.081499999999991</v>
      </c>
      <c r="L133" s="3">
        <f t="shared" si="28"/>
        <v>0</v>
      </c>
    </row>
    <row r="134" spans="1:13" s="1" customFormat="1" ht="15.75" thickBot="1">
      <c r="A134" s="126"/>
      <c r="B134" s="18"/>
      <c r="C134" s="18"/>
      <c r="D134" s="18"/>
      <c r="E134" s="18"/>
      <c r="F134" s="18"/>
      <c r="G134" s="21"/>
      <c r="H134" s="42"/>
      <c r="I134" s="109">
        <f>SUM(I129:I133)</f>
        <v>547.19551041666671</v>
      </c>
      <c r="J134" s="121">
        <f>(40183+9000+224478.95+8560+13800+15000+53918.24)*0.1+16036.75</f>
        <v>52530.769</v>
      </c>
      <c r="K134" s="137">
        <f>I134*A130</f>
        <v>52530.769</v>
      </c>
      <c r="L134" s="3">
        <f t="shared" si="28"/>
        <v>0</v>
      </c>
    </row>
    <row r="135" spans="1:13">
      <c r="A135" s="122" t="s">
        <v>73</v>
      </c>
      <c r="B135" s="11" t="s">
        <v>62</v>
      </c>
      <c r="C135" s="11" t="s">
        <v>17</v>
      </c>
      <c r="D135" s="13">
        <v>1</v>
      </c>
      <c r="E135" s="15">
        <f>248*8*(A136/1979)</f>
        <v>44.111167256189994</v>
      </c>
      <c r="F135" s="28">
        <f>E135/A136</f>
        <v>1.0025265285497726</v>
      </c>
      <c r="G135" s="41">
        <f t="shared" ref="G135:G138" si="54">D135/E135*F135</f>
        <v>2.2727272727272728E-2</v>
      </c>
      <c r="H135" s="148">
        <f>57258.8*0.08</f>
        <v>4580.7040000000006</v>
      </c>
      <c r="I135" s="104">
        <f>H135*G135</f>
        <v>104.10690909090911</v>
      </c>
      <c r="J135" s="3"/>
      <c r="L135" s="3">
        <f t="shared" si="28"/>
        <v>0</v>
      </c>
      <c r="M135" s="1">
        <f>J135/A136/G135</f>
        <v>0</v>
      </c>
    </row>
    <row r="136" spans="1:13" s="1" customFormat="1" ht="33" customHeight="1">
      <c r="A136" s="146">
        <f>ком.усл!A138</f>
        <v>44</v>
      </c>
      <c r="B136" s="35" t="s">
        <v>50</v>
      </c>
      <c r="C136" s="5" t="s">
        <v>17</v>
      </c>
      <c r="D136" s="5">
        <v>1</v>
      </c>
      <c r="E136" s="7">
        <f>248*8*(A136/1979)</f>
        <v>44.111167256189994</v>
      </c>
      <c r="F136" s="29">
        <f>E136/A136</f>
        <v>1.0025265285497726</v>
      </c>
      <c r="G136" s="40">
        <f t="shared" si="54"/>
        <v>2.2727272727272728E-2</v>
      </c>
      <c r="H136" s="150">
        <f>123204.78*0.08</f>
        <v>9856.3824000000004</v>
      </c>
      <c r="I136" s="105">
        <f t="shared" ref="I136:I139" si="55">H136*G136</f>
        <v>224.00869090909092</v>
      </c>
      <c r="L136" s="3">
        <f t="shared" ref="L136:L157" si="56">J136-K136</f>
        <v>0</v>
      </c>
    </row>
    <row r="137" spans="1:13" s="1" customFormat="1">
      <c r="A137" s="146"/>
      <c r="B137" s="5" t="s">
        <v>121</v>
      </c>
      <c r="C137" s="5" t="s">
        <v>17</v>
      </c>
      <c r="D137" s="5">
        <v>1</v>
      </c>
      <c r="E137" s="7">
        <f>248*8*(A136/1979)</f>
        <v>44.111167256189994</v>
      </c>
      <c r="F137" s="29">
        <f>E137/A136</f>
        <v>1.0025265285497726</v>
      </c>
      <c r="G137" s="40">
        <f t="shared" si="54"/>
        <v>2.2727272727272728E-2</v>
      </c>
      <c r="H137" s="150">
        <f>15000*0.08</f>
        <v>1200</v>
      </c>
      <c r="I137" s="105">
        <f t="shared" si="55"/>
        <v>27.272727272727273</v>
      </c>
      <c r="L137" s="3">
        <f t="shared" si="56"/>
        <v>0</v>
      </c>
    </row>
    <row r="138" spans="1:13" s="1" customFormat="1">
      <c r="A138" s="146"/>
      <c r="B138" s="5" t="s">
        <v>61</v>
      </c>
      <c r="C138" s="5" t="s">
        <v>17</v>
      </c>
      <c r="D138" s="5">
        <v>1</v>
      </c>
      <c r="E138" s="7">
        <f>248*8*(A136/1979)</f>
        <v>44.111167256189994</v>
      </c>
      <c r="F138" s="29">
        <f>E138/A136</f>
        <v>1.0025265285497726</v>
      </c>
      <c r="G138" s="40">
        <f t="shared" si="54"/>
        <v>2.2727272727272728E-2</v>
      </c>
      <c r="H138" s="150">
        <f>9000*0.08</f>
        <v>720</v>
      </c>
      <c r="I138" s="105">
        <f t="shared" si="55"/>
        <v>16.363636363636363</v>
      </c>
      <c r="L138" s="3">
        <f t="shared" si="56"/>
        <v>0</v>
      </c>
    </row>
    <row r="139" spans="1:13" s="1" customFormat="1">
      <c r="A139" s="146"/>
      <c r="B139" s="5" t="s">
        <v>94</v>
      </c>
      <c r="C139" s="5" t="s">
        <v>17</v>
      </c>
      <c r="D139" s="5">
        <v>1</v>
      </c>
      <c r="E139" s="7">
        <f>248*8*(A136/1979)</f>
        <v>44.111167256189994</v>
      </c>
      <c r="F139" s="29">
        <f>E139/A136</f>
        <v>1.0025265285497726</v>
      </c>
      <c r="G139" s="40">
        <f t="shared" ref="G139" si="57">D139/E139*F139</f>
        <v>2.2727272727272728E-2</v>
      </c>
      <c r="H139" s="150">
        <v>6275.25</v>
      </c>
      <c r="I139" s="105">
        <f t="shared" si="55"/>
        <v>142.61931818181819</v>
      </c>
      <c r="L139" s="3">
        <f t="shared" si="56"/>
        <v>0</v>
      </c>
    </row>
    <row r="140" spans="1:13" s="1" customFormat="1" ht="15.75" thickBot="1">
      <c r="A140" s="126"/>
      <c r="B140" s="18"/>
      <c r="C140" s="18"/>
      <c r="D140" s="18"/>
      <c r="E140" s="18"/>
      <c r="F140" s="18"/>
      <c r="G140" s="21"/>
      <c r="H140" s="42"/>
      <c r="I140" s="109">
        <f>SUM(I135:I139)</f>
        <v>514.37128181818184</v>
      </c>
      <c r="J140" s="121">
        <f>(57258.8+9000+123204.78+15000)*0.08+6275.25</f>
        <v>22632.3364</v>
      </c>
      <c r="K140" s="137">
        <f>I140*A136</f>
        <v>22632.3364</v>
      </c>
      <c r="L140" s="3">
        <f t="shared" si="56"/>
        <v>0</v>
      </c>
    </row>
    <row r="141" spans="1:13">
      <c r="A141" s="122" t="s">
        <v>96</v>
      </c>
      <c r="B141" s="11" t="s">
        <v>62</v>
      </c>
      <c r="C141" s="11" t="s">
        <v>17</v>
      </c>
      <c r="D141" s="13">
        <v>1</v>
      </c>
      <c r="E141" s="15">
        <f>248*8*(A142/1979)</f>
        <v>116.29307731177363</v>
      </c>
      <c r="F141" s="28">
        <f>E141/A142</f>
        <v>1.0025265285497726</v>
      </c>
      <c r="G141" s="41">
        <f t="shared" ref="G141:G145" si="58">D141/E141*F141</f>
        <v>8.6206896551724137E-3</v>
      </c>
      <c r="H141" s="148">
        <f>71674*0.12</f>
        <v>8600.8799999999992</v>
      </c>
      <c r="I141" s="104">
        <f>H141*G141</f>
        <v>74.145517241379309</v>
      </c>
      <c r="J141" s="3"/>
      <c r="L141" s="3">
        <f t="shared" si="56"/>
        <v>0</v>
      </c>
      <c r="M141" s="1">
        <f>J141/A142/G141</f>
        <v>0</v>
      </c>
    </row>
    <row r="142" spans="1:13" s="1" customFormat="1" ht="33" customHeight="1">
      <c r="A142" s="146">
        <f>ком.усл!A143</f>
        <v>116</v>
      </c>
      <c r="B142" s="35" t="s">
        <v>50</v>
      </c>
      <c r="C142" s="5" t="s">
        <v>17</v>
      </c>
      <c r="D142" s="5">
        <v>1</v>
      </c>
      <c r="E142" s="7">
        <f>248*8*(A142/1979)</f>
        <v>116.29307731177363</v>
      </c>
      <c r="F142" s="29">
        <f>E142/A142</f>
        <v>1.0025265285497726</v>
      </c>
      <c r="G142" s="40">
        <f t="shared" si="58"/>
        <v>8.6206896551724137E-3</v>
      </c>
      <c r="H142" s="150">
        <f>195739.17*0.12</f>
        <v>23488.700400000002</v>
      </c>
      <c r="I142" s="105">
        <f t="shared" ref="I142:I145" si="59">H142*G142</f>
        <v>202.48879655172414</v>
      </c>
      <c r="L142" s="3">
        <f t="shared" si="56"/>
        <v>0</v>
      </c>
    </row>
    <row r="143" spans="1:13" s="1" customFormat="1">
      <c r="A143" s="146"/>
      <c r="B143" s="5" t="s">
        <v>61</v>
      </c>
      <c r="C143" s="5" t="s">
        <v>17</v>
      </c>
      <c r="D143" s="5">
        <v>1</v>
      </c>
      <c r="E143" s="7">
        <f>248*8*(A142/1979)</f>
        <v>116.29307731177363</v>
      </c>
      <c r="F143" s="29">
        <f>E143/A142</f>
        <v>1.0025265285497726</v>
      </c>
      <c r="G143" s="40">
        <f t="shared" si="58"/>
        <v>8.6206896551724137E-3</v>
      </c>
      <c r="H143" s="150">
        <f>(11388+30000)*0.12</f>
        <v>4966.5599999999995</v>
      </c>
      <c r="I143" s="105">
        <f t="shared" si="59"/>
        <v>42.8151724137931</v>
      </c>
      <c r="L143" s="3">
        <f t="shared" si="56"/>
        <v>0</v>
      </c>
    </row>
    <row r="144" spans="1:13" s="1" customFormat="1">
      <c r="A144" s="146"/>
      <c r="B144" s="5" t="s">
        <v>121</v>
      </c>
      <c r="C144" s="5" t="s">
        <v>17</v>
      </c>
      <c r="D144" s="5">
        <v>1</v>
      </c>
      <c r="E144" s="7">
        <f>248*8*(A142/1979)</f>
        <v>116.29307731177363</v>
      </c>
      <c r="F144" s="29">
        <f>E144/A142</f>
        <v>1.0025265285497726</v>
      </c>
      <c r="G144" s="40">
        <f t="shared" ref="G144" si="60">D144/E144*F144</f>
        <v>8.6206896551724137E-3</v>
      </c>
      <c r="H144" s="150">
        <f>9000*0.12</f>
        <v>1080</v>
      </c>
      <c r="I144" s="105">
        <f t="shared" ref="I144" si="61">H144*G144</f>
        <v>9.3103448275862064</v>
      </c>
      <c r="L144" s="3">
        <f t="shared" si="56"/>
        <v>0</v>
      </c>
    </row>
    <row r="145" spans="1:20" s="1" customFormat="1">
      <c r="A145" s="146"/>
      <c r="B145" s="5" t="s">
        <v>94</v>
      </c>
      <c r="C145" s="5" t="s">
        <v>17</v>
      </c>
      <c r="D145" s="5">
        <v>1</v>
      </c>
      <c r="E145" s="7">
        <f>248*8*(A142/1979)</f>
        <v>116.29307731177363</v>
      </c>
      <c r="F145" s="29">
        <f>E145/A142</f>
        <v>1.0025265285497726</v>
      </c>
      <c r="G145" s="40">
        <f t="shared" si="58"/>
        <v>8.6206896551724137E-3</v>
      </c>
      <c r="H145" s="150">
        <v>18128.5</v>
      </c>
      <c r="I145" s="105">
        <f t="shared" si="59"/>
        <v>156.28017241379311</v>
      </c>
      <c r="L145" s="3">
        <f t="shared" si="56"/>
        <v>0</v>
      </c>
    </row>
    <row r="146" spans="1:20" s="1" customFormat="1" ht="15.75" thickBot="1">
      <c r="A146" s="126"/>
      <c r="B146" s="18"/>
      <c r="C146" s="18"/>
      <c r="D146" s="18"/>
      <c r="E146" s="18"/>
      <c r="F146" s="18"/>
      <c r="G146" s="21"/>
      <c r="H146" s="42"/>
      <c r="I146" s="109">
        <f>SUM(I141:I145)</f>
        <v>485.04000344827591</v>
      </c>
      <c r="J146" s="121">
        <f>(71674+9000+11388+195739.17+30000)*0.12+18128.5</f>
        <v>56264.640400000004</v>
      </c>
      <c r="K146" s="137">
        <f>I146*A142</f>
        <v>56264.640400000004</v>
      </c>
      <c r="L146" s="3">
        <f t="shared" si="56"/>
        <v>0</v>
      </c>
    </row>
    <row r="147" spans="1:20">
      <c r="A147" s="122" t="s">
        <v>75</v>
      </c>
      <c r="B147" s="11" t="s">
        <v>62</v>
      </c>
      <c r="C147" s="11" t="s">
        <v>17</v>
      </c>
      <c r="D147" s="13">
        <v>1</v>
      </c>
      <c r="E147" s="15">
        <f>248*8*(A148/1979)</f>
        <v>34.085901970692269</v>
      </c>
      <c r="F147" s="28">
        <f>E147/A148</f>
        <v>1.0025265285497726</v>
      </c>
      <c r="G147" s="41">
        <f t="shared" ref="G147:G151" si="62">D147/E147*F147</f>
        <v>2.9411764705882356E-2</v>
      </c>
      <c r="H147" s="148">
        <f>27838.92*0.12</f>
        <v>3340.6703999999995</v>
      </c>
      <c r="I147" s="104">
        <f>H147*G147</f>
        <v>98.255011764705884</v>
      </c>
      <c r="J147" s="3"/>
      <c r="L147" s="3">
        <f t="shared" si="56"/>
        <v>0</v>
      </c>
      <c r="M147" s="1">
        <f>J147/A148/G147</f>
        <v>0</v>
      </c>
    </row>
    <row r="148" spans="1:20" s="1" customFormat="1" ht="33" customHeight="1">
      <c r="A148" s="146">
        <f>ком.усл!A149</f>
        <v>34</v>
      </c>
      <c r="B148" s="35" t="s">
        <v>50</v>
      </c>
      <c r="C148" s="5" t="s">
        <v>17</v>
      </c>
      <c r="D148" s="5">
        <v>1</v>
      </c>
      <c r="E148" s="7">
        <f>248*8*(A148/1979)</f>
        <v>34.085901970692269</v>
      </c>
      <c r="F148" s="29">
        <f>E148/A148</f>
        <v>1.0025265285497726</v>
      </c>
      <c r="G148" s="40">
        <f t="shared" si="62"/>
        <v>2.9411764705882356E-2</v>
      </c>
      <c r="H148" s="150">
        <f>123809.97*0.12</f>
        <v>14857.196399999999</v>
      </c>
      <c r="I148" s="105">
        <f t="shared" ref="I148:I151" si="63">H148*G148</f>
        <v>436.97636470588236</v>
      </c>
      <c r="L148" s="3">
        <f t="shared" si="56"/>
        <v>0</v>
      </c>
    </row>
    <row r="149" spans="1:20" s="1" customFormat="1">
      <c r="A149" s="146"/>
      <c r="B149" s="5" t="s">
        <v>61</v>
      </c>
      <c r="C149" s="5" t="s">
        <v>17</v>
      </c>
      <c r="D149" s="5">
        <v>1</v>
      </c>
      <c r="E149" s="7">
        <f>248*8*(A148/1979)</f>
        <v>34.085901970692269</v>
      </c>
      <c r="F149" s="29">
        <f>E149/A148</f>
        <v>1.0025265285497726</v>
      </c>
      <c r="G149" s="40">
        <f t="shared" si="62"/>
        <v>2.9411764705882356E-2</v>
      </c>
      <c r="H149" s="150">
        <f>(1540+7090.6+15000)*0.12</f>
        <v>2835.6719999999996</v>
      </c>
      <c r="I149" s="105">
        <f t="shared" si="63"/>
        <v>83.402117647058816</v>
      </c>
      <c r="L149" s="3">
        <f t="shared" si="56"/>
        <v>0</v>
      </c>
    </row>
    <row r="150" spans="1:20" s="1" customFormat="1">
      <c r="A150" s="146"/>
      <c r="B150" s="5" t="s">
        <v>121</v>
      </c>
      <c r="C150" s="5" t="s">
        <v>17</v>
      </c>
      <c r="D150" s="5">
        <v>1</v>
      </c>
      <c r="E150" s="7">
        <f>248*8*(A148/1979)</f>
        <v>34.085901970692269</v>
      </c>
      <c r="F150" s="29">
        <f>E150/A148</f>
        <v>1.0025265285497726</v>
      </c>
      <c r="G150" s="40">
        <f t="shared" ref="G150" si="64">D150/E150*F150</f>
        <v>2.9411764705882356E-2</v>
      </c>
      <c r="H150" s="150">
        <f>5400*0.12</f>
        <v>648</v>
      </c>
      <c r="I150" s="105">
        <f t="shared" ref="I150" si="65">H150*G150</f>
        <v>19.058823529411768</v>
      </c>
      <c r="L150" s="3">
        <f t="shared" si="56"/>
        <v>0</v>
      </c>
    </row>
    <row r="151" spans="1:20" s="1" customFormat="1">
      <c r="A151" s="146"/>
      <c r="B151" s="5" t="s">
        <v>94</v>
      </c>
      <c r="C151" s="5" t="s">
        <v>17</v>
      </c>
      <c r="D151" s="5">
        <v>1</v>
      </c>
      <c r="E151" s="7">
        <f>248*8*(A148/1979)</f>
        <v>34.085901970692269</v>
      </c>
      <c r="F151" s="29">
        <f>E151/A148</f>
        <v>1.0025265285497726</v>
      </c>
      <c r="G151" s="40">
        <f t="shared" si="62"/>
        <v>2.9411764705882356E-2</v>
      </c>
      <c r="H151" s="150">
        <v>4183.5</v>
      </c>
      <c r="I151" s="105">
        <f t="shared" si="63"/>
        <v>123.04411764705884</v>
      </c>
      <c r="L151" s="3">
        <f t="shared" si="56"/>
        <v>0</v>
      </c>
    </row>
    <row r="152" spans="1:20" s="1" customFormat="1" ht="15.75" thickBot="1">
      <c r="A152" s="126"/>
      <c r="B152" s="18"/>
      <c r="C152" s="18"/>
      <c r="D152" s="18"/>
      <c r="E152" s="18"/>
      <c r="F152" s="18"/>
      <c r="G152" s="21"/>
      <c r="H152" s="42"/>
      <c r="I152" s="109">
        <f>SUM(I147:I151)</f>
        <v>760.73643529411765</v>
      </c>
      <c r="J152" s="121">
        <f>(27838.92+5400+123809.97+1540+7090.6+15000)*0.12+4183.5</f>
        <v>25865.038800000002</v>
      </c>
      <c r="K152" s="137">
        <f>I152*A148</f>
        <v>25865.038800000002</v>
      </c>
      <c r="L152" s="3">
        <f t="shared" si="56"/>
        <v>0</v>
      </c>
    </row>
    <row r="153" spans="1:20">
      <c r="A153" s="122" t="s">
        <v>76</v>
      </c>
      <c r="B153" s="11" t="s">
        <v>62</v>
      </c>
      <c r="C153" s="11" t="s">
        <v>17</v>
      </c>
      <c r="D153" s="13">
        <v>1</v>
      </c>
      <c r="E153" s="15">
        <f>248*8*(A154/1979)</f>
        <v>0</v>
      </c>
      <c r="F153" s="28" t="e">
        <f>E153/A154</f>
        <v>#DIV/0!</v>
      </c>
      <c r="G153" s="41" t="e">
        <f t="shared" ref="G153:G156" si="66">D153/E153*F153</f>
        <v>#DIV/0!</v>
      </c>
      <c r="H153" s="14"/>
      <c r="I153" s="104" t="e">
        <f>H153*G153</f>
        <v>#DIV/0!</v>
      </c>
      <c r="J153" s="3">
        <v>0</v>
      </c>
      <c r="K153" s="1">
        <v>0</v>
      </c>
      <c r="L153" s="3">
        <f t="shared" si="56"/>
        <v>0</v>
      </c>
      <c r="M153" s="1">
        <v>0</v>
      </c>
    </row>
    <row r="154" spans="1:20" s="1" customFormat="1" ht="33" customHeight="1">
      <c r="A154" s="146">
        <v>0</v>
      </c>
      <c r="B154" s="35" t="s">
        <v>50</v>
      </c>
      <c r="C154" s="5" t="s">
        <v>17</v>
      </c>
      <c r="D154" s="5">
        <v>1</v>
      </c>
      <c r="E154" s="7">
        <f>248*8*(A154/1979)</f>
        <v>0</v>
      </c>
      <c r="F154" s="29" t="e">
        <f>E154/A154</f>
        <v>#DIV/0!</v>
      </c>
      <c r="G154" s="40" t="e">
        <f t="shared" si="66"/>
        <v>#DIV/0!</v>
      </c>
      <c r="H154" s="6"/>
      <c r="I154" s="105" t="e">
        <f t="shared" ref="I154:I156" si="67">H154*G154</f>
        <v>#DIV/0!</v>
      </c>
      <c r="L154" s="3">
        <f t="shared" si="56"/>
        <v>0</v>
      </c>
    </row>
    <row r="155" spans="1:20" s="1" customFormat="1">
      <c r="A155" s="146"/>
      <c r="B155" s="5" t="s">
        <v>52</v>
      </c>
      <c r="C155" s="5" t="s">
        <v>17</v>
      </c>
      <c r="D155" s="5">
        <v>1</v>
      </c>
      <c r="E155" s="7">
        <f>248*8*(A154/1979)</f>
        <v>0</v>
      </c>
      <c r="F155" s="29" t="e">
        <f>E155/A154</f>
        <v>#DIV/0!</v>
      </c>
      <c r="G155" s="40" t="e">
        <f t="shared" si="66"/>
        <v>#DIV/0!</v>
      </c>
      <c r="H155" s="6"/>
      <c r="I155" s="105" t="e">
        <f t="shared" si="67"/>
        <v>#DIV/0!</v>
      </c>
      <c r="L155" s="3">
        <f t="shared" si="56"/>
        <v>0</v>
      </c>
    </row>
    <row r="156" spans="1:20" s="1" customFormat="1">
      <c r="A156" s="146"/>
      <c r="B156" s="5" t="s">
        <v>61</v>
      </c>
      <c r="C156" s="5" t="s">
        <v>17</v>
      </c>
      <c r="D156" s="5">
        <v>1</v>
      </c>
      <c r="E156" s="7">
        <f>248*8*(A154/1979)</f>
        <v>0</v>
      </c>
      <c r="F156" s="29" t="e">
        <f>E156/A154</f>
        <v>#DIV/0!</v>
      </c>
      <c r="G156" s="40" t="e">
        <f t="shared" si="66"/>
        <v>#DIV/0!</v>
      </c>
      <c r="H156" s="6"/>
      <c r="I156" s="105" t="e">
        <f t="shared" si="67"/>
        <v>#DIV/0!</v>
      </c>
      <c r="L156" s="3">
        <f t="shared" si="56"/>
        <v>0</v>
      </c>
    </row>
    <row r="157" spans="1:20" s="1" customFormat="1" ht="15.75" thickBot="1">
      <c r="A157" s="126"/>
      <c r="B157" s="18"/>
      <c r="C157" s="18"/>
      <c r="D157" s="18"/>
      <c r="E157" s="18"/>
      <c r="F157" s="18"/>
      <c r="G157" s="21"/>
      <c r="H157" s="42"/>
      <c r="I157" s="109" t="e">
        <f>SUM(I153:I156)</f>
        <v>#DIV/0!</v>
      </c>
      <c r="J157" s="3">
        <v>0</v>
      </c>
      <c r="K157" s="1">
        <v>0</v>
      </c>
      <c r="L157" s="3">
        <f t="shared" si="56"/>
        <v>0</v>
      </c>
    </row>
    <row r="158" spans="1:20">
      <c r="I158" s="81"/>
    </row>
    <row r="159" spans="1:20" ht="19.5" thickBot="1">
      <c r="A159" s="61" t="s">
        <v>99</v>
      </c>
      <c r="H159"/>
      <c r="I159" s="81"/>
      <c r="S159" s="1"/>
      <c r="T159" s="1"/>
    </row>
    <row r="160" spans="1:20" ht="67.5" customHeight="1">
      <c r="A160" s="22" t="s">
        <v>2</v>
      </c>
      <c r="B160" s="23" t="s">
        <v>48</v>
      </c>
      <c r="C160" s="65" t="s">
        <v>14</v>
      </c>
      <c r="D160" s="65" t="s">
        <v>16</v>
      </c>
      <c r="E160" s="65" t="s">
        <v>27</v>
      </c>
      <c r="F160" s="65" t="s">
        <v>28</v>
      </c>
      <c r="G160" s="65" t="s">
        <v>49</v>
      </c>
      <c r="H160" s="65" t="s">
        <v>106</v>
      </c>
      <c r="I160" s="92" t="s">
        <v>11</v>
      </c>
      <c r="J160" s="2" t="s">
        <v>34</v>
      </c>
      <c r="K160" s="2" t="s">
        <v>33</v>
      </c>
    </row>
    <row r="161" spans="1:13" ht="15.75" thickBot="1">
      <c r="A161" s="38">
        <v>1</v>
      </c>
      <c r="B161" s="10">
        <v>2</v>
      </c>
      <c r="C161" s="10">
        <v>3</v>
      </c>
      <c r="D161" s="10">
        <v>4</v>
      </c>
      <c r="E161" s="10">
        <v>5</v>
      </c>
      <c r="F161" s="10">
        <v>6</v>
      </c>
      <c r="G161" s="10" t="s">
        <v>31</v>
      </c>
      <c r="H161" s="9">
        <v>8</v>
      </c>
      <c r="I161" s="91" t="s">
        <v>32</v>
      </c>
    </row>
    <row r="162" spans="1:13">
      <c r="A162" s="122" t="s">
        <v>64</v>
      </c>
      <c r="B162" s="13" t="s">
        <v>105</v>
      </c>
      <c r="C162" s="13" t="s">
        <v>17</v>
      </c>
      <c r="D162" s="13">
        <v>1</v>
      </c>
      <c r="E162" s="15">
        <f>248*8*(A163/1979)</f>
        <v>1178.9711975745327</v>
      </c>
      <c r="F162" s="28">
        <f>E162/A163</f>
        <v>1.0025265285497726</v>
      </c>
      <c r="G162" s="41">
        <f t="shared" ref="G162:G163" si="68">D162/E162*F162</f>
        <v>8.5034013605442174E-4</v>
      </c>
      <c r="H162" s="14">
        <v>16380</v>
      </c>
      <c r="I162" s="104">
        <f>H162*G162</f>
        <v>13.928571428571429</v>
      </c>
      <c r="J162" s="121"/>
      <c r="K162" s="137"/>
      <c r="L162" s="3">
        <f>J162-K162</f>
        <v>0</v>
      </c>
      <c r="M162" s="1">
        <f>J162/A163/G162</f>
        <v>0</v>
      </c>
    </row>
    <row r="163" spans="1:13" s="1" customFormat="1" ht="33" customHeight="1">
      <c r="A163" s="146">
        <v>1176</v>
      </c>
      <c r="B163" s="35" t="s">
        <v>107</v>
      </c>
      <c r="C163" s="5" t="s">
        <v>17</v>
      </c>
      <c r="D163" s="5">
        <v>1</v>
      </c>
      <c r="E163" s="7">
        <f>248*8*(A163/1979)</f>
        <v>1178.9711975745327</v>
      </c>
      <c r="F163" s="29">
        <f>E163/A163</f>
        <v>1.0025265285497726</v>
      </c>
      <c r="G163" s="40">
        <f t="shared" si="68"/>
        <v>8.5034013605442174E-4</v>
      </c>
      <c r="H163" s="6"/>
      <c r="I163" s="105">
        <f t="shared" ref="I163" si="69">H163*G163</f>
        <v>0</v>
      </c>
      <c r="J163" s="137"/>
      <c r="K163" s="137"/>
    </row>
    <row r="164" spans="1:13" s="1" customFormat="1" ht="15.75" thickBot="1">
      <c r="A164" s="126"/>
      <c r="B164" s="18"/>
      <c r="C164" s="18"/>
      <c r="D164" s="18"/>
      <c r="E164" s="18"/>
      <c r="F164" s="18"/>
      <c r="G164" s="21"/>
      <c r="H164" s="42"/>
      <c r="I164" s="109">
        <f>SUM(I162:I163)</f>
        <v>13.928571428571429</v>
      </c>
      <c r="J164" s="121">
        <v>16380</v>
      </c>
      <c r="K164" s="137">
        <f>I164*A163</f>
        <v>16380</v>
      </c>
    </row>
    <row r="165" spans="1:13">
      <c r="A165" s="122" t="s">
        <v>71</v>
      </c>
      <c r="B165" s="13" t="s">
        <v>105</v>
      </c>
      <c r="C165" s="13" t="s">
        <v>17</v>
      </c>
      <c r="D165" s="13">
        <v>1</v>
      </c>
      <c r="E165" s="15">
        <f>248*8*(A166/1979)</f>
        <v>1283.2339565437089</v>
      </c>
      <c r="F165" s="28">
        <f>E165/A166</f>
        <v>1.0025265285497726</v>
      </c>
      <c r="G165" s="41">
        <f t="shared" ref="G165:G166" si="70">D165/E165*F165</f>
        <v>7.8125000000000004E-4</v>
      </c>
      <c r="H165" s="14">
        <v>16380</v>
      </c>
      <c r="I165" s="104">
        <f>H165*G165</f>
        <v>12.796875</v>
      </c>
      <c r="J165" s="121"/>
      <c r="K165" s="137"/>
      <c r="L165" s="3">
        <f>J165-K165</f>
        <v>0</v>
      </c>
      <c r="M165" s="1">
        <f>J165/A166/G165</f>
        <v>0</v>
      </c>
    </row>
    <row r="166" spans="1:13" s="1" customFormat="1" ht="33" customHeight="1">
      <c r="A166" s="146">
        <v>1280</v>
      </c>
      <c r="B166" s="35" t="s">
        <v>107</v>
      </c>
      <c r="C166" s="5" t="s">
        <v>17</v>
      </c>
      <c r="D166" s="5">
        <v>1</v>
      </c>
      <c r="E166" s="7">
        <f>248*8*(A166/1979)</f>
        <v>1283.2339565437089</v>
      </c>
      <c r="F166" s="29">
        <f>E166/A166</f>
        <v>1.0025265285497726</v>
      </c>
      <c r="G166" s="40">
        <f t="shared" si="70"/>
        <v>7.8125000000000004E-4</v>
      </c>
      <c r="H166" s="6"/>
      <c r="I166" s="105">
        <f t="shared" ref="I166" si="71">H166*G166</f>
        <v>0</v>
      </c>
      <c r="J166" s="137"/>
      <c r="K166" s="137"/>
    </row>
    <row r="167" spans="1:13" s="1" customFormat="1" ht="15.75" thickBot="1">
      <c r="A167" s="126"/>
      <c r="B167" s="18"/>
      <c r="C167" s="18"/>
      <c r="D167" s="18"/>
      <c r="E167" s="18"/>
      <c r="F167" s="18"/>
      <c r="G167" s="21"/>
      <c r="H167" s="42"/>
      <c r="I167" s="109">
        <f>SUM(I165:I166)</f>
        <v>12.796875</v>
      </c>
      <c r="J167" s="121">
        <v>16380</v>
      </c>
      <c r="K167" s="137">
        <f>I167*A166</f>
        <v>16380</v>
      </c>
    </row>
    <row r="168" spans="1:13">
      <c r="A168" s="122" t="s">
        <v>73</v>
      </c>
      <c r="B168" s="13" t="s">
        <v>105</v>
      </c>
      <c r="C168" s="13" t="s">
        <v>17</v>
      </c>
      <c r="D168" s="13">
        <v>1</v>
      </c>
      <c r="E168" s="15">
        <f>248*8*(A169/1979)</f>
        <v>370.93481556341584</v>
      </c>
      <c r="F168" s="28">
        <f>E168/A169</f>
        <v>1.0025265285497726</v>
      </c>
      <c r="G168" s="41">
        <f t="shared" ref="G168:G169" si="72">D168/E168*F168</f>
        <v>2.7027027027027029E-3</v>
      </c>
      <c r="H168" s="14">
        <v>16380</v>
      </c>
      <c r="I168" s="104">
        <f>H168*G168</f>
        <v>44.270270270270274</v>
      </c>
      <c r="J168" s="121"/>
      <c r="K168" s="137"/>
      <c r="L168" s="3">
        <f>J168-K168</f>
        <v>0</v>
      </c>
      <c r="M168" s="1">
        <f>J168/A169/G168</f>
        <v>0</v>
      </c>
    </row>
    <row r="169" spans="1:13" s="1" customFormat="1" ht="33" customHeight="1">
      <c r="A169" s="146">
        <v>370</v>
      </c>
      <c r="B169" s="35" t="s">
        <v>107</v>
      </c>
      <c r="C169" s="5" t="s">
        <v>17</v>
      </c>
      <c r="D169" s="5">
        <v>1</v>
      </c>
      <c r="E169" s="7">
        <f>248*8*(A169/1979)</f>
        <v>370.93481556341584</v>
      </c>
      <c r="F169" s="29">
        <f>E169/A169</f>
        <v>1.0025265285497726</v>
      </c>
      <c r="G169" s="40">
        <f t="shared" si="72"/>
        <v>2.7027027027027029E-3</v>
      </c>
      <c r="H169" s="6"/>
      <c r="I169" s="105">
        <f t="shared" ref="I169" si="73">H169*G169</f>
        <v>0</v>
      </c>
      <c r="J169" s="137"/>
      <c r="K169" s="137"/>
    </row>
    <row r="170" spans="1:13" s="1" customFormat="1" ht="15.75" thickBot="1">
      <c r="A170" s="17"/>
      <c r="B170" s="18"/>
      <c r="C170" s="18"/>
      <c r="D170" s="18"/>
      <c r="E170" s="18"/>
      <c r="F170" s="18"/>
      <c r="G170" s="21"/>
      <c r="H170" s="42"/>
      <c r="I170" s="109">
        <f>SUM(I168:I169)</f>
        <v>44.270270270270274</v>
      </c>
      <c r="J170" s="121">
        <v>15171</v>
      </c>
      <c r="K170" s="137">
        <f>I170*A169</f>
        <v>16380.000000000002</v>
      </c>
    </row>
    <row r="172" spans="1:13">
      <c r="I172" s="137">
        <v>1</v>
      </c>
      <c r="J172" s="121">
        <f>16380+36201+4950+6972.5+15489+16369+15650+15000+79074.98</f>
        <v>206086.47999999998</v>
      </c>
      <c r="K172" s="121">
        <f>K110+K60+K11+K164</f>
        <v>206086.47999999998</v>
      </c>
      <c r="L172" s="121">
        <f>J172-K172</f>
        <v>0</v>
      </c>
    </row>
    <row r="173" spans="1:13">
      <c r="I173" s="137">
        <v>2</v>
      </c>
      <c r="J173" s="121">
        <f>65626+8550+6972.5+127661.32+30000</f>
        <v>238809.82</v>
      </c>
      <c r="K173" s="121">
        <f>K116+K65+K16</f>
        <v>238809.82</v>
      </c>
      <c r="L173" s="121">
        <f t="shared" ref="L173:L180" si="74">J173-K173</f>
        <v>0</v>
      </c>
    </row>
    <row r="174" spans="1:13">
      <c r="I174" s="1">
        <v>3</v>
      </c>
      <c r="J174" s="121">
        <f>64828.68+12600+136222.32+45000+6972.5</f>
        <v>265623.5</v>
      </c>
      <c r="K174" s="121">
        <f>K122+K70+K21</f>
        <v>265623.5</v>
      </c>
      <c r="L174" s="121">
        <f t="shared" si="74"/>
        <v>0</v>
      </c>
    </row>
    <row r="175" spans="1:13">
      <c r="I175" s="1">
        <v>7</v>
      </c>
      <c r="J175" s="121">
        <f>45325.06+7650+13286+8367+185464.83+15000+16380</f>
        <v>291472.89</v>
      </c>
      <c r="K175" s="121">
        <f>K128+K75+K26+K167</f>
        <v>291472.89</v>
      </c>
      <c r="L175" s="121">
        <f t="shared" si="74"/>
        <v>0</v>
      </c>
    </row>
    <row r="176" spans="1:13">
      <c r="I176" s="1">
        <v>9</v>
      </c>
      <c r="J176" s="121">
        <f>40183+9000+16036.75+224478.95+8560+13800+15000+53918.24</f>
        <v>380976.94</v>
      </c>
      <c r="K176" s="121">
        <f>K134+K80+K31</f>
        <v>380976.93999999994</v>
      </c>
      <c r="L176" s="121">
        <f t="shared" si="74"/>
        <v>0</v>
      </c>
    </row>
    <row r="177" spans="9:12">
      <c r="I177" s="1">
        <v>14</v>
      </c>
      <c r="J177" s="121">
        <f>16380+57258.8+9000+6275.25+123204.78+15000</f>
        <v>227118.83000000002</v>
      </c>
      <c r="K177" s="121">
        <f>K140+K85+K36+K170</f>
        <v>227118.83000000002</v>
      </c>
      <c r="L177" s="121">
        <f t="shared" si="74"/>
        <v>0</v>
      </c>
    </row>
    <row r="178" spans="9:12">
      <c r="I178" s="1">
        <v>8</v>
      </c>
      <c r="J178" s="121">
        <f>71674+9000+11388+195739.17+30000+18128.5</f>
        <v>335929.67000000004</v>
      </c>
      <c r="K178" s="121">
        <f>K146+K90+K41</f>
        <v>335929.67</v>
      </c>
      <c r="L178" s="121">
        <f t="shared" si="74"/>
        <v>0</v>
      </c>
    </row>
    <row r="179" spans="9:12">
      <c r="I179" s="1">
        <v>4</v>
      </c>
      <c r="J179" s="121">
        <f>27838.92+5400+123809.97+1540+7090.6+15000+4183.5</f>
        <v>184862.99000000002</v>
      </c>
      <c r="K179" s="121">
        <f>K152+K95+K46</f>
        <v>184862.99</v>
      </c>
      <c r="L179" s="121">
        <f t="shared" si="74"/>
        <v>0</v>
      </c>
    </row>
    <row r="180" spans="9:12">
      <c r="I180" s="1">
        <v>11</v>
      </c>
      <c r="J180" s="121">
        <f>26676+4500+80408.84+15000</f>
        <v>126584.84</v>
      </c>
      <c r="K180" s="121">
        <f>K157+K100+K51</f>
        <v>126584.84</v>
      </c>
      <c r="L180" s="121">
        <f t="shared" si="74"/>
        <v>0</v>
      </c>
    </row>
  </sheetData>
  <mergeCells count="1">
    <mergeCell ref="A1:H1"/>
  </mergeCells>
  <pageMargins left="0.11811023622047245" right="0" top="0.15748031496062992" bottom="0" header="0.31496062992125984" footer="0.31496062992125984"/>
  <pageSetup paperSize="9" scale="87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2021-01-14T09:56:55Z</dcterms:modified>
</cp:coreProperties>
</file>