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0752" firstSheet="1" activeTab="1"/>
  </bookViews>
  <sheets>
    <sheet name="Услуга №1" sheetId="13" r:id="rId1"/>
    <sheet name="Услуга №2" sheetId="14" r:id="rId2"/>
    <sheet name="Работа №1" sheetId="19" r:id="rId3"/>
    <sheet name="Работа №2" sheetId="20" r:id="rId4"/>
    <sheet name="Работа №3" sheetId="21" r:id="rId5"/>
    <sheet name="Работа №4" sheetId="22" r:id="rId6"/>
    <sheet name="ВСЕГО" sheetId="25" r:id="rId7"/>
  </sheets>
  <definedNames>
    <definedName name="_xlnm.Print_Area" localSheetId="2">'Работа №1'!$A$1:$N$206</definedName>
    <definedName name="_xlnm.Print_Area" localSheetId="3">'Работа №2'!$A$1:$N$206</definedName>
    <definedName name="_xlnm.Print_Area" localSheetId="4">'Работа №3'!$A$1:$N$206</definedName>
    <definedName name="_xlnm.Print_Area" localSheetId="5">'Работа №4'!$A$1:$N$204</definedName>
    <definedName name="_xlnm.Print_Area" localSheetId="0">'Услуга №1'!$A$1:$N$205</definedName>
    <definedName name="_xlnm.Print_Area" localSheetId="1">'Услуга №2'!$A$1:$N$207</definedName>
  </definedNames>
  <calcPr calcId="124519"/>
</workbook>
</file>

<file path=xl/calcChain.xml><?xml version="1.0" encoding="utf-8"?>
<calcChain xmlns="http://schemas.openxmlformats.org/spreadsheetml/2006/main">
  <c r="A8" i="25"/>
  <c r="A6"/>
  <c r="J207" i="22"/>
  <c r="J189"/>
  <c r="H189"/>
  <c r="H188"/>
  <c r="H187"/>
  <c r="J187" s="1"/>
  <c r="J183"/>
  <c r="H183"/>
  <c r="H182"/>
  <c r="J182" s="1"/>
  <c r="J184" s="1"/>
  <c r="F178"/>
  <c r="F179" s="1"/>
  <c r="F174"/>
  <c r="F175" s="1"/>
  <c r="P169"/>
  <c r="H169"/>
  <c r="M168"/>
  <c r="J168"/>
  <c r="M167"/>
  <c r="M166"/>
  <c r="J165"/>
  <c r="H165"/>
  <c r="I165" s="1"/>
  <c r="M165" s="1"/>
  <c r="J164"/>
  <c r="H164"/>
  <c r="I164" s="1"/>
  <c r="M164" s="1"/>
  <c r="J163"/>
  <c r="H163"/>
  <c r="I163" s="1"/>
  <c r="M163" s="1"/>
  <c r="J162"/>
  <c r="H162"/>
  <c r="I162" s="1"/>
  <c r="M162" s="1"/>
  <c r="J161"/>
  <c r="H161"/>
  <c r="I161" s="1"/>
  <c r="M161" s="1"/>
  <c r="J160"/>
  <c r="H160"/>
  <c r="I160" s="1"/>
  <c r="M160" s="1"/>
  <c r="J159"/>
  <c r="H159"/>
  <c r="I159" s="1"/>
  <c r="M159" s="1"/>
  <c r="M158"/>
  <c r="J158"/>
  <c r="I158"/>
  <c r="H158"/>
  <c r="M157"/>
  <c r="J157"/>
  <c r="I157"/>
  <c r="H157"/>
  <c r="M156"/>
  <c r="J156"/>
  <c r="I156"/>
  <c r="H156"/>
  <c r="M155"/>
  <c r="J155"/>
  <c r="I155"/>
  <c r="H155"/>
  <c r="M154"/>
  <c r="J154"/>
  <c r="I154"/>
  <c r="H154"/>
  <c r="M153"/>
  <c r="J153"/>
  <c r="I153"/>
  <c r="H153"/>
  <c r="M152"/>
  <c r="J152"/>
  <c r="I152"/>
  <c r="H152"/>
  <c r="M151"/>
  <c r="J151"/>
  <c r="I151"/>
  <c r="H151"/>
  <c r="M150"/>
  <c r="J150"/>
  <c r="I150"/>
  <c r="H150"/>
  <c r="M149"/>
  <c r="J149"/>
  <c r="I149"/>
  <c r="H149"/>
  <c r="M148"/>
  <c r="J148"/>
  <c r="I148"/>
  <c r="H148"/>
  <c r="M147"/>
  <c r="J147"/>
  <c r="I147"/>
  <c r="H147"/>
  <c r="M146"/>
  <c r="J146"/>
  <c r="I146"/>
  <c r="H146"/>
  <c r="J145"/>
  <c r="H145"/>
  <c r="I145" s="1"/>
  <c r="M145" s="1"/>
  <c r="J144"/>
  <c r="H144"/>
  <c r="I144" s="1"/>
  <c r="M144" s="1"/>
  <c r="P143"/>
  <c r="N143"/>
  <c r="K143"/>
  <c r="J143"/>
  <c r="J169" s="1"/>
  <c r="K196" s="1"/>
  <c r="E143"/>
  <c r="P142"/>
  <c r="N142"/>
  <c r="H137"/>
  <c r="F137"/>
  <c r="H136"/>
  <c r="F136"/>
  <c r="H135"/>
  <c r="F135"/>
  <c r="H134"/>
  <c r="F134"/>
  <c r="H133"/>
  <c r="F133"/>
  <c r="H132"/>
  <c r="F132"/>
  <c r="H131"/>
  <c r="F131"/>
  <c r="H130"/>
  <c r="H138" s="1"/>
  <c r="I196" s="1"/>
  <c r="F130"/>
  <c r="F138" s="1"/>
  <c r="H125"/>
  <c r="H126" s="1"/>
  <c r="M196" s="1"/>
  <c r="F125"/>
  <c r="F126" s="1"/>
  <c r="H120"/>
  <c r="F120"/>
  <c r="H119"/>
  <c r="F119"/>
  <c r="H115"/>
  <c r="H196" s="1"/>
  <c r="F115"/>
  <c r="H114"/>
  <c r="F114"/>
  <c r="I109"/>
  <c r="G109"/>
  <c r="I108"/>
  <c r="G108"/>
  <c r="I107"/>
  <c r="G107"/>
  <c r="I106"/>
  <c r="G106"/>
  <c r="I105"/>
  <c r="G105"/>
  <c r="I104"/>
  <c r="G104"/>
  <c r="I103"/>
  <c r="G103"/>
  <c r="I98"/>
  <c r="G98"/>
  <c r="I97"/>
  <c r="G97"/>
  <c r="I96"/>
  <c r="G96"/>
  <c r="I95"/>
  <c r="G95"/>
  <c r="I94"/>
  <c r="G94"/>
  <c r="I93"/>
  <c r="I99" s="1"/>
  <c r="F196" s="1"/>
  <c r="G93"/>
  <c r="G99" s="1"/>
  <c r="I92"/>
  <c r="G92"/>
  <c r="J87"/>
  <c r="H87"/>
  <c r="J86"/>
  <c r="H86"/>
  <c r="Q85"/>
  <c r="P85"/>
  <c r="Q86" s="1"/>
  <c r="J85"/>
  <c r="H85"/>
  <c r="H84"/>
  <c r="F84" s="1"/>
  <c r="J83"/>
  <c r="H83"/>
  <c r="F83" s="1"/>
  <c r="H77"/>
  <c r="G77" s="1"/>
  <c r="F77"/>
  <c r="H76"/>
  <c r="F76"/>
  <c r="H70"/>
  <c r="K69"/>
  <c r="J69"/>
  <c r="A196" s="1"/>
  <c r="E69"/>
  <c r="H184" l="1"/>
  <c r="J198" s="1"/>
  <c r="J213" s="1"/>
  <c r="H78"/>
  <c r="H121"/>
  <c r="J196" s="1"/>
  <c r="H190"/>
  <c r="I110"/>
  <c r="G196" s="1"/>
  <c r="G110"/>
  <c r="F121"/>
  <c r="J190"/>
  <c r="H88"/>
  <c r="K145"/>
  <c r="J70"/>
  <c r="J76"/>
  <c r="J78" s="1"/>
  <c r="D196" s="1"/>
  <c r="J77"/>
  <c r="J84"/>
  <c r="J88" s="1"/>
  <c r="E196" s="1"/>
  <c r="H174"/>
  <c r="H175" s="1"/>
  <c r="H178"/>
  <c r="H179" s="1"/>
  <c r="J188"/>
  <c r="G76"/>
  <c r="D196" i="21"/>
  <c r="E196"/>
  <c r="F196"/>
  <c r="G196"/>
  <c r="H196"/>
  <c r="I196"/>
  <c r="K196"/>
  <c r="L196"/>
  <c r="M196"/>
  <c r="J207"/>
  <c r="J213"/>
  <c r="J198"/>
  <c r="A196"/>
  <c r="H190"/>
  <c r="J189"/>
  <c r="H189"/>
  <c r="J188"/>
  <c r="J190" s="1"/>
  <c r="H188"/>
  <c r="J187"/>
  <c r="H187"/>
  <c r="H184"/>
  <c r="J183"/>
  <c r="H183"/>
  <c r="H182"/>
  <c r="J182" s="1"/>
  <c r="J184" s="1"/>
  <c r="F179"/>
  <c r="H178"/>
  <c r="H179" s="1"/>
  <c r="F178"/>
  <c r="F175"/>
  <c r="H174"/>
  <c r="H175" s="1"/>
  <c r="F174"/>
  <c r="F137"/>
  <c r="H137" s="1"/>
  <c r="H136"/>
  <c r="F136"/>
  <c r="F135"/>
  <c r="H135" s="1"/>
  <c r="H134"/>
  <c r="F134"/>
  <c r="F133"/>
  <c r="H133" s="1"/>
  <c r="F132"/>
  <c r="H132" s="1"/>
  <c r="F131"/>
  <c r="H131" s="1"/>
  <c r="F130"/>
  <c r="H130" s="1"/>
  <c r="F125"/>
  <c r="H125" s="1"/>
  <c r="H126" s="1"/>
  <c r="H120"/>
  <c r="F120"/>
  <c r="F119"/>
  <c r="H119" s="1"/>
  <c r="H121" s="1"/>
  <c r="J196" s="1"/>
  <c r="N196" s="1"/>
  <c r="P197" s="1"/>
  <c r="F115"/>
  <c r="F114"/>
  <c r="H114" s="1"/>
  <c r="H115" s="1"/>
  <c r="G109"/>
  <c r="I109" s="1"/>
  <c r="I108"/>
  <c r="G108"/>
  <c r="G107"/>
  <c r="I107" s="1"/>
  <c r="I106"/>
  <c r="G106"/>
  <c r="G105"/>
  <c r="I105" s="1"/>
  <c r="I104"/>
  <c r="G104"/>
  <c r="G103"/>
  <c r="G110" s="1"/>
  <c r="I98"/>
  <c r="G98"/>
  <c r="G97"/>
  <c r="I97" s="1"/>
  <c r="I96"/>
  <c r="G96"/>
  <c r="G95"/>
  <c r="I95" s="1"/>
  <c r="I94"/>
  <c r="G94"/>
  <c r="G93"/>
  <c r="I93" s="1"/>
  <c r="I92"/>
  <c r="G92"/>
  <c r="H87"/>
  <c r="J87" s="1"/>
  <c r="H86"/>
  <c r="J86" s="1"/>
  <c r="Q85"/>
  <c r="P85"/>
  <c r="H85"/>
  <c r="J85" s="1"/>
  <c r="H84"/>
  <c r="J84" s="1"/>
  <c r="H83"/>
  <c r="J83" s="1"/>
  <c r="H77"/>
  <c r="J77" s="1"/>
  <c r="F77"/>
  <c r="G77" s="1"/>
  <c r="H76"/>
  <c r="F76"/>
  <c r="J207" i="20"/>
  <c r="P197"/>
  <c r="J198"/>
  <c r="M196"/>
  <c r="K196"/>
  <c r="A196"/>
  <c r="H190"/>
  <c r="J189"/>
  <c r="H189"/>
  <c r="H188"/>
  <c r="J188" s="1"/>
  <c r="J187"/>
  <c r="H187"/>
  <c r="J183"/>
  <c r="H183"/>
  <c r="H182"/>
  <c r="J182" s="1"/>
  <c r="J184" s="1"/>
  <c r="F179"/>
  <c r="H178"/>
  <c r="H179" s="1"/>
  <c r="F178"/>
  <c r="F174"/>
  <c r="H174" s="1"/>
  <c r="H175" s="1"/>
  <c r="F130"/>
  <c r="F137"/>
  <c r="H137" s="1"/>
  <c r="H136"/>
  <c r="F136"/>
  <c r="F135"/>
  <c r="H135" s="1"/>
  <c r="H134"/>
  <c r="F134"/>
  <c r="F133"/>
  <c r="H133" s="1"/>
  <c r="F132"/>
  <c r="H132" s="1"/>
  <c r="F131"/>
  <c r="H131" s="1"/>
  <c r="H130"/>
  <c r="H125"/>
  <c r="H126" s="1"/>
  <c r="F125"/>
  <c r="F126" s="1"/>
  <c r="F120"/>
  <c r="H120" s="1"/>
  <c r="F119"/>
  <c r="F121" s="1"/>
  <c r="F114"/>
  <c r="F115" s="1"/>
  <c r="G109"/>
  <c r="I109" s="1"/>
  <c r="I108"/>
  <c r="G108"/>
  <c r="G107"/>
  <c r="I107" s="1"/>
  <c r="G106"/>
  <c r="I106" s="1"/>
  <c r="G105"/>
  <c r="I105" s="1"/>
  <c r="G104"/>
  <c r="I104" s="1"/>
  <c r="G103"/>
  <c r="G110" s="1"/>
  <c r="G92"/>
  <c r="I92" s="1"/>
  <c r="G98"/>
  <c r="I98" s="1"/>
  <c r="G97"/>
  <c r="I97" s="1"/>
  <c r="G96"/>
  <c r="I96" s="1"/>
  <c r="I95"/>
  <c r="G95"/>
  <c r="G94"/>
  <c r="I94" s="1"/>
  <c r="I93"/>
  <c r="G93"/>
  <c r="H83"/>
  <c r="H87"/>
  <c r="J87" s="1"/>
  <c r="J86"/>
  <c r="H86"/>
  <c r="Q85"/>
  <c r="P85"/>
  <c r="Q86" s="1"/>
  <c r="J85"/>
  <c r="H85"/>
  <c r="H84"/>
  <c r="J84" s="1"/>
  <c r="J83"/>
  <c r="H76"/>
  <c r="H77"/>
  <c r="J77" s="1"/>
  <c r="F77"/>
  <c r="J76"/>
  <c r="J78" s="1"/>
  <c r="D196" s="1"/>
  <c r="F76"/>
  <c r="N196" i="19"/>
  <c r="D196"/>
  <c r="E196"/>
  <c r="F196"/>
  <c r="G196"/>
  <c r="H196"/>
  <c r="I196"/>
  <c r="J196"/>
  <c r="K196"/>
  <c r="L196"/>
  <c r="M196"/>
  <c r="I209"/>
  <c r="J212"/>
  <c r="J198"/>
  <c r="A196"/>
  <c r="H190"/>
  <c r="J189"/>
  <c r="H189"/>
  <c r="H188"/>
  <c r="J188" s="1"/>
  <c r="J187"/>
  <c r="H187"/>
  <c r="H182"/>
  <c r="H183"/>
  <c r="J183" s="1"/>
  <c r="J182"/>
  <c r="H184"/>
  <c r="F179"/>
  <c r="H178"/>
  <c r="H179" s="1"/>
  <c r="F178"/>
  <c r="F174"/>
  <c r="H174" s="1"/>
  <c r="H175" s="1"/>
  <c r="H137"/>
  <c r="F137"/>
  <c r="F136"/>
  <c r="H136" s="1"/>
  <c r="H135"/>
  <c r="F135"/>
  <c r="F134"/>
  <c r="H134" s="1"/>
  <c r="F133"/>
  <c r="H133" s="1"/>
  <c r="F132"/>
  <c r="H132" s="1"/>
  <c r="H131"/>
  <c r="F131"/>
  <c r="F130"/>
  <c r="F138" s="1"/>
  <c r="F125"/>
  <c r="H125" s="1"/>
  <c r="H126" s="1"/>
  <c r="F120"/>
  <c r="H120" s="1"/>
  <c r="F119"/>
  <c r="F121" s="1"/>
  <c r="F115"/>
  <c r="H114"/>
  <c r="H115" s="1"/>
  <c r="F114"/>
  <c r="I109"/>
  <c r="G109"/>
  <c r="G108"/>
  <c r="I108" s="1"/>
  <c r="I107"/>
  <c r="G107"/>
  <c r="G106"/>
  <c r="I106" s="1"/>
  <c r="I105"/>
  <c r="G105"/>
  <c r="G104"/>
  <c r="I104" s="1"/>
  <c r="I110" s="1"/>
  <c r="I103"/>
  <c r="G103"/>
  <c r="I98"/>
  <c r="G98"/>
  <c r="G97"/>
  <c r="I97" s="1"/>
  <c r="I96"/>
  <c r="G96"/>
  <c r="G95"/>
  <c r="I95" s="1"/>
  <c r="I94"/>
  <c r="G94"/>
  <c r="G93"/>
  <c r="I93" s="1"/>
  <c r="I92"/>
  <c r="G92"/>
  <c r="H83"/>
  <c r="H87"/>
  <c r="J87" s="1"/>
  <c r="H86"/>
  <c r="J86" s="1"/>
  <c r="Q85"/>
  <c r="P85"/>
  <c r="H85"/>
  <c r="J85" s="1"/>
  <c r="H84"/>
  <c r="J84" s="1"/>
  <c r="J83"/>
  <c r="H77"/>
  <c r="H76"/>
  <c r="G76" s="1"/>
  <c r="J77"/>
  <c r="F77"/>
  <c r="G77" s="1"/>
  <c r="F76"/>
  <c r="L197" i="14"/>
  <c r="M197"/>
  <c r="J212"/>
  <c r="I209"/>
  <c r="J206" i="13"/>
  <c r="J199" i="14"/>
  <c r="K197"/>
  <c r="A197"/>
  <c r="H190"/>
  <c r="J190" s="1"/>
  <c r="J189"/>
  <c r="H189"/>
  <c r="H188"/>
  <c r="J188" s="1"/>
  <c r="H183"/>
  <c r="H184"/>
  <c r="J184" s="1"/>
  <c r="J183"/>
  <c r="J185" s="1"/>
  <c r="F178"/>
  <c r="H178" s="1"/>
  <c r="H179" s="1"/>
  <c r="F174"/>
  <c r="H174" s="1"/>
  <c r="H175" s="1"/>
  <c r="F130"/>
  <c r="H137"/>
  <c r="F137"/>
  <c r="F136"/>
  <c r="H136" s="1"/>
  <c r="F135"/>
  <c r="H135" s="1"/>
  <c r="F134"/>
  <c r="H134" s="1"/>
  <c r="H133"/>
  <c r="F133"/>
  <c r="F132"/>
  <c r="H132" s="1"/>
  <c r="H131"/>
  <c r="F131"/>
  <c r="F125"/>
  <c r="H125" s="1"/>
  <c r="H126" s="1"/>
  <c r="F119"/>
  <c r="F120"/>
  <c r="H120" s="1"/>
  <c r="F114"/>
  <c r="H114" s="1"/>
  <c r="H115" s="1"/>
  <c r="H197" s="1"/>
  <c r="G103"/>
  <c r="I109"/>
  <c r="G109"/>
  <c r="I108"/>
  <c r="G108"/>
  <c r="I107"/>
  <c r="G107"/>
  <c r="I106"/>
  <c r="G106"/>
  <c r="I105"/>
  <c r="G105"/>
  <c r="I104"/>
  <c r="G104"/>
  <c r="I103"/>
  <c r="I110" s="1"/>
  <c r="G197" s="1"/>
  <c r="G98"/>
  <c r="I98" s="1"/>
  <c r="G97"/>
  <c r="I97" s="1"/>
  <c r="G96"/>
  <c r="I96" s="1"/>
  <c r="I95"/>
  <c r="G95"/>
  <c r="G94"/>
  <c r="I94" s="1"/>
  <c r="G93"/>
  <c r="I93" s="1"/>
  <c r="G92"/>
  <c r="I92" s="1"/>
  <c r="H83"/>
  <c r="F83" s="1"/>
  <c r="H87"/>
  <c r="J87" s="1"/>
  <c r="H86"/>
  <c r="J86" s="1"/>
  <c r="Q85"/>
  <c r="P85"/>
  <c r="H85"/>
  <c r="H88" s="1"/>
  <c r="J84"/>
  <c r="H84"/>
  <c r="F84" s="1"/>
  <c r="J83"/>
  <c r="H76"/>
  <c r="J76" s="1"/>
  <c r="H77"/>
  <c r="G77" s="1"/>
  <c r="F77"/>
  <c r="F76"/>
  <c r="J191" i="13"/>
  <c r="J185"/>
  <c r="L197" s="1"/>
  <c r="H138"/>
  <c r="H121"/>
  <c r="I110"/>
  <c r="I99"/>
  <c r="J88"/>
  <c r="J78"/>
  <c r="H197"/>
  <c r="K197"/>
  <c r="M197"/>
  <c r="H184"/>
  <c r="F179"/>
  <c r="H191"/>
  <c r="H185"/>
  <c r="F138"/>
  <c r="F126"/>
  <c r="F121"/>
  <c r="G110"/>
  <c r="G99"/>
  <c r="H88"/>
  <c r="H78"/>
  <c r="H189"/>
  <c r="H190"/>
  <c r="H188"/>
  <c r="F125"/>
  <c r="F119"/>
  <c r="H183"/>
  <c r="F175"/>
  <c r="F137"/>
  <c r="H137" s="1"/>
  <c r="F136"/>
  <c r="F135"/>
  <c r="H135" s="1"/>
  <c r="F134"/>
  <c r="H134" s="1"/>
  <c r="F133"/>
  <c r="H133" s="1"/>
  <c r="H136"/>
  <c r="F132"/>
  <c r="F131"/>
  <c r="H131" s="1"/>
  <c r="F130"/>
  <c r="H125"/>
  <c r="H126" s="1"/>
  <c r="F120"/>
  <c r="H120"/>
  <c r="F114"/>
  <c r="G108"/>
  <c r="I108"/>
  <c r="G109"/>
  <c r="G107"/>
  <c r="G106"/>
  <c r="G103"/>
  <c r="G105"/>
  <c r="G104"/>
  <c r="G98"/>
  <c r="I98"/>
  <c r="G97"/>
  <c r="G96"/>
  <c r="I96"/>
  <c r="G95"/>
  <c r="G94"/>
  <c r="G93"/>
  <c r="G92"/>
  <c r="H87"/>
  <c r="H86"/>
  <c r="H85"/>
  <c r="H84"/>
  <c r="F84" s="1"/>
  <c r="H83"/>
  <c r="H77"/>
  <c r="H76"/>
  <c r="Q85"/>
  <c r="P85"/>
  <c r="L196" i="22" l="1"/>
  <c r="N196" s="1"/>
  <c r="P197" s="1"/>
  <c r="I99" i="21"/>
  <c r="G99"/>
  <c r="I103"/>
  <c r="F138"/>
  <c r="H138"/>
  <c r="F121"/>
  <c r="G76"/>
  <c r="Q86"/>
  <c r="I110"/>
  <c r="F126"/>
  <c r="F83"/>
  <c r="J76"/>
  <c r="J78" s="1"/>
  <c r="H78"/>
  <c r="J88"/>
  <c r="F84"/>
  <c r="H88"/>
  <c r="J88" i="20"/>
  <c r="E196" s="1"/>
  <c r="J190"/>
  <c r="L196" s="1"/>
  <c r="H184"/>
  <c r="F175"/>
  <c r="H114"/>
  <c r="H115" s="1"/>
  <c r="H196" s="1"/>
  <c r="F138"/>
  <c r="H138"/>
  <c r="I196" s="1"/>
  <c r="I103"/>
  <c r="I110" s="1"/>
  <c r="G196" s="1"/>
  <c r="H119"/>
  <c r="H121" s="1"/>
  <c r="J196" s="1"/>
  <c r="I99"/>
  <c r="F196" s="1"/>
  <c r="G99"/>
  <c r="F83"/>
  <c r="H88"/>
  <c r="F84"/>
  <c r="G76"/>
  <c r="G77"/>
  <c r="H78"/>
  <c r="J190" i="19"/>
  <c r="J184"/>
  <c r="F175"/>
  <c r="I99"/>
  <c r="G99"/>
  <c r="G110"/>
  <c r="Q86"/>
  <c r="H119"/>
  <c r="H121" s="1"/>
  <c r="H130"/>
  <c r="H138" s="1"/>
  <c r="F126"/>
  <c r="F83"/>
  <c r="J88"/>
  <c r="F84"/>
  <c r="H88"/>
  <c r="J76"/>
  <c r="J78" s="1"/>
  <c r="H78"/>
  <c r="J191" i="14"/>
  <c r="H191"/>
  <c r="H185"/>
  <c r="F179"/>
  <c r="F175"/>
  <c r="F121"/>
  <c r="F138"/>
  <c r="H130"/>
  <c r="H138" s="1"/>
  <c r="I197" s="1"/>
  <c r="J77"/>
  <c r="J85"/>
  <c r="J88" s="1"/>
  <c r="E197" s="1"/>
  <c r="I99"/>
  <c r="F197" s="1"/>
  <c r="G110"/>
  <c r="F126"/>
  <c r="H119"/>
  <c r="H121" s="1"/>
  <c r="J197" s="1"/>
  <c r="F115"/>
  <c r="G99"/>
  <c r="J78"/>
  <c r="H78"/>
  <c r="Q86"/>
  <c r="G76"/>
  <c r="O197" i="13"/>
  <c r="Q86"/>
  <c r="N196" i="20" l="1"/>
  <c r="P197" i="19"/>
  <c r="D197" i="14"/>
  <c r="N197" s="1"/>
  <c r="P198" s="1"/>
  <c r="F83" i="13"/>
  <c r="F77"/>
  <c r="F76"/>
  <c r="G77" l="1"/>
  <c r="G76"/>
  <c r="L37" i="22" l="1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F19"/>
  <c r="L18"/>
  <c r="F18"/>
  <c r="L17"/>
  <c r="L38" s="1"/>
  <c r="F17"/>
  <c r="F38" s="1"/>
  <c r="L37" i="21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38" s="1"/>
  <c r="L17"/>
  <c r="F19"/>
  <c r="F18"/>
  <c r="F17"/>
  <c r="F38" s="1"/>
  <c r="L37" i="20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38" s="1"/>
  <c r="F18"/>
  <c r="F17"/>
  <c r="L37" i="19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38" s="1"/>
  <c r="F19"/>
  <c r="F38" s="1"/>
  <c r="F18"/>
  <c r="F17"/>
  <c r="F19" i="14"/>
  <c r="F18"/>
  <c r="F17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K143" i="21"/>
  <c r="K143" i="20"/>
  <c r="K143" i="19"/>
  <c r="K143" i="14"/>
  <c r="K69" i="21"/>
  <c r="K69" i="20"/>
  <c r="K69" i="19"/>
  <c r="K69" i="14"/>
  <c r="K143" i="13"/>
  <c r="K69"/>
  <c r="L33"/>
  <c r="L37"/>
  <c r="F17"/>
  <c r="L36"/>
  <c r="L35"/>
  <c r="L34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M62" i="22"/>
  <c r="M61"/>
  <c r="H61"/>
  <c r="H60"/>
  <c r="M60" s="1"/>
  <c r="M59"/>
  <c r="H59"/>
  <c r="H58"/>
  <c r="M58" s="1"/>
  <c r="M57"/>
  <c r="H57"/>
  <c r="H56"/>
  <c r="M56" s="1"/>
  <c r="M55"/>
  <c r="H55"/>
  <c r="H54"/>
  <c r="M54" s="1"/>
  <c r="M53"/>
  <c r="H53"/>
  <c r="H52"/>
  <c r="M52" s="1"/>
  <c r="M51"/>
  <c r="H51"/>
  <c r="H50"/>
  <c r="M50" s="1"/>
  <c r="M49"/>
  <c r="H49"/>
  <c r="H48"/>
  <c r="M48" s="1"/>
  <c r="M47"/>
  <c r="H47"/>
  <c r="H46"/>
  <c r="M46" s="1"/>
  <c r="M45"/>
  <c r="H45"/>
  <c r="H44"/>
  <c r="M44" s="1"/>
  <c r="E39"/>
  <c r="F38" i="14" l="1"/>
  <c r="F38" i="13"/>
  <c r="L38"/>
  <c r="N38" i="22"/>
  <c r="L38" i="20"/>
  <c r="M63" i="22"/>
  <c r="Q38" i="13" l="1"/>
  <c r="Q64" s="1"/>
  <c r="E69" i="20"/>
  <c r="P37" i="13" l="1"/>
  <c r="O37"/>
  <c r="F180"/>
  <c r="J199" s="1"/>
  <c r="I211" s="1"/>
  <c r="H179" l="1"/>
  <c r="H180" s="1"/>
  <c r="E69" i="21" l="1"/>
  <c r="J168" l="1"/>
  <c r="M168" s="1"/>
  <c r="M167"/>
  <c r="M166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J156"/>
  <c r="H156"/>
  <c r="I156" s="1"/>
  <c r="J155"/>
  <c r="H155"/>
  <c r="I155" s="1"/>
  <c r="J154"/>
  <c r="H154"/>
  <c r="I154" s="1"/>
  <c r="J153"/>
  <c r="H153"/>
  <c r="I153" s="1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K145" s="1"/>
  <c r="J144"/>
  <c r="H144"/>
  <c r="I144" s="1"/>
  <c r="H169"/>
  <c r="E143"/>
  <c r="N142"/>
  <c r="N143" s="1"/>
  <c r="P143" s="1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E39"/>
  <c r="J168" i="20"/>
  <c r="M168" s="1"/>
  <c r="M167"/>
  <c r="M166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J156"/>
  <c r="H156"/>
  <c r="I156" s="1"/>
  <c r="J155"/>
  <c r="H155"/>
  <c r="I155" s="1"/>
  <c r="J154"/>
  <c r="H154"/>
  <c r="I154" s="1"/>
  <c r="J153"/>
  <c r="H153"/>
  <c r="I153" s="1"/>
  <c r="J152"/>
  <c r="I152"/>
  <c r="H152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I145" s="1"/>
  <c r="J144"/>
  <c r="H144"/>
  <c r="I144" s="1"/>
  <c r="E143"/>
  <c r="N142"/>
  <c r="N143" s="1"/>
  <c r="P143" s="1"/>
  <c r="J69"/>
  <c r="J70" s="1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E39"/>
  <c r="M150" i="21" l="1"/>
  <c r="J69"/>
  <c r="J70" s="1"/>
  <c r="M161" i="20"/>
  <c r="M165"/>
  <c r="M158"/>
  <c r="M162"/>
  <c r="P169" i="21"/>
  <c r="M153"/>
  <c r="M162"/>
  <c r="M146"/>
  <c r="H169" i="20"/>
  <c r="P169" s="1"/>
  <c r="M154" i="21"/>
  <c r="M158"/>
  <c r="M161"/>
  <c r="M63"/>
  <c r="M149"/>
  <c r="M157"/>
  <c r="M151"/>
  <c r="M155"/>
  <c r="M159"/>
  <c r="M165"/>
  <c r="M152"/>
  <c r="M156"/>
  <c r="M160"/>
  <c r="M147"/>
  <c r="M163"/>
  <c r="M148"/>
  <c r="M147" i="20"/>
  <c r="M150"/>
  <c r="M153"/>
  <c r="M155"/>
  <c r="M151"/>
  <c r="M159"/>
  <c r="M163"/>
  <c r="M146"/>
  <c r="M149"/>
  <c r="M154"/>
  <c r="M157"/>
  <c r="M160"/>
  <c r="M164"/>
  <c r="M156"/>
  <c r="M148"/>
  <c r="M152"/>
  <c r="M63"/>
  <c r="M144" i="21"/>
  <c r="M164"/>
  <c r="J143"/>
  <c r="J169" s="1"/>
  <c r="H70"/>
  <c r="P142"/>
  <c r="I145"/>
  <c r="M145" s="1"/>
  <c r="J143" i="20"/>
  <c r="J169" s="1"/>
  <c r="H70"/>
  <c r="M145"/>
  <c r="M144"/>
  <c r="K145"/>
  <c r="P142"/>
  <c r="J168" i="19"/>
  <c r="M168" s="1"/>
  <c r="M167"/>
  <c r="M166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J156"/>
  <c r="H156"/>
  <c r="I156" s="1"/>
  <c r="J155"/>
  <c r="H155"/>
  <c r="I155" s="1"/>
  <c r="J154"/>
  <c r="H154"/>
  <c r="I154" s="1"/>
  <c r="J153"/>
  <c r="H153"/>
  <c r="I153" s="1"/>
  <c r="J152"/>
  <c r="H152"/>
  <c r="I152" s="1"/>
  <c r="J151"/>
  <c r="H151"/>
  <c r="I151" s="1"/>
  <c r="J150"/>
  <c r="H150"/>
  <c r="I150" s="1"/>
  <c r="J149"/>
  <c r="I149"/>
  <c r="H149"/>
  <c r="J148"/>
  <c r="H148"/>
  <c r="I148" s="1"/>
  <c r="J147"/>
  <c r="H147"/>
  <c r="I147" s="1"/>
  <c r="J146"/>
  <c r="H146"/>
  <c r="I146" s="1"/>
  <c r="J145"/>
  <c r="H145"/>
  <c r="K145" s="1"/>
  <c r="J144"/>
  <c r="H144"/>
  <c r="I144" s="1"/>
  <c r="E143"/>
  <c r="E69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E39"/>
  <c r="E143" i="14"/>
  <c r="M163" i="19" l="1"/>
  <c r="M148"/>
  <c r="M164"/>
  <c r="M147"/>
  <c r="M150"/>
  <c r="M152"/>
  <c r="M156"/>
  <c r="M144"/>
  <c r="M155"/>
  <c r="M158"/>
  <c r="M160"/>
  <c r="M146"/>
  <c r="M162"/>
  <c r="M151"/>
  <c r="M154"/>
  <c r="M159"/>
  <c r="I145"/>
  <c r="M145" s="1"/>
  <c r="N38" i="21"/>
  <c r="N38" i="20"/>
  <c r="H169" i="19"/>
  <c r="M149"/>
  <c r="M153"/>
  <c r="M157"/>
  <c r="M161"/>
  <c r="M165"/>
  <c r="J69"/>
  <c r="J70" s="1"/>
  <c r="J143"/>
  <c r="J169" s="1"/>
  <c r="M63"/>
  <c r="H70"/>
  <c r="J213" i="20" l="1"/>
  <c r="E143" i="13" l="1"/>
  <c r="H70" i="14" l="1"/>
  <c r="J168"/>
  <c r="M168" s="1"/>
  <c r="M167"/>
  <c r="M166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J156"/>
  <c r="H156"/>
  <c r="I156" s="1"/>
  <c r="J155"/>
  <c r="H155"/>
  <c r="I155" s="1"/>
  <c r="J154"/>
  <c r="H154"/>
  <c r="I154" s="1"/>
  <c r="J153"/>
  <c r="H153"/>
  <c r="I153" s="1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K145" s="1"/>
  <c r="J144"/>
  <c r="H144"/>
  <c r="I144" s="1"/>
  <c r="N142"/>
  <c r="N143" s="1"/>
  <c r="P143" s="1"/>
  <c r="E69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M48"/>
  <c r="H48"/>
  <c r="H47"/>
  <c r="M47" s="1"/>
  <c r="H46"/>
  <c r="M46" s="1"/>
  <c r="H45"/>
  <c r="M45" s="1"/>
  <c r="H44"/>
  <c r="M44" s="1"/>
  <c r="E39"/>
  <c r="M147" l="1"/>
  <c r="M149"/>
  <c r="M151"/>
  <c r="M153"/>
  <c r="M155"/>
  <c r="M157"/>
  <c r="M159"/>
  <c r="M161"/>
  <c r="M163"/>
  <c r="M165"/>
  <c r="J143"/>
  <c r="J169" s="1"/>
  <c r="M63"/>
  <c r="M146"/>
  <c r="M150"/>
  <c r="M154"/>
  <c r="M160"/>
  <c r="M164"/>
  <c r="P142"/>
  <c r="M144"/>
  <c r="H169"/>
  <c r="P169" s="1"/>
  <c r="M148"/>
  <c r="M152"/>
  <c r="M156"/>
  <c r="M158"/>
  <c r="M162"/>
  <c r="I145"/>
  <c r="M145" s="1"/>
  <c r="J69"/>
  <c r="J70" s="1"/>
  <c r="E69" i="13" l="1"/>
  <c r="H175" l="1"/>
  <c r="H176" s="1"/>
  <c r="F176" l="1"/>
  <c r="H132" l="1"/>
  <c r="H130"/>
  <c r="I197" l="1"/>
  <c r="O142" l="1"/>
  <c r="Q142" s="1"/>
  <c r="O143" l="1"/>
  <c r="Q143" s="1"/>
  <c r="J76" l="1"/>
  <c r="J87" l="1"/>
  <c r="F115" l="1"/>
  <c r="H114"/>
  <c r="H115" s="1"/>
  <c r="J69"/>
  <c r="J190"/>
  <c r="J189"/>
  <c r="J183"/>
  <c r="J168"/>
  <c r="N168" s="1"/>
  <c r="N167"/>
  <c r="N166"/>
  <c r="J165"/>
  <c r="H165"/>
  <c r="I165" s="1"/>
  <c r="J164"/>
  <c r="H164"/>
  <c r="I164" s="1"/>
  <c r="J163"/>
  <c r="H163"/>
  <c r="I163" s="1"/>
  <c r="J162"/>
  <c r="H162"/>
  <c r="I162" s="1"/>
  <c r="J161"/>
  <c r="H161"/>
  <c r="I161" s="1"/>
  <c r="J160"/>
  <c r="H160"/>
  <c r="I160" s="1"/>
  <c r="J159"/>
  <c r="H159"/>
  <c r="I159" s="1"/>
  <c r="J158"/>
  <c r="H158"/>
  <c r="I158" s="1"/>
  <c r="J157"/>
  <c r="H157"/>
  <c r="I157" s="1"/>
  <c r="J156"/>
  <c r="H156"/>
  <c r="I156" s="1"/>
  <c r="J155"/>
  <c r="H155"/>
  <c r="I155" s="1"/>
  <c r="J154"/>
  <c r="H154"/>
  <c r="I154" s="1"/>
  <c r="J153"/>
  <c r="H153"/>
  <c r="I153" s="1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K145" s="1"/>
  <c r="J144"/>
  <c r="H144"/>
  <c r="I144" s="1"/>
  <c r="I109"/>
  <c r="I107"/>
  <c r="I106"/>
  <c r="I105"/>
  <c r="I104"/>
  <c r="I97"/>
  <c r="I95"/>
  <c r="I94"/>
  <c r="I93"/>
  <c r="I92"/>
  <c r="J86"/>
  <c r="J84"/>
  <c r="J83"/>
  <c r="J77"/>
  <c r="J85" l="1"/>
  <c r="E197" s="1"/>
  <c r="N163"/>
  <c r="N165"/>
  <c r="N147"/>
  <c r="N155"/>
  <c r="N157"/>
  <c r="N158"/>
  <c r="N160"/>
  <c r="N162"/>
  <c r="N164"/>
  <c r="N146"/>
  <c r="N150"/>
  <c r="N152"/>
  <c r="N154"/>
  <c r="N149"/>
  <c r="N148"/>
  <c r="N153"/>
  <c r="N156"/>
  <c r="N161"/>
  <c r="N151"/>
  <c r="N159"/>
  <c r="N144"/>
  <c r="J188"/>
  <c r="I103"/>
  <c r="G197" s="1"/>
  <c r="H119"/>
  <c r="J197" s="1"/>
  <c r="D197"/>
  <c r="J184"/>
  <c r="J143"/>
  <c r="J169" s="1"/>
  <c r="H169"/>
  <c r="J70"/>
  <c r="H70"/>
  <c r="I145"/>
  <c r="N145" s="1"/>
  <c r="A197" l="1"/>
  <c r="Q169"/>
  <c r="F197"/>
  <c r="N197" s="1"/>
  <c r="Q198" s="1"/>
  <c r="A3" i="25" l="1"/>
  <c r="Q200" i="13"/>
  <c r="O38"/>
  <c r="R195"/>
  <c r="E39" l="1"/>
  <c r="N62" l="1"/>
  <c r="H61"/>
  <c r="N61" s="1"/>
  <c r="H60"/>
  <c r="N60" s="1"/>
  <c r="H59"/>
  <c r="N59" s="1"/>
  <c r="H58"/>
  <c r="N58" s="1"/>
  <c r="H57"/>
  <c r="N57" s="1"/>
  <c r="H56"/>
  <c r="N56" s="1"/>
  <c r="H55"/>
  <c r="N55" s="1"/>
  <c r="H54"/>
  <c r="N54" s="1"/>
  <c r="H53"/>
  <c r="N53" s="1"/>
  <c r="H52"/>
  <c r="N52" s="1"/>
  <c r="H51"/>
  <c r="N51" s="1"/>
  <c r="H50"/>
  <c r="N50" s="1"/>
  <c r="H49"/>
  <c r="N49" s="1"/>
  <c r="H48"/>
  <c r="N48" s="1"/>
  <c r="H47"/>
  <c r="N47" s="1"/>
  <c r="H46"/>
  <c r="N46" s="1"/>
  <c r="H45"/>
  <c r="N45" s="1"/>
  <c r="H44"/>
  <c r="N44" s="1"/>
  <c r="N63" l="1"/>
</calcChain>
</file>

<file path=xl/sharedStrings.xml><?xml version="1.0" encoding="utf-8"?>
<sst xmlns="http://schemas.openxmlformats.org/spreadsheetml/2006/main" count="1711" uniqueCount="169">
  <si>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</si>
  <si>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</si>
  <si>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</si>
  <si>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</si>
  <si>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</si>
  <si>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</si>
  <si>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</si>
  <si>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</si>
  <si>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</si>
  <si>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</si>
  <si>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</si>
  <si>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</si>
  <si>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</si>
  <si>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</si>
  <si>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</si>
  <si>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</si>
  <si>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</si>
  <si>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</si>
  <si>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</si>
  <si>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</si>
  <si>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</si>
  <si>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</si>
  <si>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</si>
  <si>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</si>
  <si>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</si>
  <si>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</si>
  <si>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</si>
  <si>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</si>
  <si>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</si>
  <si>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</si>
  <si>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</si>
  <si>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</si>
  <si>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</si>
  <si>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</si>
  <si>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</si>
  <si>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</si>
  <si>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</si>
  <si>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</si>
  <si>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</si>
  <si>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</si>
  <si>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</si>
  <si>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</si>
  <si>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 xml:space="preserve">Тариф (цена), рублей </t>
  </si>
  <si>
    <t>Исполнитель:</t>
  </si>
  <si>
    <t>ФОТ с начислениями на выплаты по оплате труда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</si>
  <si>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</si>
  <si>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</si>
  <si>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</si>
  <si>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</si>
  <si>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</si>
  <si>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</si>
  <si>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</si>
  <si>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</si>
  <si>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</si>
  <si>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</si>
  <si>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</si>
  <si>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 xml:space="preserve">нормативный объем </t>
  </si>
  <si>
    <t>Итого прочие расходы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</si>
  <si>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</si>
  <si>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</si>
  <si>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</si>
  <si>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Затраты на прочие расходы</t>
  </si>
  <si>
    <t>Прочие затраты</t>
  </si>
  <si>
    <t>Количество мероприятий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</si>
  <si>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</si>
  <si>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</si>
  <si>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</si>
  <si>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</si>
  <si>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Затраты на оплату труда (с начислениями) работников, непосредственно не связанных с оказанием работ</t>
  </si>
  <si>
    <t>Нормативные затраты на одно мероприятие</t>
  </si>
  <si>
    <t>Инспектор по кадрам</t>
  </si>
  <si>
    <t>Механик</t>
  </si>
  <si>
    <t>Секретарь</t>
  </si>
  <si>
    <t>Услуга №1. Спортивная подготовка по олимпийским видам спорта</t>
  </si>
  <si>
    <t>Количество занимающихся</t>
  </si>
  <si>
    <t>количество, шт</t>
  </si>
  <si>
    <t>Затраты на оплату труда (с начислениями) работников, непосредственно связанных с оказанием работ</t>
  </si>
  <si>
    <t>Кол-во номеров</t>
  </si>
  <si>
    <t>Кубки</t>
  </si>
  <si>
    <t>Грамоты</t>
  </si>
  <si>
    <t>Медали</t>
  </si>
  <si>
    <t>7-45-59</t>
  </si>
  <si>
    <t>Услуга №2. Спортивная подготовка по неолимпийским видам спорта</t>
  </si>
  <si>
    <t>Работа №1. Организация и обеспечение подготовки спортивного резерва</t>
  </si>
  <si>
    <t>Работа №2. Организация мероприятий по подготовке спортивных сборных команд в интересах общества</t>
  </si>
  <si>
    <t>Затраты на услуги связи</t>
  </si>
  <si>
    <t>Старший тренер</t>
  </si>
  <si>
    <t>Тренер</t>
  </si>
  <si>
    <t>Зам.директора</t>
  </si>
  <si>
    <t>Заведующий отделением</t>
  </si>
  <si>
    <t xml:space="preserve">Программист </t>
  </si>
  <si>
    <t>Инструктор по оружию</t>
  </si>
  <si>
    <t>Водитель</t>
  </si>
  <si>
    <t>Рабочий по обслуживанию зданий</t>
  </si>
  <si>
    <t>Дворник</t>
  </si>
  <si>
    <t xml:space="preserve">Рабочий по ремонту электрооборудования </t>
  </si>
  <si>
    <t xml:space="preserve">Рабочий по ремонту сантехоборудования </t>
  </si>
  <si>
    <t>Сторож-вахтер</t>
  </si>
  <si>
    <t>Врач</t>
  </si>
  <si>
    <t>Медсестра</t>
  </si>
  <si>
    <t>Спортсмен-инструктор</t>
  </si>
  <si>
    <t xml:space="preserve">Работа №3. Обеспечение участия в официальных физкультурных (физкультурно-оздоровительных) мероприятиях </t>
  </si>
  <si>
    <t>Наименование показателя объема: 1 мероприятие</t>
  </si>
  <si>
    <t>Работа №4. Организация и проведение официальных спортивных мероприятий</t>
  </si>
  <si>
    <t>Вывоз мусора</t>
  </si>
  <si>
    <t>Обслуживание пожарной сигнализации</t>
  </si>
  <si>
    <t>Обслуживания узла тепловой энергии</t>
  </si>
  <si>
    <t>Обслуживание охранной сигнализации</t>
  </si>
  <si>
    <t>Промывка и опрессовка</t>
  </si>
  <si>
    <t>Предрейсовый медосмотр водителей</t>
  </si>
  <si>
    <t>Периодический медосмотр сотрудников</t>
  </si>
  <si>
    <t>Централизованная охрана оружейной комнаты</t>
  </si>
  <si>
    <t>Абон.обслуживание за инф.услуги системы мониторинга транспорта "Глонасс"</t>
  </si>
  <si>
    <t>Командировочные расходы (проезд, питание, проживание спортсмены)</t>
  </si>
  <si>
    <t>Командировочные расходы (проезд, питание, проживание тренера)</t>
  </si>
  <si>
    <t>Количество, шт</t>
  </si>
  <si>
    <t>Директор МАУ "СШОР"</t>
  </si>
  <si>
    <t>Е.П.Лукьянов</t>
  </si>
  <si>
    <t xml:space="preserve">                     ИСХОДНЫЕ ДАННЫЕ И РЕЗУЛЬТАТЫ РАСЧЕТОВ  МАУ "СШОР"</t>
  </si>
  <si>
    <t>УС</t>
  </si>
  <si>
    <t>КУ</t>
  </si>
  <si>
    <t>СНИ</t>
  </si>
  <si>
    <t>ПР</t>
  </si>
  <si>
    <t>УСМЗ</t>
  </si>
  <si>
    <t>ОТ2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</si>
  <si>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 олимпийского резерва" г. Назарово"</t>
    </r>
  </si>
  <si>
    <t>Приложение № 3 к Распоряжению администрации от ___________ № ____</t>
  </si>
  <si>
    <t>Уборщик служебных помещений</t>
  </si>
  <si>
    <t>Инструктор-методист физкультурно-оздоровительных мероприятий</t>
  </si>
  <si>
    <t>Специалист, ответственный за обеспечение безопасности дорожного движения</t>
  </si>
  <si>
    <t>Контролер технического состояния автотранспортных средств</t>
  </si>
  <si>
    <t>Тех.осмотр (3 автомобиля)</t>
  </si>
  <si>
    <t>Лабораторные исследования</t>
  </si>
  <si>
    <t>Страхование</t>
  </si>
  <si>
    <t>Автострахование транспортных средств</t>
  </si>
  <si>
    <t>Итого страхование</t>
  </si>
  <si>
    <t>Увеличение стоимости горюче-смазочных материалов</t>
  </si>
  <si>
    <t>Бензин АИ-92</t>
  </si>
  <si>
    <t>Шефовалова Е.А.</t>
  </si>
  <si>
    <t>С</t>
  </si>
  <si>
    <t>Карта тахографа</t>
  </si>
  <si>
    <t>Увеличение стоимости прочих материальных запасов</t>
  </si>
  <si>
    <t>Зап.части</t>
  </si>
  <si>
    <t>СПМЗ</t>
  </si>
  <si>
    <t>Выплата по уходу за ребенком до 3 лет</t>
  </si>
  <si>
    <t>Приобретение набора продуктов питания или готовых блюд и их транспортировка в лагеря</t>
  </si>
  <si>
    <t>Ведущий специалист</t>
  </si>
  <si>
    <t>Наименование показателя объема: 435 чел</t>
  </si>
  <si>
    <r>
      <t>Штатное расписание: 62,35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</si>
  <si>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БАЗОВОГО НОРМАТИВА ЗАТРАТ НА ОКАЗАНИЕ МУНИЦИПАЛЬНЫХ УСЛУГ НА  2021 год</t>
  </si>
  <si>
    <t>БАЗОВОГО НОРМАТИВА ЗАТРАТ НА ОКАЗАНИЕ МУНИЦИПАЛЬНЫХ УСЛУГ НА  2021год</t>
  </si>
  <si>
    <t>Наименование показателя объема: 58 чел</t>
  </si>
  <si>
    <t>БАЗОВОГО НОРМАТИВА ЗАТРАТ НА ОКАЗАНИЕ МУНИЦИПАЛЬНЫХ РАБОТ НА  2021 год</t>
  </si>
  <si>
    <t>Наименование показателя объема: 159 чел</t>
  </si>
  <si>
    <t>Наименование показателя объема: 28 чел</t>
  </si>
  <si>
    <t>Дератизация и дезинсекция</t>
  </si>
  <si>
    <t>Тех.обслуживание транспортных средств (Хайс)</t>
  </si>
  <si>
    <t>Замена блока СКЗИ тахографа</t>
  </si>
  <si>
    <t>Аккарицидная обработка</t>
  </si>
  <si>
    <t>Автомасла</t>
  </si>
  <si>
    <t>Увеличение стоимости строительных материалов</t>
  </si>
  <si>
    <t>Мед. Маска многоразовая</t>
  </si>
  <si>
    <t>Кожный античептик</t>
  </si>
  <si>
    <t>Автомобильная аптечка</t>
  </si>
  <si>
    <t>Огнетушитель</t>
  </si>
  <si>
    <t>Антифриз</t>
  </si>
  <si>
    <t>Хоз.товары</t>
  </si>
  <si>
    <t>Материалы</t>
  </si>
  <si>
    <t>СМ</t>
  </si>
</sst>
</file>

<file path=xl/styles.xml><?xml version="1.0" encoding="utf-8"?>
<styleSheet xmlns="http://schemas.openxmlformats.org/spreadsheetml/2006/main">
  <numFmts count="4">
    <numFmt numFmtId="164" formatCode="0.000000"/>
    <numFmt numFmtId="165" formatCode="#,##0.0"/>
    <numFmt numFmtId="166" formatCode="0.0"/>
    <numFmt numFmtId="167" formatCode="0.000"/>
  </numFmts>
  <fonts count="2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FFFF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3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4" fontId="7" fillId="2" borderId="1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2" borderId="6" xfId="0" applyNumberFormat="1" applyFont="1" applyFill="1" applyBorder="1"/>
    <xf numFmtId="4" fontId="7" fillId="2" borderId="5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165" fontId="11" fillId="2" borderId="1" xfId="0" applyNumberFormat="1" applyFont="1" applyFill="1" applyBorder="1"/>
    <xf numFmtId="0" fontId="7" fillId="0" borderId="9" xfId="0" applyFont="1" applyBorder="1" applyAlignment="1">
      <alignment wrapText="1"/>
    </xf>
    <xf numFmtId="0" fontId="12" fillId="0" borderId="1" xfId="0" applyFont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3" fontId="11" fillId="2" borderId="1" xfId="0" applyNumberFormat="1" applyFont="1" applyFill="1" applyBorder="1"/>
    <xf numFmtId="0" fontId="11" fillId="0" borderId="0" xfId="0" applyFont="1"/>
    <xf numFmtId="4" fontId="11" fillId="2" borderId="6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/>
    <xf numFmtId="2" fontId="10" fillId="6" borderId="7" xfId="0" applyNumberFormat="1" applyFont="1" applyFill="1" applyBorder="1"/>
    <xf numFmtId="4" fontId="11" fillId="0" borderId="6" xfId="0" applyNumberFormat="1" applyFont="1" applyBorder="1"/>
    <xf numFmtId="4" fontId="10" fillId="0" borderId="1" xfId="0" applyNumberFormat="1" applyFont="1" applyBorder="1" applyAlignment="1">
      <alignment horizontal="left"/>
    </xf>
    <xf numFmtId="4" fontId="10" fillId="6" borderId="7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4" fontId="8" fillId="7" borderId="8" xfId="0" applyNumberFormat="1" applyFont="1" applyFill="1" applyBorder="1"/>
    <xf numFmtId="166" fontId="11" fillId="0" borderId="1" xfId="0" applyNumberFormat="1" applyFont="1" applyBorder="1"/>
    <xf numFmtId="3" fontId="11" fillId="5" borderId="1" xfId="0" applyNumberFormat="1" applyFont="1" applyFill="1" applyBorder="1"/>
    <xf numFmtId="0" fontId="11" fillId="0" borderId="1" xfId="0" applyNumberFormat="1" applyFont="1" applyBorder="1"/>
    <xf numFmtId="165" fontId="11" fillId="5" borderId="1" xfId="0" applyNumberFormat="1" applyFont="1" applyFill="1" applyBorder="1"/>
    <xf numFmtId="4" fontId="11" fillId="5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4" fontId="10" fillId="6" borderId="7" xfId="0" applyNumberFormat="1" applyFont="1" applyFill="1" applyBorder="1" applyAlignment="1"/>
    <xf numFmtId="3" fontId="11" fillId="2" borderId="0" xfId="0" applyNumberFormat="1" applyFont="1" applyFill="1" applyBorder="1"/>
    <xf numFmtId="4" fontId="8" fillId="7" borderId="7" xfId="0" applyNumberFormat="1" applyFont="1" applyFill="1" applyBorder="1"/>
    <xf numFmtId="4" fontId="10" fillId="7" borderId="7" xfId="0" applyNumberFormat="1" applyFont="1" applyFill="1" applyBorder="1"/>
    <xf numFmtId="4" fontId="8" fillId="7" borderId="7" xfId="0" applyNumberFormat="1" applyFont="1" applyFill="1" applyBorder="1" applyAlignment="1"/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/>
    <xf numFmtId="0" fontId="11" fillId="0" borderId="0" xfId="0" applyFont="1" applyFill="1"/>
    <xf numFmtId="2" fontId="10" fillId="0" borderId="0" xfId="0" applyNumberFormat="1" applyFont="1" applyFill="1" applyBorder="1"/>
    <xf numFmtId="0" fontId="7" fillId="0" borderId="0" xfId="0" applyFont="1" applyFill="1"/>
    <xf numFmtId="0" fontId="8" fillId="0" borderId="0" xfId="0" applyFont="1" applyFill="1" applyBorder="1" applyAlignment="1">
      <alignment horizontal="left"/>
    </xf>
    <xf numFmtId="0" fontId="0" fillId="0" borderId="0" xfId="0" applyFill="1"/>
    <xf numFmtId="0" fontId="10" fillId="0" borderId="0" xfId="0" applyFont="1" applyFill="1" applyBorder="1" applyAlignment="1">
      <alignment horizontal="left"/>
    </xf>
    <xf numFmtId="0" fontId="12" fillId="0" borderId="0" xfId="0" applyFont="1" applyFill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1" fillId="2" borderId="0" xfId="0" applyFont="1" applyFill="1" applyBorder="1"/>
    <xf numFmtId="2" fontId="11" fillId="2" borderId="0" xfId="0" applyNumberFormat="1" applyFont="1" applyFill="1" applyBorder="1" applyAlignment="1">
      <alignment wrapText="1"/>
    </xf>
    <xf numFmtId="4" fontId="11" fillId="2" borderId="0" xfId="0" applyNumberFormat="1" applyFont="1" applyFill="1" applyBorder="1"/>
    <xf numFmtId="2" fontId="11" fillId="2" borderId="0" xfId="0" applyNumberFormat="1" applyFont="1" applyFill="1" applyBorder="1"/>
    <xf numFmtId="0" fontId="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0" fontId="10" fillId="2" borderId="4" xfId="0" applyFont="1" applyFill="1" applyBorder="1" applyAlignment="1">
      <alignment horizontal="left"/>
    </xf>
    <xf numFmtId="4" fontId="7" fillId="6" borderId="7" xfId="0" applyNumberFormat="1" applyFont="1" applyFill="1" applyBorder="1"/>
    <xf numFmtId="2" fontId="7" fillId="0" borderId="1" xfId="0" applyNumberFormat="1" applyFont="1" applyBorder="1" applyAlignment="1">
      <alignment wrapText="1"/>
    </xf>
    <xf numFmtId="2" fontId="7" fillId="0" borderId="6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4" fontId="7" fillId="0" borderId="1" xfId="0" applyNumberFormat="1" applyFont="1" applyBorder="1" applyAlignment="1"/>
    <xf numFmtId="4" fontId="0" fillId="0" borderId="1" xfId="0" applyNumberFormat="1" applyBorder="1"/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5" fillId="0" borderId="0" xfId="0" applyFont="1"/>
    <xf numFmtId="0" fontId="13" fillId="0" borderId="0" xfId="0" applyFont="1" applyAlignment="1"/>
    <xf numFmtId="0" fontId="7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8" fillId="3" borderId="0" xfId="0" applyFont="1" applyFill="1" applyBorder="1" applyAlignment="1">
      <alignment horizontal="center"/>
    </xf>
    <xf numFmtId="0" fontId="0" fillId="0" borderId="0" xfId="0" applyAlignment="1"/>
    <xf numFmtId="0" fontId="8" fillId="4" borderId="4" xfId="0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Border="1"/>
    <xf numFmtId="166" fontId="11" fillId="0" borderId="0" xfId="0" applyNumberFormat="1" applyFont="1" applyBorder="1"/>
    <xf numFmtId="0" fontId="11" fillId="0" borderId="5" xfId="0" applyNumberFormat="1" applyFont="1" applyBorder="1"/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/>
    <xf numFmtId="2" fontId="10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17" fillId="0" borderId="0" xfId="0" applyFont="1"/>
    <xf numFmtId="0" fontId="8" fillId="3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4" fontId="0" fillId="0" borderId="0" xfId="0" applyNumberFormat="1"/>
    <xf numFmtId="4" fontId="11" fillId="0" borderId="1" xfId="0" applyNumberFormat="1" applyFont="1" applyFill="1" applyBorder="1"/>
    <xf numFmtId="0" fontId="11" fillId="0" borderId="3" xfId="0" applyFont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4" fontId="7" fillId="8" borderId="1" xfId="0" applyNumberFormat="1" applyFont="1" applyFill="1" applyBorder="1" applyAlignment="1"/>
    <xf numFmtId="0" fontId="7" fillId="0" borderId="2" xfId="0" applyFont="1" applyBorder="1" applyAlignment="1">
      <alignment wrapText="1"/>
    </xf>
    <xf numFmtId="0" fontId="8" fillId="4" borderId="4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2" fontId="7" fillId="0" borderId="0" xfId="0" applyNumberFormat="1" applyFont="1"/>
    <xf numFmtId="0" fontId="8" fillId="3" borderId="0" xfId="0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2" fontId="9" fillId="0" borderId="1" xfId="0" applyNumberFormat="1" applyFont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/>
    </xf>
    <xf numFmtId="2" fontId="11" fillId="0" borderId="1" xfId="0" applyNumberFormat="1" applyFont="1" applyBorder="1"/>
    <xf numFmtId="2" fontId="10" fillId="2" borderId="0" xfId="0" applyNumberFormat="1" applyFont="1" applyFill="1" applyBorder="1" applyAlignment="1">
      <alignment horizontal="center" vertical="center"/>
    </xf>
    <xf numFmtId="167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4" fontId="12" fillId="0" borderId="1" xfId="0" applyNumberFormat="1" applyFont="1" applyFill="1" applyBorder="1"/>
    <xf numFmtId="4" fontId="12" fillId="2" borderId="1" xfId="0" applyNumberFormat="1" applyFont="1" applyFill="1" applyBorder="1"/>
    <xf numFmtId="4" fontId="12" fillId="2" borderId="6" xfId="0" applyNumberFormat="1" applyFont="1" applyFill="1" applyBorder="1"/>
    <xf numFmtId="0" fontId="12" fillId="0" borderId="1" xfId="0" applyFont="1" applyBorder="1" applyAlignment="1">
      <alignment wrapText="1"/>
    </xf>
    <xf numFmtId="10" fontId="0" fillId="0" borderId="0" xfId="0" applyNumberFormat="1"/>
    <xf numFmtId="10" fontId="19" fillId="0" borderId="0" xfId="0" applyNumberFormat="1" applyFont="1"/>
    <xf numFmtId="4" fontId="12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horizontal="right" wrapText="1"/>
    </xf>
    <xf numFmtId="2" fontId="11" fillId="0" borderId="0" xfId="0" applyNumberFormat="1" applyFont="1" applyBorder="1" applyAlignment="1">
      <alignment horizontal="center" vertical="center"/>
    </xf>
    <xf numFmtId="2" fontId="9" fillId="2" borderId="0" xfId="0" applyNumberFormat="1" applyFont="1" applyFill="1" applyBorder="1" applyAlignment="1">
      <alignment horizontal="center" vertical="center"/>
    </xf>
    <xf numFmtId="4" fontId="9" fillId="6" borderId="7" xfId="0" applyNumberFormat="1" applyFont="1" applyFill="1" applyBorder="1"/>
    <xf numFmtId="2" fontId="9" fillId="6" borderId="7" xfId="0" applyNumberFormat="1" applyFont="1" applyFill="1" applyBorder="1"/>
    <xf numFmtId="4" fontId="9" fillId="6" borderId="7" xfId="0" applyNumberFormat="1" applyFont="1" applyFill="1" applyBorder="1" applyAlignment="1"/>
    <xf numFmtId="4" fontId="9" fillId="6" borderId="7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8" fillId="3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10" fillId="2" borderId="0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4" fontId="10" fillId="7" borderId="0" xfId="0" applyNumberFormat="1" applyFont="1" applyFill="1" applyBorder="1"/>
    <xf numFmtId="4" fontId="8" fillId="0" borderId="0" xfId="0" applyNumberFormat="1" applyFont="1" applyFill="1" applyBorder="1" applyAlignment="1"/>
    <xf numFmtId="2" fontId="10" fillId="6" borderId="0" xfId="0" applyNumberFormat="1" applyFont="1" applyFill="1" applyBorder="1"/>
    <xf numFmtId="0" fontId="18" fillId="0" borderId="0" xfId="0" applyFont="1"/>
    <xf numFmtId="0" fontId="11" fillId="4" borderId="0" xfId="0" applyFont="1" applyFill="1"/>
    <xf numFmtId="0" fontId="11" fillId="4" borderId="1" xfId="0" applyFont="1" applyFill="1" applyBorder="1" applyAlignment="1">
      <alignment wrapText="1"/>
    </xf>
    <xf numFmtId="164" fontId="11" fillId="4" borderId="1" xfId="0" applyNumberFormat="1" applyFont="1" applyFill="1" applyBorder="1" applyAlignment="1">
      <alignment wrapText="1"/>
    </xf>
    <xf numFmtId="0" fontId="11" fillId="4" borderId="1" xfId="0" applyFont="1" applyFill="1" applyBorder="1"/>
    <xf numFmtId="164" fontId="11" fillId="4" borderId="1" xfId="0" applyNumberFormat="1" applyFont="1" applyFill="1" applyBorder="1"/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 applyAlignment="1">
      <alignment wrapText="1"/>
    </xf>
    <xf numFmtId="0" fontId="11" fillId="2" borderId="1" xfId="0" applyNumberFormat="1" applyFont="1" applyFill="1" applyBorder="1"/>
    <xf numFmtId="1" fontId="11" fillId="2" borderId="1" xfId="0" applyNumberFormat="1" applyFont="1" applyFill="1" applyBorder="1"/>
    <xf numFmtId="2" fontId="11" fillId="0" borderId="1" xfId="0" applyNumberFormat="1" applyFont="1" applyBorder="1" applyAlignment="1">
      <alignment wrapText="1"/>
    </xf>
    <xf numFmtId="4" fontId="10" fillId="6" borderId="7" xfId="0" applyNumberFormat="1" applyFont="1" applyFill="1" applyBorder="1"/>
    <xf numFmtId="0" fontId="18" fillId="0" borderId="0" xfId="0" applyFont="1" applyFill="1"/>
    <xf numFmtId="2" fontId="11" fillId="0" borderId="6" xfId="0" applyNumberFormat="1" applyFont="1" applyBorder="1" applyAlignment="1">
      <alignment wrapText="1"/>
    </xf>
    <xf numFmtId="0" fontId="11" fillId="2" borderId="0" xfId="0" applyFont="1" applyFill="1"/>
    <xf numFmtId="0" fontId="10" fillId="0" borderId="0" xfId="0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right" wrapText="1"/>
    </xf>
    <xf numFmtId="2" fontId="11" fillId="0" borderId="2" xfId="0" applyNumberFormat="1" applyFont="1" applyBorder="1" applyAlignment="1">
      <alignment wrapText="1"/>
    </xf>
    <xf numFmtId="4" fontId="10" fillId="7" borderId="8" xfId="0" applyNumberFormat="1" applyFont="1" applyFill="1" applyBorder="1"/>
    <xf numFmtId="4" fontId="10" fillId="0" borderId="2" xfId="0" applyNumberFormat="1" applyFont="1" applyBorder="1"/>
    <xf numFmtId="0" fontId="20" fillId="0" borderId="0" xfId="0" applyFont="1"/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7" fillId="0" borderId="14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4" fontId="8" fillId="7" borderId="8" xfId="0" applyNumberFormat="1" applyFont="1" applyFill="1" applyBorder="1" applyAlignment="1">
      <alignment horizontal="center"/>
    </xf>
    <xf numFmtId="4" fontId="8" fillId="7" borderId="16" xfId="0" applyNumberFormat="1" applyFont="1" applyFill="1" applyBorder="1" applyAlignment="1">
      <alignment horizontal="center"/>
    </xf>
    <xf numFmtId="0" fontId="8" fillId="3" borderId="0" xfId="0" applyFont="1" applyFill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2" fontId="7" fillId="0" borderId="6" xfId="0" applyNumberFormat="1" applyFont="1" applyBorder="1" applyAlignment="1">
      <alignment horizontal="center" wrapText="1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2" fontId="9" fillId="6" borderId="11" xfId="0" applyNumberFormat="1" applyFont="1" applyFill="1" applyBorder="1" applyAlignment="1">
      <alignment horizontal="center"/>
    </xf>
    <xf numFmtId="2" fontId="9" fillId="6" borderId="12" xfId="0" applyNumberFormat="1" applyFont="1" applyFill="1" applyBorder="1" applyAlignment="1">
      <alignment horizontal="center"/>
    </xf>
    <xf numFmtId="0" fontId="6" fillId="3" borderId="0" xfId="0" applyFont="1" applyFill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11" fillId="2" borderId="4" xfId="0" applyFont="1" applyFill="1" applyBorder="1" applyAlignment="1">
      <alignment horizontal="left" wrapText="1"/>
    </xf>
    <xf numFmtId="4" fontId="7" fillId="0" borderId="0" xfId="0" applyNumberFormat="1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0" xfId="0" applyFont="1" applyBorder="1" applyAlignment="1"/>
    <xf numFmtId="4" fontId="0" fillId="0" borderId="0" xfId="0" applyNumberFormat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4" fontId="11" fillId="0" borderId="6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0" fillId="0" borderId="4" xfId="0" applyBorder="1" applyAlignment="1">
      <alignment horizontal="left"/>
    </xf>
    <xf numFmtId="0" fontId="18" fillId="0" borderId="4" xfId="0" applyFont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8" fillId="0" borderId="1" xfId="0" applyFont="1" applyBorder="1" applyAlignment="1">
      <alignment horizontal="left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0" borderId="1" xfId="0" applyFont="1" applyBorder="1" applyAlignment="1">
      <alignment horizontal="center"/>
    </xf>
    <xf numFmtId="2" fontId="11" fillId="2" borderId="2" xfId="0" applyNumberFormat="1" applyFont="1" applyFill="1" applyBorder="1" applyAlignment="1">
      <alignment horizontal="left" wrapText="1"/>
    </xf>
    <xf numFmtId="2" fontId="11" fillId="2" borderId="3" xfId="0" applyNumberFormat="1" applyFont="1" applyFill="1" applyBorder="1" applyAlignment="1">
      <alignment horizontal="left" wrapText="1"/>
    </xf>
    <xf numFmtId="2" fontId="11" fillId="2" borderId="4" xfId="0" applyNumberFormat="1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/>
    </xf>
    <xf numFmtId="0" fontId="11" fillId="2" borderId="4" xfId="0" applyFont="1" applyFill="1" applyBorder="1" applyAlignment="1"/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1" xfId="0" applyFont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7" fillId="4" borderId="1" xfId="0" applyFont="1" applyFill="1" applyBorder="1" applyAlignment="1">
      <alignment horizontal="left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1" fillId="0" borderId="1" xfId="0" applyFont="1" applyBorder="1" applyAlignment="1">
      <alignment horizontal="center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2" fontId="10" fillId="0" borderId="5" xfId="0" applyNumberFormat="1" applyFont="1" applyFill="1" applyBorder="1" applyAlignment="1">
      <alignment horizontal="center" vertical="center"/>
    </xf>
    <xf numFmtId="0" fontId="5" fillId="0" borderId="0" xfId="0" applyFont="1" applyAlignment="1"/>
    <xf numFmtId="2" fontId="11" fillId="0" borderId="6" xfId="0" applyNumberFormat="1" applyFont="1" applyBorder="1" applyAlignment="1">
      <alignment horizontal="center" wrapText="1"/>
    </xf>
    <xf numFmtId="2" fontId="10" fillId="6" borderId="11" xfId="0" applyNumberFormat="1" applyFont="1" applyFill="1" applyBorder="1" applyAlignment="1">
      <alignment horizontal="center"/>
    </xf>
    <xf numFmtId="2" fontId="10" fillId="6" borderId="12" xfId="0" applyNumberFormat="1" applyFont="1" applyFill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2" fontId="11" fillId="0" borderId="17" xfId="0" applyNumberFormat="1" applyFont="1" applyBorder="1" applyAlignment="1">
      <alignment horizontal="center"/>
    </xf>
    <xf numFmtId="2" fontId="11" fillId="0" borderId="18" xfId="0" applyNumberFormat="1" applyFont="1" applyBorder="1" applyAlignment="1">
      <alignment horizontal="center"/>
    </xf>
    <xf numFmtId="2" fontId="10" fillId="6" borderId="8" xfId="0" applyNumberFormat="1" applyFont="1" applyFill="1" applyBorder="1" applyAlignment="1">
      <alignment horizontal="center"/>
    </xf>
    <xf numFmtId="0" fontId="0" fillId="0" borderId="16" xfId="0" applyBorder="1"/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2"/>
  <sheetViews>
    <sheetView view="pageBreakPreview" topLeftCell="A4" zoomScale="60" zoomScaleNormal="70" workbookViewId="0">
      <selection activeCell="A113" sqref="A113:XFD115"/>
    </sheetView>
  </sheetViews>
  <sheetFormatPr defaultRowHeight="14.4"/>
  <cols>
    <col min="1" max="1" width="10.5546875" customWidth="1"/>
    <col min="2" max="2" width="4.88671875" customWidth="1"/>
    <col min="3" max="3" width="5.5546875" customWidth="1"/>
    <col min="4" max="6" width="11.6640625" customWidth="1"/>
    <col min="7" max="7" width="14" customWidth="1"/>
    <col min="8" max="8" width="13.77734375" customWidth="1"/>
    <col min="9" max="9" width="11.6640625" customWidth="1"/>
    <col min="10" max="10" width="13.33203125" customWidth="1"/>
    <col min="11" max="13" width="11.6640625" customWidth="1"/>
    <col min="14" max="14" width="14.6640625" customWidth="1"/>
    <col min="15" max="15" width="13.44140625" customWidth="1"/>
    <col min="16" max="16" width="14.88671875" customWidth="1"/>
    <col min="17" max="17" width="20" customWidth="1"/>
    <col min="18" max="18" width="12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67"/>
      <c r="F3" s="40"/>
      <c r="G3" s="40"/>
    </row>
    <row r="4" spans="1:15" ht="40.5" customHeight="1">
      <c r="A4" s="290"/>
      <c r="B4" s="290"/>
      <c r="C4" s="290"/>
      <c r="D4" s="41"/>
      <c r="E4" s="290"/>
      <c r="F4" s="290"/>
      <c r="G4" s="280" t="s">
        <v>126</v>
      </c>
      <c r="H4" s="280"/>
      <c r="I4" s="280"/>
      <c r="J4" s="280"/>
      <c r="K4" s="280"/>
      <c r="L4" s="280"/>
      <c r="M4" s="280"/>
      <c r="N4" s="280"/>
      <c r="O4" s="157">
        <v>0.63800000000000001</v>
      </c>
    </row>
    <row r="5" spans="1:15" ht="15.6">
      <c r="A5" s="3"/>
      <c r="B5" s="3"/>
      <c r="C5" s="3"/>
      <c r="D5" s="4"/>
      <c r="E5" s="3"/>
      <c r="F5" s="3"/>
      <c r="G5" s="4"/>
    </row>
    <row r="6" spans="1:15">
      <c r="A6" s="5"/>
      <c r="B6" s="5"/>
      <c r="C6" s="5"/>
      <c r="D6" s="5"/>
      <c r="E6" s="5"/>
      <c r="F6" s="5"/>
      <c r="G6" s="5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  <c r="N7" s="288"/>
    </row>
    <row r="8" spans="1:15" ht="15.6">
      <c r="A8" s="286" t="s">
        <v>149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  <c r="N8" s="288"/>
    </row>
    <row r="10" spans="1: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5" ht="17.25" customHeight="1">
      <c r="A12" s="281" t="s">
        <v>73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  <c r="N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ht="15.6">
      <c r="A14" s="7" t="s">
        <v>147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M16" s="27"/>
      <c r="O16" s="115"/>
    </row>
    <row r="17" spans="1:15">
      <c r="A17" s="273" t="s">
        <v>86</v>
      </c>
      <c r="B17" s="273"/>
      <c r="C17" s="273"/>
      <c r="D17" s="273"/>
      <c r="E17" s="273"/>
      <c r="F17" s="107">
        <f>5*63.8%-0.01</f>
        <v>3.18</v>
      </c>
      <c r="G17" s="278" t="s">
        <v>1</v>
      </c>
      <c r="H17" s="278"/>
      <c r="I17" s="278"/>
      <c r="J17" s="278"/>
      <c r="K17" s="278"/>
      <c r="L17" s="107">
        <f>1*63.8%</f>
        <v>0.63800000000000001</v>
      </c>
      <c r="M17" s="160"/>
      <c r="N17" s="116"/>
      <c r="O17">
        <v>0.64</v>
      </c>
    </row>
    <row r="18" spans="1:15">
      <c r="A18" s="273" t="s">
        <v>87</v>
      </c>
      <c r="B18" s="273"/>
      <c r="C18" s="273"/>
      <c r="D18" s="273"/>
      <c r="E18" s="273"/>
      <c r="F18" s="107">
        <f>10.6*63.8%</f>
        <v>6.7627999999999995</v>
      </c>
      <c r="G18" s="239" t="s">
        <v>88</v>
      </c>
      <c r="H18" s="240"/>
      <c r="I18" s="240"/>
      <c r="J18" s="240"/>
      <c r="K18" s="241"/>
      <c r="L18" s="107">
        <f>3*63.8%</f>
        <v>1.9140000000000001</v>
      </c>
      <c r="M18" s="160"/>
      <c r="N18" s="116"/>
      <c r="O18">
        <v>1.91</v>
      </c>
    </row>
    <row r="19" spans="1:15">
      <c r="A19" s="239" t="s">
        <v>100</v>
      </c>
      <c r="B19" s="240"/>
      <c r="C19" s="240"/>
      <c r="D19" s="240"/>
      <c r="E19" s="255"/>
      <c r="F19" s="107">
        <f>6.5*63.8%</f>
        <v>4.1470000000000002</v>
      </c>
      <c r="G19" s="273" t="s">
        <v>89</v>
      </c>
      <c r="H19" s="273"/>
      <c r="I19" s="273"/>
      <c r="J19" s="273"/>
      <c r="K19" s="273"/>
      <c r="L19" s="107">
        <f>1*63.8%</f>
        <v>0.63800000000000001</v>
      </c>
      <c r="M19" s="160"/>
      <c r="N19" s="116"/>
      <c r="O19">
        <v>0.64</v>
      </c>
    </row>
    <row r="20" spans="1:15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07">
        <f>1*63.8%</f>
        <v>0.63800000000000001</v>
      </c>
      <c r="M20" s="160"/>
      <c r="O20">
        <v>0.64</v>
      </c>
    </row>
    <row r="21" spans="1:15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07">
        <f>1*63.8%</f>
        <v>0.63800000000000001</v>
      </c>
      <c r="M21" s="160"/>
      <c r="O21">
        <v>0.64</v>
      </c>
    </row>
    <row r="22" spans="1:15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07">
        <f>0.5*63.8%</f>
        <v>0.31900000000000001</v>
      </c>
      <c r="M22" s="160"/>
      <c r="O22">
        <v>0.32</v>
      </c>
    </row>
    <row r="23" spans="1:15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07">
        <f>1*63.8%</f>
        <v>0.63800000000000001</v>
      </c>
      <c r="M23" s="160"/>
      <c r="O23">
        <v>0.64</v>
      </c>
    </row>
    <row r="24" spans="1:15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07">
        <f>1*63.8%</f>
        <v>0.63800000000000001</v>
      </c>
      <c r="M24" s="160"/>
      <c r="O24">
        <v>0.64</v>
      </c>
    </row>
    <row r="25" spans="1:15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07">
        <f>1*63.8%</f>
        <v>0.63800000000000001</v>
      </c>
      <c r="M25" s="160"/>
      <c r="O25">
        <v>0.64</v>
      </c>
    </row>
    <row r="26" spans="1:15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07">
        <f>2*63.8%</f>
        <v>1.276</v>
      </c>
      <c r="M26" s="160"/>
      <c r="O26">
        <v>1.28</v>
      </c>
    </row>
    <row r="27" spans="1:15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07">
        <f>1*63.8%</f>
        <v>0.63800000000000001</v>
      </c>
      <c r="M27" s="160"/>
      <c r="O27">
        <v>0.64</v>
      </c>
    </row>
    <row r="28" spans="1:15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07">
        <f>4.75*63.8%</f>
        <v>3.0305</v>
      </c>
      <c r="M28" s="160"/>
      <c r="O28">
        <v>3.03</v>
      </c>
    </row>
    <row r="29" spans="1:15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07">
        <f>3.5*63.8%</f>
        <v>2.2330000000000001</v>
      </c>
      <c r="M29" s="160"/>
      <c r="O29">
        <v>2.23</v>
      </c>
    </row>
    <row r="30" spans="1:15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07">
        <f>2*63.8%</f>
        <v>1.276</v>
      </c>
      <c r="M30" s="160"/>
      <c r="O30">
        <v>1.28</v>
      </c>
    </row>
    <row r="31" spans="1:15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07">
        <f>0.5*63.8%</f>
        <v>0.31900000000000001</v>
      </c>
      <c r="M31" s="160"/>
      <c r="O31">
        <v>0.32</v>
      </c>
    </row>
    <row r="32" spans="1:15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07">
        <f>0.5*63.8%</f>
        <v>0.31900000000000001</v>
      </c>
      <c r="M32" s="160"/>
      <c r="O32">
        <v>0.32</v>
      </c>
    </row>
    <row r="33" spans="1:17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07">
        <f>11*63.8%-0.01</f>
        <v>7.008</v>
      </c>
      <c r="M33" s="160"/>
      <c r="O33">
        <v>7.02</v>
      </c>
    </row>
    <row r="34" spans="1:17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07">
        <f>2*63.8%</f>
        <v>1.276</v>
      </c>
      <c r="M34" s="160"/>
      <c r="O34">
        <v>1.28</v>
      </c>
    </row>
    <row r="35" spans="1:17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07">
        <f>1*63.8%</f>
        <v>0.63800000000000001</v>
      </c>
      <c r="M35" s="160"/>
      <c r="O35">
        <v>0.64</v>
      </c>
    </row>
    <row r="36" spans="1:17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07">
        <f>1*63.8%</f>
        <v>0.63800000000000001</v>
      </c>
      <c r="M36" s="160"/>
      <c r="O36">
        <v>0.64</v>
      </c>
    </row>
    <row r="37" spans="1:17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07">
        <f>0.5*63.8%</f>
        <v>0.31900000000000001</v>
      </c>
      <c r="M37" s="160"/>
      <c r="O37">
        <f>F38/48.5%</f>
        <v>29.051134020618559</v>
      </c>
      <c r="P37">
        <f>L38/48.5%</f>
        <v>52.926804123711349</v>
      </c>
    </row>
    <row r="38" spans="1:17" ht="15" customHeight="1">
      <c r="A38" s="264" t="s">
        <v>2</v>
      </c>
      <c r="B38" s="264"/>
      <c r="C38" s="264"/>
      <c r="D38" s="264"/>
      <c r="E38" s="264"/>
      <c r="F38" s="144">
        <f>SUM(F17:F37)</f>
        <v>14.0898</v>
      </c>
      <c r="G38" s="242" t="s">
        <v>2</v>
      </c>
      <c r="H38" s="242"/>
      <c r="I38" s="242"/>
      <c r="J38" s="242"/>
      <c r="K38" s="242"/>
      <c r="L38" s="145">
        <f>SUM(L17:L37)</f>
        <v>25.669500000000003</v>
      </c>
      <c r="M38" s="161"/>
      <c r="O38" s="115">
        <f>F38+L38+'Услуга №2'!F38+'Услуга №2'!L38+'Работа №1'!F38+'Работа №1'!L38+'Работа №2'!F38+'Работа №2'!L38+'Работа №3'!F38+'Работа №3'!L38+'Работа №4'!F38+'Работа №4'!L38</f>
        <v>62.34875000000001</v>
      </c>
      <c r="Q38" s="115">
        <f>F38+L38</f>
        <v>39.759300000000003</v>
      </c>
    </row>
    <row r="39" spans="1:17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69"/>
      <c r="G39" s="274" t="s">
        <v>2</v>
      </c>
      <c r="H39" s="274"/>
      <c r="I39" s="274"/>
      <c r="J39" s="274"/>
      <c r="K39" s="274"/>
      <c r="L39" s="274"/>
      <c r="M39" s="274"/>
      <c r="N39" s="274"/>
    </row>
    <row r="40" spans="1:17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  <c r="N40" s="226"/>
    </row>
    <row r="41" spans="1:17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1:17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/>
      <c r="N42" s="18" t="s">
        <v>5</v>
      </c>
    </row>
    <row r="43" spans="1:17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/>
      <c r="N43" s="18" t="s">
        <v>37</v>
      </c>
    </row>
    <row r="44" spans="1:17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/>
      <c r="N44" s="21">
        <f>H44*K44</f>
        <v>4970</v>
      </c>
    </row>
    <row r="45" spans="1:17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/>
      <c r="N45" s="21">
        <f t="shared" ref="N45:N62" si="1">H45*K45</f>
        <v>53870</v>
      </c>
    </row>
    <row r="46" spans="1:17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/>
      <c r="N46" s="21">
        <f t="shared" si="1"/>
        <v>38000</v>
      </c>
    </row>
    <row r="47" spans="1:17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/>
      <c r="N47" s="21">
        <f t="shared" si="1"/>
        <v>0</v>
      </c>
    </row>
    <row r="48" spans="1:17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/>
      <c r="N48" s="21">
        <f t="shared" si="1"/>
        <v>0</v>
      </c>
    </row>
    <row r="49" spans="1:17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/>
      <c r="N49" s="21">
        <f t="shared" si="1"/>
        <v>0</v>
      </c>
    </row>
    <row r="50" spans="1:17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/>
      <c r="N50" s="21">
        <f t="shared" si="1"/>
        <v>0</v>
      </c>
    </row>
    <row r="51" spans="1:17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/>
      <c r="N51" s="21">
        <f t="shared" si="1"/>
        <v>0</v>
      </c>
    </row>
    <row r="52" spans="1:17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/>
      <c r="N52" s="21">
        <f t="shared" si="1"/>
        <v>0</v>
      </c>
    </row>
    <row r="53" spans="1:17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/>
      <c r="N53" s="21">
        <f t="shared" si="1"/>
        <v>0</v>
      </c>
    </row>
    <row r="54" spans="1:17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2"/>
      <c r="N54" s="21">
        <f t="shared" si="1"/>
        <v>0</v>
      </c>
    </row>
    <row r="55" spans="1:17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2"/>
      <c r="N55" s="21">
        <f t="shared" si="1"/>
        <v>0</v>
      </c>
    </row>
    <row r="56" spans="1:17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2"/>
      <c r="N56" s="21">
        <f t="shared" si="1"/>
        <v>0</v>
      </c>
    </row>
    <row r="57" spans="1:17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2"/>
      <c r="N57" s="21">
        <f t="shared" si="1"/>
        <v>0</v>
      </c>
    </row>
    <row r="58" spans="1:17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2"/>
      <c r="N58" s="21">
        <f t="shared" si="1"/>
        <v>0</v>
      </c>
    </row>
    <row r="59" spans="1:17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2"/>
      <c r="N59" s="21">
        <f t="shared" si="1"/>
        <v>0</v>
      </c>
    </row>
    <row r="60" spans="1:17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2"/>
      <c r="N60" s="21">
        <f t="shared" si="1"/>
        <v>0</v>
      </c>
    </row>
    <row r="61" spans="1:17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2"/>
      <c r="N61" s="21">
        <f t="shared" si="1"/>
        <v>0</v>
      </c>
    </row>
    <row r="62" spans="1:17" hidden="1">
      <c r="A62" s="248" t="s">
        <v>59</v>
      </c>
      <c r="B62" s="248"/>
      <c r="C62" s="248"/>
      <c r="D62" s="248"/>
      <c r="E62" s="19"/>
      <c r="F62" s="19"/>
      <c r="G62" s="19"/>
      <c r="H62" s="23"/>
      <c r="I62" s="23"/>
      <c r="J62" s="19"/>
      <c r="K62" s="22"/>
      <c r="L62" s="22"/>
      <c r="M62" s="22"/>
      <c r="N62" s="22">
        <f t="shared" si="1"/>
        <v>0</v>
      </c>
    </row>
    <row r="63" spans="1:17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06"/>
      <c r="M63" s="143"/>
      <c r="N63" s="22">
        <f>N62+N46+N45+N44</f>
        <v>96840</v>
      </c>
    </row>
    <row r="64" spans="1:17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Q64">
        <f>Q38/63.8%</f>
        <v>62.318652037617561</v>
      </c>
    </row>
    <row r="65" spans="1:15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</row>
    <row r="66" spans="1:15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  <c r="N66" s="214"/>
    </row>
    <row r="67" spans="1:15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33" t="s">
        <v>44</v>
      </c>
      <c r="I67" s="8" t="s">
        <v>63</v>
      </c>
      <c r="J67" s="8" t="s">
        <v>69</v>
      </c>
      <c r="K67" s="8" t="s">
        <v>46</v>
      </c>
      <c r="L67" s="27"/>
      <c r="M67" s="27"/>
      <c r="N67" s="27"/>
    </row>
    <row r="68" spans="1:15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4">
        <v>7</v>
      </c>
      <c r="K68" s="35">
        <v>8</v>
      </c>
      <c r="L68" s="108"/>
      <c r="M68" s="108"/>
      <c r="N68" s="27"/>
    </row>
    <row r="69" spans="1:15" ht="34.200000000000003" customHeight="1" thickBot="1">
      <c r="A69" s="223" t="s">
        <v>66</v>
      </c>
      <c r="B69" s="223"/>
      <c r="C69" s="223"/>
      <c r="D69" s="223"/>
      <c r="E69" s="36">
        <f>G69/12/F69</f>
        <v>33351.710137213158</v>
      </c>
      <c r="F69" s="36">
        <v>14.09</v>
      </c>
      <c r="G69" s="124">
        <v>5639107.1500000004</v>
      </c>
      <c r="H69" s="36">
        <v>7342117.5099999998</v>
      </c>
      <c r="I69" s="43">
        <v>435</v>
      </c>
      <c r="J69" s="36">
        <f>H69/I69</f>
        <v>16878.431057471265</v>
      </c>
      <c r="K69" s="56">
        <f>H69/11508021.17*100</f>
        <v>63.800000030761147</v>
      </c>
      <c r="L69" s="109"/>
      <c r="M69" s="109"/>
      <c r="N69" s="15"/>
    </row>
    <row r="70" spans="1:15" ht="15" thickBot="1">
      <c r="A70" s="258" t="s">
        <v>47</v>
      </c>
      <c r="B70" s="258"/>
      <c r="C70" s="258"/>
      <c r="D70" s="258"/>
      <c r="E70" s="61"/>
      <c r="F70" s="95"/>
      <c r="G70" s="95"/>
      <c r="H70" s="65">
        <f>H69</f>
        <v>7342117.5099999998</v>
      </c>
      <c r="I70" s="46"/>
      <c r="J70" s="164">
        <f>J69</f>
        <v>16878.431057471265</v>
      </c>
      <c r="K70" s="44"/>
      <c r="L70" s="44"/>
      <c r="M70" s="44"/>
      <c r="N70" s="15"/>
    </row>
    <row r="71" spans="1:15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</row>
    <row r="72" spans="1:15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</row>
    <row r="73" spans="1:15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</row>
    <row r="74" spans="1:15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0"/>
      <c r="O74" s="115"/>
    </row>
    <row r="75" spans="1:15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10"/>
      <c r="N75" s="27"/>
    </row>
    <row r="76" spans="1:15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552.93333333333328</v>
      </c>
      <c r="H76" s="152">
        <f>10400*O4</f>
        <v>6635.2</v>
      </c>
      <c r="I76" s="43">
        <v>435</v>
      </c>
      <c r="J76" s="36">
        <f>H76/I76</f>
        <v>15.253333333333332</v>
      </c>
      <c r="K76" s="10"/>
      <c r="L76" s="10"/>
      <c r="M76" s="10"/>
      <c r="N76" s="16"/>
    </row>
    <row r="77" spans="1:15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2177.1750000000002</v>
      </c>
      <c r="H77" s="152">
        <f>40950*O4</f>
        <v>26126.100000000002</v>
      </c>
      <c r="I77" s="43">
        <v>435</v>
      </c>
      <c r="J77" s="36">
        <f>H77/I77</f>
        <v>60.06</v>
      </c>
      <c r="K77" s="10"/>
      <c r="L77" s="10"/>
      <c r="M77" s="10"/>
      <c r="N77" s="10"/>
    </row>
    <row r="78" spans="1:15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32761.300000000003</v>
      </c>
      <c r="I78" s="46"/>
      <c r="J78" s="165">
        <f>SUM(J76:J77)</f>
        <v>75.313333333333333</v>
      </c>
      <c r="K78" s="10"/>
      <c r="L78" s="10"/>
      <c r="M78" s="10"/>
      <c r="N78" s="10"/>
    </row>
    <row r="79" spans="1:15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</row>
    <row r="80" spans="1:15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  <c r="N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  <c r="N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10"/>
      <c r="N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45.157106913069491</v>
      </c>
      <c r="G83" s="153">
        <v>6569.73</v>
      </c>
      <c r="H83" s="152">
        <f>465000*O4</f>
        <v>296670</v>
      </c>
      <c r="I83" s="43">
        <v>435</v>
      </c>
      <c r="J83" s="36">
        <f t="shared" ref="J83:J87" si="2">H83/I83</f>
        <v>682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431.55036650416804</v>
      </c>
      <c r="G84" s="153">
        <v>1768.22</v>
      </c>
      <c r="H84" s="152">
        <f>1196043.87*O4</f>
        <v>763075.98906000005</v>
      </c>
      <c r="I84" s="43">
        <v>435</v>
      </c>
      <c r="J84" s="36">
        <f t="shared" si="2"/>
        <v>1754.1976760000002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52">
        <f>147291.76*O4</f>
        <v>93972.142880000014</v>
      </c>
      <c r="I85" s="43">
        <v>435</v>
      </c>
      <c r="J85" s="36">
        <f t="shared" si="2"/>
        <v>216.0279146666667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52">
        <f>214508.24*O4</f>
        <v>136856.25711999999</v>
      </c>
      <c r="I86" s="43">
        <v>435</v>
      </c>
      <c r="J86" s="45">
        <f t="shared" si="2"/>
        <v>314.61208533333331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52">
        <f>36456.13*O4</f>
        <v>23259.01094</v>
      </c>
      <c r="I87" s="43">
        <v>435</v>
      </c>
      <c r="J87" s="45">
        <f t="shared" si="2"/>
        <v>53.46899066666667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1313833.3999999999</v>
      </c>
      <c r="I88" s="46"/>
      <c r="J88" s="165">
        <f>SUM(J83:J87)</f>
        <v>3020.3066666666668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10"/>
      <c r="L89" s="10"/>
      <c r="M89" s="10"/>
      <c r="N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  <c r="N90" s="205"/>
    </row>
    <row r="91" spans="1:17" ht="69.599999999999994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8" t="s">
        <v>74</v>
      </c>
      <c r="I91" s="8" t="s">
        <v>69</v>
      </c>
      <c r="J91" s="10"/>
      <c r="K91" s="10"/>
      <c r="L91" s="10"/>
      <c r="M91" s="10"/>
    </row>
    <row r="92" spans="1:17" ht="15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94385.72</v>
      </c>
      <c r="H92" s="43">
        <v>435</v>
      </c>
      <c r="I92" s="89">
        <f>G92/H92</f>
        <v>216.97866666666667</v>
      </c>
      <c r="J92" s="10"/>
      <c r="K92" s="10"/>
      <c r="L92" s="10"/>
      <c r="M92" s="10"/>
    </row>
    <row r="93" spans="1:17" ht="15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68425.5</v>
      </c>
      <c r="H93" s="43">
        <v>435</v>
      </c>
      <c r="I93" s="89">
        <f t="shared" ref="I93:I97" si="3">G93/H93</f>
        <v>157.30000000000001</v>
      </c>
      <c r="J93" s="10"/>
      <c r="K93" s="10"/>
      <c r="L93" s="10"/>
      <c r="M93" s="10"/>
    </row>
    <row r="94" spans="1:17" ht="15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6635.2</v>
      </c>
      <c r="H94" s="43">
        <v>435</v>
      </c>
      <c r="I94" s="89">
        <f t="shared" si="3"/>
        <v>15.253333333333332</v>
      </c>
      <c r="J94" s="10"/>
      <c r="K94" s="10"/>
      <c r="L94" s="10"/>
      <c r="M94" s="10"/>
    </row>
    <row r="95" spans="1:17" ht="15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25520</v>
      </c>
      <c r="H95" s="43">
        <v>435</v>
      </c>
      <c r="I95" s="89">
        <f t="shared" si="3"/>
        <v>58.666666666666664</v>
      </c>
      <c r="J95" s="10"/>
      <c r="K95" s="10"/>
      <c r="L95" s="10"/>
      <c r="M95" s="10"/>
    </row>
    <row r="96" spans="1:17" ht="28.5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1914</v>
      </c>
      <c r="H96" s="43">
        <v>435</v>
      </c>
      <c r="I96" s="89">
        <f>G96/H96</f>
        <v>4.4000000000000004</v>
      </c>
      <c r="J96" s="10"/>
      <c r="K96" s="15"/>
      <c r="L96" s="15"/>
      <c r="M96" s="15"/>
    </row>
    <row r="97" spans="1:14" ht="16.5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2406.5360000000001</v>
      </c>
      <c r="H97" s="43">
        <v>435</v>
      </c>
      <c r="I97" s="89">
        <f t="shared" si="3"/>
        <v>5.5322666666666667</v>
      </c>
      <c r="J97" s="10"/>
      <c r="K97" s="10"/>
      <c r="L97" s="10"/>
      <c r="M97" s="10"/>
    </row>
    <row r="98" spans="1:14" ht="30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1914</v>
      </c>
      <c r="H98" s="43">
        <v>435</v>
      </c>
      <c r="I98" s="89">
        <f t="shared" ref="I98" si="4">G98/H98</f>
        <v>4.4000000000000004</v>
      </c>
      <c r="J98" s="10"/>
      <c r="K98" s="10"/>
      <c r="L98" s="10"/>
      <c r="M98" s="10"/>
    </row>
    <row r="99" spans="1:14" ht="15" customHeight="1" thickBot="1">
      <c r="A99" s="96" t="s">
        <v>54</v>
      </c>
      <c r="B99" s="97"/>
      <c r="C99" s="97"/>
      <c r="D99" s="97"/>
      <c r="E99" s="97"/>
      <c r="F99" s="97"/>
      <c r="G99" s="66">
        <f>SUM(G92:G98)</f>
        <v>201200.95600000001</v>
      </c>
      <c r="I99" s="162">
        <f>SUM(I92:I98)</f>
        <v>462.53093333333334</v>
      </c>
      <c r="K99" s="10"/>
      <c r="L99" s="10"/>
      <c r="M99" s="10"/>
      <c r="N99" s="10"/>
    </row>
    <row r="100" spans="1:14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  <c r="N101" s="205"/>
    </row>
    <row r="102" spans="1:14" ht="69.599999999999994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  <c r="N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18278.7</v>
      </c>
      <c r="H103" s="43">
        <v>435</v>
      </c>
      <c r="I103" s="90">
        <f>G103/H103</f>
        <v>42.02</v>
      </c>
      <c r="J103" s="10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22045.452000000001</v>
      </c>
      <c r="H104" s="43">
        <v>435</v>
      </c>
      <c r="I104" s="90">
        <f t="shared" ref="I104:I109" si="5">G104/H104</f>
        <v>50.679200000000002</v>
      </c>
      <c r="J104" s="10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94728.964000000007</v>
      </c>
      <c r="H105" s="43">
        <v>435</v>
      </c>
      <c r="I105" s="90">
        <f t="shared" si="5"/>
        <v>217.76773333333335</v>
      </c>
      <c r="J105" s="10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170236.67232000001</v>
      </c>
      <c r="H106" s="43">
        <v>435</v>
      </c>
      <c r="I106" s="90">
        <f t="shared" si="5"/>
        <v>391.34867200000002</v>
      </c>
      <c r="J106" s="10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9472.6986199999992</v>
      </c>
      <c r="H107" s="43">
        <v>435</v>
      </c>
      <c r="I107" s="90">
        <f t="shared" si="5"/>
        <v>21.776318666666665</v>
      </c>
      <c r="J107" s="10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4466</v>
      </c>
      <c r="H108" s="43">
        <v>435</v>
      </c>
      <c r="I108" s="90">
        <f t="shared" ref="I108" si="6">G108/H108</f>
        <v>10.266666666666667</v>
      </c>
      <c r="J108" s="10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5391.1</v>
      </c>
      <c r="H109" s="43">
        <v>435</v>
      </c>
      <c r="I109" s="90">
        <f t="shared" si="5"/>
        <v>12.393333333333334</v>
      </c>
      <c r="J109" s="10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324619.58694000001</v>
      </c>
      <c r="H110" s="44"/>
      <c r="I110" s="162">
        <f>SUM(I103:I109)</f>
        <v>746.25192400000003</v>
      </c>
      <c r="J110" s="10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76"/>
      <c r="G111" s="76"/>
      <c r="H111" s="76"/>
      <c r="I111" s="70"/>
      <c r="J111" s="71"/>
      <c r="K111" s="72"/>
      <c r="L111" s="72"/>
      <c r="M111" s="72"/>
      <c r="N111" s="77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  <c r="N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136" t="s">
        <v>74</v>
      </c>
      <c r="H113" s="208" t="s">
        <v>69</v>
      </c>
      <c r="I113" s="208"/>
      <c r="J113" s="10"/>
      <c r="K113" s="10"/>
      <c r="L113" s="10"/>
      <c r="M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4434.1000000000004</v>
      </c>
      <c r="G114" s="43">
        <v>435</v>
      </c>
      <c r="H114" s="209">
        <f t="shared" ref="H114" si="7">F114/G114</f>
        <v>10.193333333333333</v>
      </c>
      <c r="I114" s="209"/>
      <c r="J114" s="10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4434.1000000000004</v>
      </c>
      <c r="G115" s="44"/>
      <c r="H115" s="212">
        <f>SUM(H114:H114)</f>
        <v>10.193333333333333</v>
      </c>
      <c r="I115" s="213"/>
      <c r="J115" s="32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3"/>
      <c r="J116" s="74"/>
      <c r="K116" s="73"/>
      <c r="L116" s="73"/>
      <c r="M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  <c r="N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8" t="s">
        <v>69</v>
      </c>
      <c r="I118" s="10"/>
      <c r="J118" s="10"/>
      <c r="K118" s="10"/>
      <c r="L118" s="10"/>
      <c r="M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53432.480860000003</v>
      </c>
      <c r="G119" s="43">
        <v>435</v>
      </c>
      <c r="H119" s="90">
        <f t="shared" ref="H119" si="8">F119/G119</f>
        <v>122.83328933333334</v>
      </c>
      <c r="I119" s="10"/>
      <c r="J119" s="10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4995.54</v>
      </c>
      <c r="G120" s="43">
        <v>435</v>
      </c>
      <c r="H120" s="90">
        <f t="shared" ref="H120" si="9">F120/G120</f>
        <v>11.484</v>
      </c>
      <c r="I120" s="10"/>
      <c r="J120" s="10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58428.020860000004</v>
      </c>
      <c r="G121" s="44"/>
      <c r="H121" s="163">
        <f>SUM(H119:H120)</f>
        <v>134.31728933333335</v>
      </c>
      <c r="I121" s="10"/>
      <c r="J121" s="32"/>
      <c r="K121" s="10"/>
      <c r="L121" s="10"/>
      <c r="M121" s="10"/>
    </row>
    <row r="122" spans="1:14" ht="25.2" customHeight="1">
      <c r="A122" s="78"/>
      <c r="B122" s="78"/>
      <c r="C122" s="78"/>
      <c r="D122" s="78"/>
      <c r="E122" s="79"/>
      <c r="F122" s="80"/>
      <c r="G122" s="81"/>
      <c r="H122" s="80"/>
      <c r="I122" s="82"/>
      <c r="J122" s="63"/>
      <c r="K122" s="83"/>
      <c r="L122" s="83"/>
      <c r="M122" s="83"/>
      <c r="N122" s="47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208" t="s">
        <v>69</v>
      </c>
      <c r="I124" s="208"/>
      <c r="J124" s="10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108957.64</v>
      </c>
      <c r="G125" s="43">
        <v>435</v>
      </c>
      <c r="H125" s="209">
        <f>F125/G125</f>
        <v>250.47733333333332</v>
      </c>
      <c r="I125" s="209"/>
      <c r="J125" s="10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108957.64</v>
      </c>
      <c r="G126" s="44"/>
      <c r="H126" s="212">
        <f>SUM(H125:H125)</f>
        <v>250.47733333333332</v>
      </c>
      <c r="I126" s="213"/>
      <c r="J126" s="32"/>
      <c r="K126" s="10"/>
      <c r="L126" s="10"/>
      <c r="M126" s="10"/>
    </row>
    <row r="127" spans="1:14" ht="25.2" customHeight="1">
      <c r="A127" s="78"/>
      <c r="B127" s="78"/>
      <c r="C127" s="78"/>
      <c r="D127" s="78"/>
      <c r="E127" s="79"/>
      <c r="F127" s="80"/>
      <c r="G127" s="81"/>
      <c r="H127" s="80"/>
      <c r="I127" s="82"/>
      <c r="J127" s="63"/>
      <c r="K127" s="83"/>
      <c r="L127" s="83"/>
      <c r="M127" s="83"/>
      <c r="N127" s="47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  <c r="N128" s="205"/>
    </row>
    <row r="129" spans="1:17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8" t="s">
        <v>69</v>
      </c>
      <c r="I129" s="10"/>
      <c r="J129" s="10"/>
      <c r="K129" s="10"/>
      <c r="L129" s="10"/>
      <c r="M129" s="10"/>
    </row>
    <row r="130" spans="1:17">
      <c r="A130" s="198" t="s">
        <v>140</v>
      </c>
      <c r="B130" s="199"/>
      <c r="C130" s="199"/>
      <c r="D130" s="199"/>
      <c r="E130" s="49" t="s">
        <v>27</v>
      </c>
      <c r="F130" s="158">
        <f>9000*$O$4</f>
        <v>5742</v>
      </c>
      <c r="G130" s="43">
        <v>435</v>
      </c>
      <c r="H130" s="90">
        <f t="shared" ref="H130:H132" si="10">F130/G130</f>
        <v>13.2</v>
      </c>
      <c r="I130" s="10"/>
      <c r="J130" s="10"/>
      <c r="K130" s="10"/>
      <c r="L130" s="10"/>
      <c r="M130" s="10"/>
    </row>
    <row r="131" spans="1:17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41214.800000000003</v>
      </c>
      <c r="G131" s="43">
        <v>435</v>
      </c>
      <c r="H131" s="90">
        <f t="shared" ref="H131" si="11">F131/G131</f>
        <v>94.74666666666667</v>
      </c>
      <c r="I131" s="10"/>
      <c r="J131" s="10"/>
      <c r="K131" s="10"/>
      <c r="L131" s="10"/>
      <c r="M131" s="10"/>
    </row>
    <row r="132" spans="1:17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12760</v>
      </c>
      <c r="G132" s="43">
        <v>435</v>
      </c>
      <c r="H132" s="90">
        <f t="shared" si="10"/>
        <v>29.333333333333332</v>
      </c>
      <c r="I132" s="10"/>
      <c r="J132" s="10"/>
      <c r="K132" s="10"/>
      <c r="L132" s="10"/>
      <c r="M132" s="10"/>
    </row>
    <row r="133" spans="1:17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12504.800000000001</v>
      </c>
      <c r="G133" s="43">
        <v>435</v>
      </c>
      <c r="H133" s="90">
        <f t="shared" ref="H133:H137" si="12">F133/G133</f>
        <v>28.74666666666667</v>
      </c>
      <c r="I133" s="10"/>
      <c r="J133" s="10"/>
      <c r="K133" s="10"/>
      <c r="L133" s="10"/>
      <c r="M133" s="10"/>
    </row>
    <row r="134" spans="1:17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510.40000000000003</v>
      </c>
      <c r="G134" s="43">
        <v>435</v>
      </c>
      <c r="H134" s="90">
        <f t="shared" si="12"/>
        <v>1.1733333333333333</v>
      </c>
      <c r="I134" s="10"/>
      <c r="J134" s="10"/>
      <c r="K134" s="10"/>
      <c r="L134" s="10"/>
      <c r="M134" s="10"/>
    </row>
    <row r="135" spans="1:17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1020.8000000000001</v>
      </c>
      <c r="G135" s="43">
        <v>435</v>
      </c>
      <c r="H135" s="90">
        <f t="shared" si="12"/>
        <v>2.3466666666666667</v>
      </c>
      <c r="I135" s="10"/>
      <c r="J135" s="10"/>
      <c r="K135" s="10"/>
      <c r="L135" s="10"/>
      <c r="M135" s="10"/>
    </row>
    <row r="136" spans="1:17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3062.4</v>
      </c>
      <c r="G136" s="43">
        <v>435</v>
      </c>
      <c r="H136" s="90">
        <f t="shared" si="12"/>
        <v>7.04</v>
      </c>
      <c r="I136" s="10"/>
      <c r="J136" s="10"/>
      <c r="K136" s="10"/>
      <c r="L136" s="10"/>
      <c r="M136" s="10"/>
    </row>
    <row r="137" spans="1:17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6124.8</v>
      </c>
      <c r="G137" s="43">
        <v>435</v>
      </c>
      <c r="H137" s="90">
        <f t="shared" si="12"/>
        <v>14.08</v>
      </c>
      <c r="I137" s="10"/>
      <c r="J137" s="10"/>
      <c r="K137" s="10"/>
      <c r="L137" s="10"/>
      <c r="M137" s="10"/>
    </row>
    <row r="138" spans="1:17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82940</v>
      </c>
      <c r="G138" s="44"/>
      <c r="H138" s="163">
        <f>SUM(H130:H137)</f>
        <v>190.66666666666669</v>
      </c>
      <c r="I138" s="10"/>
      <c r="J138" s="32"/>
      <c r="K138" s="10"/>
      <c r="L138" s="10"/>
      <c r="M138" s="10"/>
    </row>
    <row r="139" spans="1:17" ht="25.2" customHeight="1">
      <c r="A139" s="78"/>
      <c r="B139" s="78"/>
      <c r="C139" s="78"/>
      <c r="D139" s="78"/>
      <c r="E139" s="79"/>
      <c r="F139" s="80"/>
      <c r="G139" s="81"/>
      <c r="H139" s="80"/>
      <c r="I139" s="82"/>
      <c r="J139" s="63"/>
      <c r="K139" s="83"/>
      <c r="L139" s="83"/>
      <c r="M139" s="83"/>
      <c r="N139" s="47"/>
    </row>
    <row r="140" spans="1:17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  <c r="N140" s="214"/>
    </row>
    <row r="141" spans="1:17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33" t="s">
        <v>44</v>
      </c>
      <c r="I141" s="8" t="s">
        <v>63</v>
      </c>
      <c r="J141" s="8" t="s">
        <v>69</v>
      </c>
      <c r="K141" s="8" t="s">
        <v>46</v>
      </c>
      <c r="L141" s="27"/>
      <c r="M141" s="27"/>
      <c r="N141" s="27"/>
      <c r="O141" s="123">
        <v>21290323</v>
      </c>
      <c r="P141">
        <v>62.83</v>
      </c>
    </row>
    <row r="142" spans="1:17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25">
        <v>5</v>
      </c>
      <c r="I142" s="26">
        <v>6</v>
      </c>
      <c r="J142" s="34">
        <v>7</v>
      </c>
      <c r="K142" s="35">
        <v>8</v>
      </c>
      <c r="L142" s="108"/>
      <c r="M142" s="108"/>
      <c r="N142" s="27"/>
      <c r="O142">
        <f>11540394-1482000</f>
        <v>10058394</v>
      </c>
      <c r="P142">
        <v>21.58</v>
      </c>
      <c r="Q142">
        <f>O142*1.302</f>
        <v>13096028.988</v>
      </c>
    </row>
    <row r="143" spans="1:17" ht="31.2" customHeight="1" thickBot="1">
      <c r="A143" s="223" t="s">
        <v>67</v>
      </c>
      <c r="B143" s="223"/>
      <c r="C143" s="223"/>
      <c r="D143" s="223"/>
      <c r="E143" s="36">
        <f>G143/12/F143</f>
        <v>33340.863459290995</v>
      </c>
      <c r="F143" s="36">
        <v>25.67</v>
      </c>
      <c r="G143" s="124">
        <v>10270319.58</v>
      </c>
      <c r="H143" s="36">
        <v>13371956.09</v>
      </c>
      <c r="I143" s="43">
        <v>435</v>
      </c>
      <c r="J143" s="36">
        <f>H143/I143</f>
        <v>30740.128942528736</v>
      </c>
      <c r="K143" s="56">
        <f>H143/20959178.83*100</f>
        <v>63.799999983110034</v>
      </c>
      <c r="L143" s="109"/>
      <c r="M143" s="109"/>
      <c r="N143" s="15"/>
      <c r="O143" s="123">
        <f>O141-O142</f>
        <v>11231929</v>
      </c>
      <c r="P143">
        <v>41.25</v>
      </c>
      <c r="Q143">
        <f>O143*1.302</f>
        <v>14623971.558</v>
      </c>
    </row>
    <row r="144" spans="1:17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13">F144/G144*H144</f>
        <v>#DIV/0!</v>
      </c>
      <c r="J144" s="36">
        <f t="shared" ref="J144:J165" si="14">E144*F144*12*1.302</f>
        <v>1116552.28608</v>
      </c>
      <c r="K144" s="58" t="s">
        <v>38</v>
      </c>
      <c r="L144" s="110"/>
      <c r="M144" s="110"/>
      <c r="N144" s="31" t="e">
        <f t="shared" ref="N144:N168" si="15">I144*J144</f>
        <v>#DIV/0!</v>
      </c>
    </row>
    <row r="145" spans="1:14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13"/>
        <v>#DIV/0!</v>
      </c>
      <c r="J145" s="36">
        <f t="shared" si="14"/>
        <v>149115.45600000001</v>
      </c>
      <c r="K145" s="37">
        <f>H145/11277167.39*100</f>
        <v>0</v>
      </c>
      <c r="L145" s="37"/>
      <c r="M145" s="37"/>
      <c r="N145" s="14" t="e">
        <f t="shared" si="15"/>
        <v>#DIV/0!</v>
      </c>
    </row>
    <row r="146" spans="1:14" ht="15" hidden="1" customHeigh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13"/>
        <v>#DIV/0!</v>
      </c>
      <c r="J146" s="36">
        <f t="shared" si="14"/>
        <v>180613.44</v>
      </c>
      <c r="K146" s="29"/>
      <c r="L146" s="29"/>
      <c r="M146" s="29"/>
      <c r="N146" s="14" t="e">
        <f t="shared" si="15"/>
        <v>#DIV/0!</v>
      </c>
    </row>
    <row r="147" spans="1:14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13"/>
        <v>#DIV/0!</v>
      </c>
      <c r="J147" s="36">
        <f t="shared" si="14"/>
        <v>74557.728000000003</v>
      </c>
      <c r="K147" s="29"/>
      <c r="L147" s="29"/>
      <c r="M147" s="29"/>
      <c r="N147" s="14" t="e">
        <f t="shared" si="15"/>
        <v>#DIV/0!</v>
      </c>
    </row>
    <row r="148" spans="1:14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13"/>
        <v>#DIV/0!</v>
      </c>
      <c r="J148" s="36">
        <f t="shared" si="14"/>
        <v>149115.45600000001</v>
      </c>
      <c r="K148" s="36"/>
      <c r="L148" s="36"/>
      <c r="M148" s="36"/>
      <c r="N148" s="14" t="e">
        <f t="shared" si="15"/>
        <v>#DIV/0!</v>
      </c>
    </row>
    <row r="149" spans="1:14" ht="14.25" hidden="1" customHeigh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13"/>
        <v>#DIV/0!</v>
      </c>
      <c r="J149" s="36">
        <f t="shared" si="14"/>
        <v>149115.45600000001</v>
      </c>
      <c r="K149" s="44"/>
      <c r="L149" s="44"/>
      <c r="M149" s="44"/>
      <c r="N149" s="14" t="e">
        <f t="shared" si="15"/>
        <v>#DIV/0!</v>
      </c>
    </row>
    <row r="150" spans="1:14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13"/>
        <v>#DIV/0!</v>
      </c>
      <c r="J150" s="36">
        <f t="shared" si="14"/>
        <v>0</v>
      </c>
      <c r="K150" s="44"/>
      <c r="L150" s="44"/>
      <c r="M150" s="44"/>
      <c r="N150" s="14" t="e">
        <f t="shared" si="15"/>
        <v>#DIV/0!</v>
      </c>
    </row>
    <row r="151" spans="1:14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13"/>
        <v>#DIV/0!</v>
      </c>
      <c r="J151" s="36">
        <f t="shared" si="14"/>
        <v>37278.864000000001</v>
      </c>
      <c r="K151" s="44"/>
      <c r="L151" s="44"/>
      <c r="M151" s="44"/>
      <c r="N151" s="14" t="e">
        <f t="shared" si="15"/>
        <v>#DIV/0!</v>
      </c>
    </row>
    <row r="152" spans="1:14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13"/>
        <v>#DIV/0!</v>
      </c>
      <c r="J152" s="36">
        <f t="shared" si="14"/>
        <v>0</v>
      </c>
      <c r="K152" s="44"/>
      <c r="L152" s="44"/>
      <c r="M152" s="44"/>
      <c r="N152" s="14" t="e">
        <f t="shared" si="15"/>
        <v>#DIV/0!</v>
      </c>
    </row>
    <row r="153" spans="1:14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13"/>
        <v>#DIV/0!</v>
      </c>
      <c r="J153" s="36">
        <f t="shared" si="14"/>
        <v>74557.728000000003</v>
      </c>
      <c r="K153" s="44"/>
      <c r="L153" s="44"/>
      <c r="M153" s="44"/>
      <c r="N153" s="14" t="e">
        <f t="shared" si="15"/>
        <v>#DIV/0!</v>
      </c>
    </row>
    <row r="154" spans="1:14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13"/>
        <v>#DIV/0!</v>
      </c>
      <c r="J154" s="36">
        <f t="shared" si="14"/>
        <v>149115.45600000001</v>
      </c>
      <c r="K154" s="44"/>
      <c r="L154" s="44"/>
      <c r="M154" s="44"/>
      <c r="N154" s="14" t="e">
        <f t="shared" si="15"/>
        <v>#DIV/0!</v>
      </c>
    </row>
    <row r="155" spans="1:14" ht="15" hidden="1" customHeigh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13"/>
        <v>#DIV/0!</v>
      </c>
      <c r="J155" s="36">
        <f t="shared" si="14"/>
        <v>149115.45600000001</v>
      </c>
      <c r="K155" s="44"/>
      <c r="L155" s="44"/>
      <c r="M155" s="44"/>
      <c r="N155" s="14" t="e">
        <f t="shared" si="15"/>
        <v>#DIV/0!</v>
      </c>
    </row>
    <row r="156" spans="1:14" ht="15" hidden="1" customHeight="1" thickBo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13"/>
        <v>#DIV/0!</v>
      </c>
      <c r="J156" s="36">
        <f t="shared" si="14"/>
        <v>820135.00800000003</v>
      </c>
      <c r="K156" s="44"/>
      <c r="L156" s="44"/>
      <c r="M156" s="44"/>
      <c r="N156" s="14" t="e">
        <f t="shared" si="15"/>
        <v>#DIV/0!</v>
      </c>
    </row>
    <row r="157" spans="1:14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13"/>
        <v>#DIV/0!</v>
      </c>
      <c r="J157" s="36">
        <f t="shared" si="14"/>
        <v>149115.45600000001</v>
      </c>
      <c r="K157" s="44"/>
      <c r="L157" s="44"/>
      <c r="M157" s="44"/>
      <c r="N157" s="14" t="e">
        <f t="shared" si="15"/>
        <v>#DIV/0!</v>
      </c>
    </row>
    <row r="158" spans="1:14" ht="15" hidden="1" customHeigh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13"/>
        <v>#DIV/0!</v>
      </c>
      <c r="J158" s="36">
        <f t="shared" si="14"/>
        <v>74557.728000000003</v>
      </c>
      <c r="K158" s="44"/>
      <c r="L158" s="44"/>
      <c r="M158" s="44"/>
      <c r="N158" s="14" t="e">
        <f t="shared" si="15"/>
        <v>#DIV/0!</v>
      </c>
    </row>
    <row r="159" spans="1:14" ht="15" hidden="1" customHeigh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13"/>
        <v>#DIV/0!</v>
      </c>
      <c r="J159" s="36">
        <f t="shared" si="14"/>
        <v>74557.728000000003</v>
      </c>
      <c r="K159" s="44"/>
      <c r="L159" s="44"/>
      <c r="M159" s="44"/>
      <c r="N159" s="14" t="e">
        <f t="shared" si="15"/>
        <v>#DIV/0!</v>
      </c>
    </row>
    <row r="160" spans="1:14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13"/>
        <v>#DIV/0!</v>
      </c>
      <c r="J160" s="36">
        <f t="shared" si="14"/>
        <v>149115.45600000001</v>
      </c>
      <c r="K160" s="44"/>
      <c r="L160" s="44"/>
      <c r="M160" s="44"/>
      <c r="N160" s="14" t="e">
        <f t="shared" si="15"/>
        <v>#DIV/0!</v>
      </c>
    </row>
    <row r="161" spans="1:17" ht="15.75" hidden="1" customHeigh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13"/>
        <v>#DIV/0!</v>
      </c>
      <c r="J161" s="36">
        <f t="shared" si="14"/>
        <v>596461.82400000002</v>
      </c>
      <c r="K161" s="44"/>
      <c r="L161" s="44"/>
      <c r="M161" s="44"/>
      <c r="N161" s="14" t="e">
        <f t="shared" si="15"/>
        <v>#DIV/0!</v>
      </c>
    </row>
    <row r="162" spans="1:17" ht="16.5" hidden="1" customHeigh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13"/>
        <v>#DIV/0!</v>
      </c>
      <c r="J162" s="36">
        <f t="shared" si="14"/>
        <v>149115.45600000001</v>
      </c>
      <c r="K162" s="44"/>
      <c r="L162" s="44"/>
      <c r="M162" s="44"/>
      <c r="N162" s="14" t="e">
        <f t="shared" si="15"/>
        <v>#DIV/0!</v>
      </c>
    </row>
    <row r="163" spans="1:17" ht="16.5" hidden="1" customHeight="1" thickBo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13"/>
        <v>#DIV/0!</v>
      </c>
      <c r="J163" s="36">
        <f t="shared" si="14"/>
        <v>260952.04800000001</v>
      </c>
      <c r="K163" s="44"/>
      <c r="L163" s="44"/>
      <c r="M163" s="44"/>
      <c r="N163" s="14" t="e">
        <f t="shared" si="15"/>
        <v>#DIV/0!</v>
      </c>
    </row>
    <row r="164" spans="1:17" ht="16.5" hidden="1" customHeight="1" thickBo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13"/>
        <v>#DIV/0!</v>
      </c>
      <c r="J164" s="36">
        <f t="shared" si="14"/>
        <v>0</v>
      </c>
      <c r="K164" s="44"/>
      <c r="L164" s="44"/>
      <c r="M164" s="44"/>
      <c r="N164" s="14" t="e">
        <f t="shared" si="15"/>
        <v>#DIV/0!</v>
      </c>
    </row>
    <row r="165" spans="1:17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13"/>
        <v>#DIV/0!</v>
      </c>
      <c r="J165" s="36">
        <f t="shared" si="14"/>
        <v>74557.728000000003</v>
      </c>
      <c r="K165" s="44"/>
      <c r="L165" s="44"/>
      <c r="M165" s="44"/>
      <c r="N165" s="14" t="e">
        <f t="shared" si="15"/>
        <v>#DIV/0!</v>
      </c>
    </row>
    <row r="166" spans="1:17" ht="15" hidden="1" customHeigh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44"/>
      <c r="N166" s="14">
        <f t="shared" si="15"/>
        <v>0</v>
      </c>
    </row>
    <row r="167" spans="1:17" ht="15.75" hidden="1" customHeight="1" thickBo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44"/>
      <c r="N167" s="14">
        <f t="shared" si="15"/>
        <v>0</v>
      </c>
    </row>
    <row r="168" spans="1:17" ht="14.25" hidden="1" customHeight="1" thickBo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44"/>
      <c r="N168" s="30">
        <f t="shared" si="15"/>
        <v>0</v>
      </c>
    </row>
    <row r="169" spans="1:17" ht="15" thickBot="1">
      <c r="A169" s="258" t="s">
        <v>47</v>
      </c>
      <c r="B169" s="258"/>
      <c r="C169" s="258"/>
      <c r="D169" s="258"/>
      <c r="E169" s="61"/>
      <c r="F169" s="95"/>
      <c r="G169" s="95"/>
      <c r="H169" s="65">
        <f>H143</f>
        <v>13371956.09</v>
      </c>
      <c r="I169" s="46"/>
      <c r="J169" s="164">
        <f>J143</f>
        <v>30740.128942528736</v>
      </c>
      <c r="K169" s="44"/>
      <c r="L169" s="44"/>
      <c r="M169" s="44"/>
      <c r="N169" s="15"/>
      <c r="Q169">
        <f>H169/48.5%</f>
        <v>27571043.484536082</v>
      </c>
    </row>
    <row r="170" spans="1:17" ht="22.2" customHeight="1">
      <c r="A170" s="10"/>
      <c r="B170" s="10"/>
      <c r="C170" s="10"/>
      <c r="D170" s="10"/>
      <c r="E170" s="10"/>
      <c r="F170" s="10"/>
      <c r="G170" s="10"/>
      <c r="H170" s="12"/>
      <c r="I170" s="12"/>
      <c r="J170" s="12"/>
      <c r="K170" s="10"/>
      <c r="L170" s="10"/>
      <c r="M170" s="10"/>
      <c r="N170" s="10"/>
    </row>
    <row r="171" spans="1:17" ht="22.2" customHeight="1">
      <c r="A171" s="10"/>
      <c r="B171" s="10"/>
      <c r="C171" s="10"/>
      <c r="D171" s="10"/>
      <c r="E171" s="10"/>
      <c r="F171" s="10"/>
      <c r="G171" s="10"/>
      <c r="H171" s="12"/>
      <c r="I171" s="12"/>
      <c r="J171" s="12"/>
      <c r="K171" s="10"/>
      <c r="L171" s="10"/>
      <c r="M171" s="10"/>
      <c r="N171" s="10"/>
    </row>
    <row r="172" spans="1:17">
      <c r="A172" s="226" t="s">
        <v>61</v>
      </c>
      <c r="B172" s="226"/>
      <c r="C172" s="226"/>
      <c r="D172" s="226"/>
      <c r="E172" s="226"/>
      <c r="F172" s="226"/>
      <c r="G172" s="226"/>
      <c r="H172" s="226"/>
      <c r="I172" s="226"/>
      <c r="J172" s="226"/>
      <c r="K172" s="226"/>
      <c r="L172" s="104"/>
      <c r="M172" s="140"/>
      <c r="N172" s="10"/>
    </row>
    <row r="173" spans="1:17" s="75" customFormat="1">
      <c r="A173" s="134"/>
      <c r="B173" s="134"/>
      <c r="C173" s="134"/>
      <c r="D173" s="134"/>
      <c r="E173" s="134"/>
      <c r="F173" s="134"/>
      <c r="G173" s="134"/>
      <c r="H173" s="134"/>
      <c r="I173" s="134"/>
      <c r="J173" s="134"/>
      <c r="K173" s="134"/>
      <c r="L173" s="134"/>
      <c r="M173" s="134"/>
      <c r="N173" s="73"/>
    </row>
    <row r="174" spans="1:17" ht="55.8">
      <c r="A174" s="206" t="s">
        <v>28</v>
      </c>
      <c r="B174" s="207"/>
      <c r="C174" s="207"/>
      <c r="D174" s="207"/>
      <c r="E174" s="8" t="s">
        <v>75</v>
      </c>
      <c r="F174" s="8" t="s">
        <v>48</v>
      </c>
      <c r="G174" s="8" t="s">
        <v>74</v>
      </c>
      <c r="H174" s="8" t="s">
        <v>69</v>
      </c>
      <c r="I174" s="10"/>
      <c r="J174" s="10"/>
      <c r="K174" s="10"/>
      <c r="L174" s="10"/>
      <c r="M174" s="10"/>
    </row>
    <row r="175" spans="1:17" ht="15" thickBot="1">
      <c r="A175" s="198" t="s">
        <v>144</v>
      </c>
      <c r="B175" s="199"/>
      <c r="C175" s="199"/>
      <c r="D175" s="199"/>
      <c r="E175" s="49" t="s">
        <v>27</v>
      </c>
      <c r="F175" s="158">
        <f>1440*O4</f>
        <v>918.72</v>
      </c>
      <c r="G175" s="43">
        <v>435</v>
      </c>
      <c r="H175" s="90">
        <f t="shared" ref="H175" si="16">F175/G175</f>
        <v>2.1120000000000001</v>
      </c>
      <c r="I175" s="10"/>
      <c r="J175" s="10"/>
      <c r="K175" s="10"/>
      <c r="L175" s="10"/>
      <c r="M175" s="10"/>
    </row>
    <row r="176" spans="1:17" ht="20.25" customHeight="1" thickBot="1">
      <c r="A176" s="210" t="s">
        <v>53</v>
      </c>
      <c r="B176" s="211"/>
      <c r="C176" s="211"/>
      <c r="D176" s="211"/>
      <c r="E176" s="48"/>
      <c r="F176" s="65">
        <f>SUM(F175:F175)</f>
        <v>918.72</v>
      </c>
      <c r="G176" s="44"/>
      <c r="H176" s="163">
        <f>SUM(H175:H175)</f>
        <v>2.1120000000000001</v>
      </c>
      <c r="I176" s="10"/>
      <c r="J176" s="32"/>
      <c r="K176" s="10"/>
      <c r="L176" s="10"/>
      <c r="M176" s="10"/>
    </row>
    <row r="177" spans="1:14" s="75" customFormat="1">
      <c r="A177" s="134"/>
      <c r="B177" s="134"/>
      <c r="C177" s="134"/>
      <c r="D177" s="134"/>
      <c r="E177" s="134"/>
      <c r="F177" s="134"/>
      <c r="G177" s="134"/>
      <c r="H177" s="134"/>
      <c r="I177" s="134"/>
      <c r="J177" s="134"/>
      <c r="K177" s="134"/>
      <c r="L177" s="134"/>
      <c r="M177" s="134"/>
      <c r="N177" s="73"/>
    </row>
    <row r="178" spans="1:14" ht="55.8">
      <c r="A178" s="206" t="s">
        <v>28</v>
      </c>
      <c r="B178" s="207"/>
      <c r="C178" s="207"/>
      <c r="D178" s="207"/>
      <c r="E178" s="8" t="s">
        <v>75</v>
      </c>
      <c r="F178" s="8" t="s">
        <v>48</v>
      </c>
      <c r="G178" s="8" t="s">
        <v>74</v>
      </c>
      <c r="H178" s="8" t="s">
        <v>69</v>
      </c>
      <c r="I178" s="10"/>
      <c r="J178" s="10"/>
      <c r="K178" s="10"/>
      <c r="L178" s="10"/>
      <c r="M178" s="10"/>
    </row>
    <row r="179" spans="1:14" ht="51" customHeight="1" thickBot="1">
      <c r="A179" s="198" t="s">
        <v>145</v>
      </c>
      <c r="B179" s="199"/>
      <c r="C179" s="199"/>
      <c r="D179" s="199"/>
      <c r="E179" s="49" t="s">
        <v>27</v>
      </c>
      <c r="F179" s="158">
        <f>501795*O4</f>
        <v>320145.21000000002</v>
      </c>
      <c r="G179" s="43">
        <v>435</v>
      </c>
      <c r="H179" s="90">
        <f t="shared" ref="H179" si="17">F179/G179</f>
        <v>735.96600000000001</v>
      </c>
      <c r="I179" s="10"/>
      <c r="J179" s="10"/>
      <c r="K179" s="10"/>
      <c r="L179" s="10"/>
      <c r="M179" s="10"/>
    </row>
    <row r="180" spans="1:14" ht="20.25" customHeight="1" thickBot="1">
      <c r="A180" s="210" t="s">
        <v>53</v>
      </c>
      <c r="B180" s="211"/>
      <c r="C180" s="211"/>
      <c r="D180" s="211"/>
      <c r="E180" s="48"/>
      <c r="F180" s="65">
        <f>SUM(F179:F179)</f>
        <v>320145.21000000002</v>
      </c>
      <c r="G180" s="44"/>
      <c r="H180" s="163">
        <f>SUM(H179:H179)</f>
        <v>735.96600000000001</v>
      </c>
      <c r="I180" s="10"/>
      <c r="J180" s="32"/>
      <c r="K180" s="10"/>
      <c r="L180" s="10"/>
      <c r="M180" s="10"/>
    </row>
    <row r="181" spans="1:14" s="75" customFormat="1">
      <c r="A181" s="134"/>
      <c r="B181" s="134"/>
      <c r="C181" s="134"/>
      <c r="D181" s="134"/>
      <c r="E181" s="134"/>
      <c r="F181" s="134"/>
      <c r="G181" s="134"/>
      <c r="H181" s="134"/>
      <c r="I181" s="134"/>
      <c r="J181" s="134"/>
      <c r="K181" s="134"/>
      <c r="L181" s="134"/>
      <c r="M181" s="134"/>
      <c r="N181" s="73"/>
    </row>
    <row r="182" spans="1:14" ht="55.8">
      <c r="A182" s="206" t="s">
        <v>62</v>
      </c>
      <c r="B182" s="207"/>
      <c r="C182" s="207"/>
      <c r="D182" s="217"/>
      <c r="E182" s="94" t="s">
        <v>7</v>
      </c>
      <c r="F182" s="94" t="s">
        <v>55</v>
      </c>
      <c r="G182" s="94" t="s">
        <v>42</v>
      </c>
      <c r="H182" s="94" t="s">
        <v>48</v>
      </c>
      <c r="I182" s="8" t="s">
        <v>63</v>
      </c>
      <c r="J182" s="8" t="s">
        <v>69</v>
      </c>
      <c r="K182" s="38"/>
      <c r="L182" s="27"/>
      <c r="M182" s="27"/>
      <c r="N182" s="10"/>
    </row>
    <row r="183" spans="1:14" ht="36.75" customHeight="1">
      <c r="A183" s="198" t="s">
        <v>113</v>
      </c>
      <c r="B183" s="199"/>
      <c r="C183" s="199"/>
      <c r="D183" s="218"/>
      <c r="E183" s="94"/>
      <c r="F183" s="94"/>
      <c r="G183" s="94"/>
      <c r="H183" s="159">
        <f>350242.9*$O$4</f>
        <v>223454.97020000001</v>
      </c>
      <c r="I183" s="43">
        <v>435</v>
      </c>
      <c r="J183" s="91">
        <f>H183/I183</f>
        <v>513.68958666666674</v>
      </c>
      <c r="K183" s="38"/>
      <c r="L183" s="27"/>
      <c r="M183" s="27"/>
      <c r="N183" s="10"/>
    </row>
    <row r="184" spans="1:14" ht="34.5" customHeight="1" thickBot="1">
      <c r="A184" s="198" t="s">
        <v>114</v>
      </c>
      <c r="B184" s="199"/>
      <c r="C184" s="199"/>
      <c r="D184" s="218"/>
      <c r="E184" s="94"/>
      <c r="F184" s="94"/>
      <c r="G184" s="94"/>
      <c r="H184" s="159">
        <f>(39067+30300+25200+250000)*$O$4</f>
        <v>219833.74600000001</v>
      </c>
      <c r="I184" s="43">
        <v>435</v>
      </c>
      <c r="J184" s="91">
        <f t="shared" ref="J184" si="18">H184/I184</f>
        <v>505.36493333333334</v>
      </c>
      <c r="K184" s="38"/>
      <c r="L184" s="27"/>
      <c r="M184" s="27"/>
      <c r="N184" s="10"/>
    </row>
    <row r="185" spans="1:14" ht="15" thickBot="1">
      <c r="A185" s="229" t="s">
        <v>57</v>
      </c>
      <c r="B185" s="230"/>
      <c r="C185" s="230"/>
      <c r="D185" s="230"/>
      <c r="E185" s="230"/>
      <c r="F185" s="230"/>
      <c r="G185" s="231"/>
      <c r="H185" s="55">
        <f>H184+H183</f>
        <v>443288.71620000002</v>
      </c>
      <c r="I185" s="54"/>
      <c r="J185" s="162">
        <f>SUM(J183:J184)</f>
        <v>1019.0545200000001</v>
      </c>
      <c r="K185" s="10"/>
      <c r="L185" s="10"/>
      <c r="M185" s="10"/>
      <c r="N185" s="10"/>
    </row>
    <row r="186" spans="1:14" ht="32.4" customHeight="1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</row>
    <row r="187" spans="1:14" ht="55.8">
      <c r="A187" s="206" t="s">
        <v>62</v>
      </c>
      <c r="B187" s="207"/>
      <c r="C187" s="207"/>
      <c r="D187" s="217"/>
      <c r="E187" s="94" t="s">
        <v>115</v>
      </c>
      <c r="F187" s="94" t="s">
        <v>55</v>
      </c>
      <c r="G187" s="94" t="s">
        <v>42</v>
      </c>
      <c r="H187" s="94" t="s">
        <v>48</v>
      </c>
      <c r="I187" s="8" t="s">
        <v>63</v>
      </c>
      <c r="J187" s="8" t="s">
        <v>69</v>
      </c>
      <c r="K187" s="38"/>
      <c r="L187" s="27"/>
      <c r="M187" s="27"/>
      <c r="N187" s="10"/>
    </row>
    <row r="188" spans="1:14">
      <c r="A188" s="198" t="s">
        <v>78</v>
      </c>
      <c r="B188" s="199"/>
      <c r="C188" s="199"/>
      <c r="D188" s="218"/>
      <c r="E188" s="94">
        <v>120</v>
      </c>
      <c r="F188" s="94"/>
      <c r="G188" s="94"/>
      <c r="H188" s="159">
        <f>50000*$O$4</f>
        <v>31900</v>
      </c>
      <c r="I188" s="43">
        <v>435</v>
      </c>
      <c r="J188" s="91">
        <f>H188/I188</f>
        <v>73.333333333333329</v>
      </c>
      <c r="K188" s="38"/>
      <c r="L188" s="27"/>
      <c r="M188" s="27"/>
      <c r="N188" s="10"/>
    </row>
    <row r="189" spans="1:14">
      <c r="A189" s="198" t="s">
        <v>79</v>
      </c>
      <c r="B189" s="199"/>
      <c r="C189" s="199"/>
      <c r="D189" s="218"/>
      <c r="E189" s="94">
        <v>640</v>
      </c>
      <c r="F189" s="94"/>
      <c r="G189" s="94"/>
      <c r="H189" s="159">
        <f t="shared" ref="H189:H190" si="19">50000*$O$4</f>
        <v>31900</v>
      </c>
      <c r="I189" s="43">
        <v>435</v>
      </c>
      <c r="J189" s="91">
        <f t="shared" ref="J189:J190" si="20">H189/I189</f>
        <v>73.333333333333329</v>
      </c>
      <c r="K189" s="38"/>
      <c r="L189" s="27"/>
      <c r="M189" s="27"/>
      <c r="N189" s="10"/>
    </row>
    <row r="190" spans="1:14" ht="18" customHeight="1" thickBot="1">
      <c r="A190" s="198" t="s">
        <v>80</v>
      </c>
      <c r="B190" s="199"/>
      <c r="C190" s="199"/>
      <c r="D190" s="218"/>
      <c r="E190" s="94">
        <v>200</v>
      </c>
      <c r="F190" s="94"/>
      <c r="G190" s="94"/>
      <c r="H190" s="159">
        <f t="shared" si="19"/>
        <v>31900</v>
      </c>
      <c r="I190" s="43">
        <v>435</v>
      </c>
      <c r="J190" s="91">
        <f t="shared" si="20"/>
        <v>73.333333333333329</v>
      </c>
      <c r="K190" s="38"/>
      <c r="L190" s="27"/>
      <c r="M190" s="27"/>
      <c r="N190" s="10"/>
    </row>
    <row r="191" spans="1:14" ht="15" thickBot="1">
      <c r="A191" s="229" t="s">
        <v>57</v>
      </c>
      <c r="B191" s="230"/>
      <c r="C191" s="230"/>
      <c r="D191" s="230"/>
      <c r="E191" s="230"/>
      <c r="F191" s="230"/>
      <c r="G191" s="231"/>
      <c r="H191" s="55">
        <f>SUM(H188:H190)</f>
        <v>95700</v>
      </c>
      <c r="I191" s="54"/>
      <c r="J191" s="162">
        <f>SUM(J188:J190)</f>
        <v>220</v>
      </c>
      <c r="K191" s="10"/>
      <c r="L191" s="10"/>
      <c r="M191" s="10"/>
      <c r="N191" s="10"/>
    </row>
    <row r="192" spans="1:14" ht="25.2" customHeight="1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</row>
    <row r="193" spans="1:18">
      <c r="A193" s="205" t="s">
        <v>29</v>
      </c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  <c r="N193" s="205"/>
    </row>
    <row r="194" spans="1:18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</row>
    <row r="195" spans="1:18" ht="60" customHeight="1">
      <c r="A195" s="233" t="s">
        <v>30</v>
      </c>
      <c r="B195" s="234"/>
      <c r="C195" s="235"/>
      <c r="D195" s="200" t="s">
        <v>31</v>
      </c>
      <c r="E195" s="201"/>
      <c r="F195" s="201"/>
      <c r="G195" s="201"/>
      <c r="H195" s="201"/>
      <c r="I195" s="201"/>
      <c r="J195" s="201"/>
      <c r="K195" s="201"/>
      <c r="L195" s="201"/>
      <c r="M195" s="202"/>
      <c r="N195" s="130" t="s">
        <v>35</v>
      </c>
      <c r="O195" s="111"/>
      <c r="R195" s="123">
        <f>H192+H186+H170+F139+F122+F116+G111+G100+H89+H79+H71</f>
        <v>0</v>
      </c>
    </row>
    <row r="196" spans="1:18" ht="24" customHeight="1">
      <c r="A196" s="9" t="s">
        <v>32</v>
      </c>
      <c r="B196" s="103" t="s">
        <v>33</v>
      </c>
      <c r="C196" s="9" t="s">
        <v>34</v>
      </c>
      <c r="D196" s="8" t="s">
        <v>119</v>
      </c>
      <c r="E196" s="8" t="s">
        <v>120</v>
      </c>
      <c r="F196" s="8" t="s">
        <v>121</v>
      </c>
      <c r="G196" s="8" t="s">
        <v>122</v>
      </c>
      <c r="H196" s="8" t="s">
        <v>139</v>
      </c>
      <c r="I196" s="8" t="s">
        <v>143</v>
      </c>
      <c r="J196" s="8" t="s">
        <v>123</v>
      </c>
      <c r="K196" s="33" t="s">
        <v>124</v>
      </c>
      <c r="L196" s="102" t="s">
        <v>122</v>
      </c>
      <c r="M196" s="142" t="s">
        <v>168</v>
      </c>
      <c r="N196" s="131"/>
      <c r="O196" s="111"/>
    </row>
    <row r="197" spans="1:18" ht="15" thickBot="1">
      <c r="A197" s="14">
        <f>J70</f>
        <v>16878.431057471265</v>
      </c>
      <c r="B197" s="14"/>
      <c r="C197" s="14"/>
      <c r="D197" s="14">
        <f>J78</f>
        <v>75.313333333333333</v>
      </c>
      <c r="E197" s="14">
        <f>J88</f>
        <v>3020.3066666666668</v>
      </c>
      <c r="F197" s="14">
        <f>I99</f>
        <v>462.53093333333334</v>
      </c>
      <c r="G197" s="14">
        <f>I110</f>
        <v>746.25192400000003</v>
      </c>
      <c r="H197" s="14">
        <f>H115</f>
        <v>10.193333333333333</v>
      </c>
      <c r="I197" s="14">
        <f>H138</f>
        <v>190.66666666666669</v>
      </c>
      <c r="J197" s="14">
        <f>H121</f>
        <v>134.31728933333335</v>
      </c>
      <c r="K197" s="93">
        <f>J169</f>
        <v>30740.128942528736</v>
      </c>
      <c r="L197" s="92">
        <f>J185+J191+H176+H180</f>
        <v>1977.1325200000001</v>
      </c>
      <c r="M197" s="92">
        <f>H126</f>
        <v>250.47733333333332</v>
      </c>
      <c r="N197" s="135">
        <f>SUM(D197:M197)+A197</f>
        <v>54485.75</v>
      </c>
      <c r="O197" s="112">
        <f>J191+J185+H180+H176+J169+H138+H121+H115+I110+I99+J88+J78+J70+H126</f>
        <v>54485.75</v>
      </c>
    </row>
    <row r="198" spans="1:18" ht="15" thickBot="1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Q198" s="88">
        <f>N197*435</f>
        <v>23701301.25</v>
      </c>
    </row>
    <row r="199" spans="1:18" ht="15" thickBot="1">
      <c r="A199" s="13" t="s">
        <v>64</v>
      </c>
      <c r="B199" s="13"/>
      <c r="C199" s="13"/>
      <c r="D199" s="10"/>
      <c r="E199" s="10"/>
      <c r="F199" s="10"/>
      <c r="G199" s="10"/>
      <c r="H199" s="10"/>
      <c r="I199" s="10"/>
      <c r="J199" s="203">
        <f>H78+H88+G99+G110+F121+H70+H169+H185+H191+F115+F138+F176+F180+F126</f>
        <v>23701301.250000004</v>
      </c>
      <c r="K199" s="204"/>
      <c r="L199" s="10"/>
      <c r="M199" s="10"/>
      <c r="N199" s="10"/>
    </row>
    <row r="200" spans="1:18" ht="26.25" customHeight="1">
      <c r="A200" s="10"/>
      <c r="B200" s="10"/>
      <c r="C200" s="10"/>
      <c r="D200" s="10"/>
      <c r="E200" s="10"/>
      <c r="F200" s="10"/>
      <c r="G200" s="10"/>
      <c r="H200" s="10"/>
      <c r="I200" s="10"/>
      <c r="K200" s="10"/>
      <c r="L200" s="10"/>
      <c r="M200" s="10"/>
      <c r="O200" s="219"/>
      <c r="P200" s="219"/>
      <c r="Q200" s="123">
        <f>J199+'Услуга №2'!J199+'Работа №1'!J198+'Работа №2'!J198+'Работа №3'!J198+'Работа №4'!J185</f>
        <v>37097365.875</v>
      </c>
    </row>
    <row r="201" spans="1:18" ht="17.25" customHeight="1">
      <c r="A201" s="2" t="s">
        <v>116</v>
      </c>
      <c r="B201" s="2"/>
      <c r="C201" s="2"/>
      <c r="I201" s="2" t="s">
        <v>117</v>
      </c>
    </row>
    <row r="202" spans="1:18" ht="9.75" customHeight="1"/>
    <row r="203" spans="1:18" ht="15.6">
      <c r="A203" s="100" t="s">
        <v>43</v>
      </c>
      <c r="B203" s="6"/>
    </row>
    <row r="204" spans="1:18" ht="15.6">
      <c r="A204" s="100" t="s">
        <v>138</v>
      </c>
      <c r="B204" s="6"/>
    </row>
    <row r="205" spans="1:18" ht="15.6">
      <c r="A205" s="100" t="s">
        <v>81</v>
      </c>
      <c r="C205" s="6"/>
    </row>
    <row r="206" spans="1:18" ht="15.6">
      <c r="A206" s="1"/>
      <c r="B206" s="1"/>
      <c r="C206" s="1"/>
      <c r="J206">
        <f>J199/O4</f>
        <v>37149375.000000007</v>
      </c>
    </row>
    <row r="208" spans="1:18">
      <c r="G208" s="123"/>
      <c r="J208" s="10"/>
      <c r="K208" s="232"/>
      <c r="L208" s="232"/>
      <c r="M208" s="141"/>
    </row>
    <row r="211" spans="9:11">
      <c r="I211">
        <f>K212-J206</f>
        <v>0</v>
      </c>
    </row>
    <row r="212" spans="9:11">
      <c r="K212">
        <v>37149375</v>
      </c>
    </row>
  </sheetData>
  <mergeCells count="201">
    <mergeCell ref="A101:N101"/>
    <mergeCell ref="A96:D96"/>
    <mergeCell ref="A160:D160"/>
    <mergeCell ref="A161:D161"/>
    <mergeCell ref="A102:D102"/>
    <mergeCell ref="A168:D168"/>
    <mergeCell ref="A169:D169"/>
    <mergeCell ref="A162:D162"/>
    <mergeCell ref="A163:D163"/>
    <mergeCell ref="A164:D164"/>
    <mergeCell ref="A165:D165"/>
    <mergeCell ref="A166:D166"/>
    <mergeCell ref="A167:D167"/>
    <mergeCell ref="A110:D110"/>
    <mergeCell ref="A113:D113"/>
    <mergeCell ref="A106:D106"/>
    <mergeCell ref="A107:D107"/>
    <mergeCell ref="A109:D109"/>
    <mergeCell ref="A118:D118"/>
    <mergeCell ref="A117:N117"/>
    <mergeCell ref="A7:N7"/>
    <mergeCell ref="A8:N8"/>
    <mergeCell ref="G32:K32"/>
    <mergeCell ref="G33:K33"/>
    <mergeCell ref="A52:D52"/>
    <mergeCell ref="G31:K31"/>
    <mergeCell ref="G30:K30"/>
    <mergeCell ref="A83:D83"/>
    <mergeCell ref="A2:D2"/>
    <mergeCell ref="E2:G2"/>
    <mergeCell ref="A3:B3"/>
    <mergeCell ref="A4:C4"/>
    <mergeCell ref="E4:F4"/>
    <mergeCell ref="A28:E28"/>
    <mergeCell ref="G28:K28"/>
    <mergeCell ref="A29:E29"/>
    <mergeCell ref="G29:K29"/>
    <mergeCell ref="G24:K24"/>
    <mergeCell ref="A25:E25"/>
    <mergeCell ref="G25:K25"/>
    <mergeCell ref="A26:E26"/>
    <mergeCell ref="G26:K26"/>
    <mergeCell ref="A27:E27"/>
    <mergeCell ref="G27:K27"/>
    <mergeCell ref="A16:E16"/>
    <mergeCell ref="G16:K16"/>
    <mergeCell ref="A17:E17"/>
    <mergeCell ref="G17:K17"/>
    <mergeCell ref="A18:E18"/>
    <mergeCell ref="A77:D77"/>
    <mergeCell ref="A44:D44"/>
    <mergeCell ref="G4:N4"/>
    <mergeCell ref="A56:D56"/>
    <mergeCell ref="A57:D57"/>
    <mergeCell ref="A58:D58"/>
    <mergeCell ref="A59:D59"/>
    <mergeCell ref="A60:D60"/>
    <mergeCell ref="A68:D68"/>
    <mergeCell ref="A69:D69"/>
    <mergeCell ref="A32:E32"/>
    <mergeCell ref="A12:N12"/>
    <mergeCell ref="A21:E21"/>
    <mergeCell ref="G21:K21"/>
    <mergeCell ref="A22:E22"/>
    <mergeCell ref="G22:K22"/>
    <mergeCell ref="A23:E23"/>
    <mergeCell ref="G23:K23"/>
    <mergeCell ref="A20:E20"/>
    <mergeCell ref="G20:K20"/>
    <mergeCell ref="G18:K18"/>
    <mergeCell ref="A19:E19"/>
    <mergeCell ref="G19:K19"/>
    <mergeCell ref="A39:D39"/>
    <mergeCell ref="G39:N39"/>
    <mergeCell ref="A31:E31"/>
    <mergeCell ref="A97:D97"/>
    <mergeCell ref="A112:N112"/>
    <mergeCell ref="A53:D53"/>
    <mergeCell ref="A54:D54"/>
    <mergeCell ref="A55:D55"/>
    <mergeCell ref="A75:D75"/>
    <mergeCell ref="A76:D76"/>
    <mergeCell ref="A40:N40"/>
    <mergeCell ref="A42:D42"/>
    <mergeCell ref="A43:D43"/>
    <mergeCell ref="A67:D67"/>
    <mergeCell ref="A45:D45"/>
    <mergeCell ref="A46:D46"/>
    <mergeCell ref="A47:D47"/>
    <mergeCell ref="A48:D48"/>
    <mergeCell ref="A90:N90"/>
    <mergeCell ref="A103:D103"/>
    <mergeCell ref="A114:D114"/>
    <mergeCell ref="A115:D115"/>
    <mergeCell ref="G34:K34"/>
    <mergeCell ref="G35:K35"/>
    <mergeCell ref="G36:K36"/>
    <mergeCell ref="G37:K37"/>
    <mergeCell ref="A73:N73"/>
    <mergeCell ref="A74:D74"/>
    <mergeCell ref="A61:D61"/>
    <mergeCell ref="A49:D49"/>
    <mergeCell ref="A70:D70"/>
    <mergeCell ref="A81:D81"/>
    <mergeCell ref="A82:D82"/>
    <mergeCell ref="A63:K63"/>
    <mergeCell ref="A80:N80"/>
    <mergeCell ref="A38:E38"/>
    <mergeCell ref="A50:D50"/>
    <mergeCell ref="A78:D78"/>
    <mergeCell ref="A98:D98"/>
    <mergeCell ref="A108:D108"/>
    <mergeCell ref="A91:D91"/>
    <mergeCell ref="A95:D95"/>
    <mergeCell ref="A104:D104"/>
    <mergeCell ref="A105:D105"/>
    <mergeCell ref="A119:D119"/>
    <mergeCell ref="A87:D87"/>
    <mergeCell ref="A24:E24"/>
    <mergeCell ref="G38:K38"/>
    <mergeCell ref="A121:D121"/>
    <mergeCell ref="A66:N66"/>
    <mergeCell ref="A84:D84"/>
    <mergeCell ref="A85:D85"/>
    <mergeCell ref="A92:D92"/>
    <mergeCell ref="A93:D93"/>
    <mergeCell ref="A94:D94"/>
    <mergeCell ref="A30:E30"/>
    <mergeCell ref="A33:E33"/>
    <mergeCell ref="A34:E34"/>
    <mergeCell ref="A35:E35"/>
    <mergeCell ref="A36:E36"/>
    <mergeCell ref="A37:E37"/>
    <mergeCell ref="A62:D62"/>
    <mergeCell ref="A51:D51"/>
    <mergeCell ref="A86:D86"/>
    <mergeCell ref="A88:D88"/>
    <mergeCell ref="H113:I113"/>
    <mergeCell ref="H114:I114"/>
    <mergeCell ref="H115:I115"/>
    <mergeCell ref="A185:G185"/>
    <mergeCell ref="K208:L208"/>
    <mergeCell ref="A189:D189"/>
    <mergeCell ref="A190:D190"/>
    <mergeCell ref="A191:G191"/>
    <mergeCell ref="A193:N193"/>
    <mergeCell ref="A184:D184"/>
    <mergeCell ref="A148:D148"/>
    <mergeCell ref="A149:D149"/>
    <mergeCell ref="A150:D150"/>
    <mergeCell ref="A187:D187"/>
    <mergeCell ref="A188:D188"/>
    <mergeCell ref="A195:C195"/>
    <mergeCell ref="O200:P200"/>
    <mergeCell ref="A128:N128"/>
    <mergeCell ref="A129:D129"/>
    <mergeCell ref="A130:D130"/>
    <mergeCell ref="A138:D138"/>
    <mergeCell ref="A132:D132"/>
    <mergeCell ref="A174:D174"/>
    <mergeCell ref="A175:D175"/>
    <mergeCell ref="A176:D176"/>
    <mergeCell ref="A151:D151"/>
    <mergeCell ref="A152:D152"/>
    <mergeCell ref="A153:D153"/>
    <mergeCell ref="A141:D141"/>
    <mergeCell ref="A142:D142"/>
    <mergeCell ref="A143:D143"/>
    <mergeCell ref="A144:D144"/>
    <mergeCell ref="A172:K172"/>
    <mergeCell ref="A157:D157"/>
    <mergeCell ref="A158:D158"/>
    <mergeCell ref="A159:D159"/>
    <mergeCell ref="A178:D178"/>
    <mergeCell ref="A179:D179"/>
    <mergeCell ref="A180:D180"/>
    <mergeCell ref="A146:D146"/>
    <mergeCell ref="A133:D133"/>
    <mergeCell ref="A134:D134"/>
    <mergeCell ref="A135:D135"/>
    <mergeCell ref="A136:D136"/>
    <mergeCell ref="A137:D137"/>
    <mergeCell ref="D195:M195"/>
    <mergeCell ref="J199:K199"/>
    <mergeCell ref="A120:D120"/>
    <mergeCell ref="A123:N123"/>
    <mergeCell ref="A124:D124"/>
    <mergeCell ref="H124:I124"/>
    <mergeCell ref="A125:D125"/>
    <mergeCell ref="H125:I125"/>
    <mergeCell ref="A126:D126"/>
    <mergeCell ref="H126:I126"/>
    <mergeCell ref="A131:D131"/>
    <mergeCell ref="A140:N140"/>
    <mergeCell ref="A154:D154"/>
    <mergeCell ref="A155:D155"/>
    <mergeCell ref="A156:D156"/>
    <mergeCell ref="A145:D145"/>
    <mergeCell ref="A147:D147"/>
    <mergeCell ref="A182:D182"/>
    <mergeCell ref="A183:D183"/>
  </mergeCells>
  <pageMargins left="0.70866141732283472" right="0.70866141732283472" top="0.55118110236220474" bottom="0.59055118110236227" header="0.15748031496062992" footer="0.15748031496062992"/>
  <pageSetup paperSize="9" scale="55" orientation="portrait" horizontalDpi="180" verticalDpi="180" r:id="rId1"/>
  <colBreaks count="1" manualBreakCount="1">
    <brk id="1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2"/>
  <sheetViews>
    <sheetView tabSelected="1" view="pageBreakPreview" topLeftCell="A4" zoomScale="60" zoomScaleNormal="60" workbookViewId="0">
      <selection activeCell="H113" sqref="H113:I113"/>
    </sheetView>
  </sheetViews>
  <sheetFormatPr defaultRowHeight="14.4"/>
  <cols>
    <col min="1" max="1" width="10.77734375" customWidth="1"/>
    <col min="2" max="3" width="5.6640625" customWidth="1"/>
    <col min="4" max="4" width="13.88671875" customWidth="1"/>
    <col min="5" max="5" width="13" customWidth="1"/>
    <col min="6" max="6" width="14.88671875" customWidth="1"/>
    <col min="7" max="7" width="13" customWidth="1"/>
    <col min="8" max="8" width="13" style="176" customWidth="1"/>
    <col min="9" max="9" width="13.21875" style="176" customWidth="1"/>
    <col min="10" max="10" width="12.5546875" style="176" customWidth="1"/>
    <col min="11" max="11" width="10.33203125" customWidth="1"/>
    <col min="12" max="12" width="9.44140625" customWidth="1"/>
    <col min="13" max="13" width="10" customWidth="1"/>
    <col min="14" max="14" width="12" customWidth="1"/>
    <col min="15" max="15" width="14.44140625" customWidth="1"/>
    <col min="16" max="16" width="21.88671875" customWidth="1"/>
    <col min="17" max="17" width="15.6640625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85"/>
      <c r="F3" s="40"/>
      <c r="G3" s="40"/>
    </row>
    <row r="4" spans="1:15" ht="27.75" customHeight="1">
      <c r="A4" s="290"/>
      <c r="B4" s="290"/>
      <c r="C4" s="290"/>
      <c r="D4" s="101"/>
      <c r="E4" s="290"/>
      <c r="F4" s="290"/>
      <c r="G4" s="42"/>
      <c r="H4" s="301"/>
      <c r="I4" s="288"/>
      <c r="J4" s="288"/>
      <c r="K4" s="288"/>
      <c r="L4" s="105"/>
      <c r="O4" s="156">
        <v>8.5000000000000006E-2</v>
      </c>
    </row>
    <row r="5" spans="1:15" ht="15.6">
      <c r="A5" s="3"/>
      <c r="B5" s="3"/>
      <c r="C5" s="3"/>
      <c r="D5" s="84"/>
      <c r="E5" s="3"/>
      <c r="F5" s="3"/>
      <c r="G5" s="84"/>
    </row>
    <row r="6" spans="1:15">
      <c r="A6" s="86"/>
      <c r="B6" s="86"/>
      <c r="C6" s="86"/>
      <c r="D6" s="86"/>
      <c r="E6" s="86"/>
      <c r="F6" s="86"/>
      <c r="G6" s="86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</row>
    <row r="8" spans="1:15" ht="15.6">
      <c r="A8" s="286" t="s">
        <v>150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</row>
    <row r="10" spans="1:15">
      <c r="A10" s="10"/>
      <c r="B10" s="10"/>
      <c r="C10" s="10"/>
      <c r="D10" s="10"/>
      <c r="E10" s="10"/>
      <c r="F10" s="10"/>
      <c r="G10" s="10"/>
      <c r="H10" s="44"/>
      <c r="I10" s="44"/>
      <c r="J10" s="44"/>
      <c r="K10" s="10"/>
      <c r="L10" s="10"/>
      <c r="M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84"/>
      <c r="I11" s="84"/>
      <c r="J11" s="84"/>
      <c r="K11" s="6"/>
      <c r="L11" s="6"/>
      <c r="M11" s="6"/>
    </row>
    <row r="12" spans="1:15" ht="17.25" customHeight="1">
      <c r="A12" s="281" t="s">
        <v>82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84"/>
      <c r="I13" s="84"/>
      <c r="J13" s="84"/>
      <c r="K13" s="6"/>
      <c r="L13" s="6"/>
      <c r="M13" s="6"/>
    </row>
    <row r="14" spans="1:15" ht="15.6">
      <c r="A14" s="7" t="s">
        <v>151</v>
      </c>
      <c r="B14" s="6"/>
      <c r="C14" s="6"/>
      <c r="D14" s="6"/>
      <c r="E14" s="6"/>
      <c r="F14" s="6"/>
      <c r="G14" s="6"/>
      <c r="H14" s="84"/>
      <c r="I14" s="84"/>
      <c r="J14" s="84"/>
      <c r="K14" s="6"/>
      <c r="L14" s="6"/>
      <c r="M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84"/>
      <c r="I15" s="84"/>
      <c r="J15" s="84"/>
      <c r="K15" s="6"/>
      <c r="L15" s="6"/>
      <c r="M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N16" s="115"/>
    </row>
    <row r="17" spans="1:12">
      <c r="A17" s="273" t="s">
        <v>86</v>
      </c>
      <c r="B17" s="273"/>
      <c r="C17" s="273"/>
      <c r="D17" s="273"/>
      <c r="E17" s="273"/>
      <c r="F17" s="107">
        <f>5*8.5%</f>
        <v>0.42500000000000004</v>
      </c>
      <c r="G17" s="278" t="s">
        <v>1</v>
      </c>
      <c r="H17" s="278"/>
      <c r="I17" s="278"/>
      <c r="J17" s="278"/>
      <c r="K17" s="278"/>
      <c r="L17" s="107">
        <f>1*8.5%</f>
        <v>8.5000000000000006E-2</v>
      </c>
    </row>
    <row r="18" spans="1:12">
      <c r="A18" s="273" t="s">
        <v>87</v>
      </c>
      <c r="B18" s="273"/>
      <c r="C18" s="273"/>
      <c r="D18" s="273"/>
      <c r="E18" s="273"/>
      <c r="F18" s="107">
        <f>10.6*8.5%+0.01</f>
        <v>0.91100000000000003</v>
      </c>
      <c r="G18" s="239" t="s">
        <v>88</v>
      </c>
      <c r="H18" s="240"/>
      <c r="I18" s="240"/>
      <c r="J18" s="240"/>
      <c r="K18" s="241"/>
      <c r="L18" s="107">
        <f>3*8.5%</f>
        <v>0.255</v>
      </c>
    </row>
    <row r="19" spans="1:12">
      <c r="A19" s="239" t="s">
        <v>100</v>
      </c>
      <c r="B19" s="240"/>
      <c r="C19" s="240"/>
      <c r="D19" s="240"/>
      <c r="E19" s="255"/>
      <c r="F19" s="107">
        <f>6.5*8.5%+0.01</f>
        <v>0.5625</v>
      </c>
      <c r="G19" s="273" t="s">
        <v>89</v>
      </c>
      <c r="H19" s="273"/>
      <c r="I19" s="273"/>
      <c r="J19" s="273"/>
      <c r="K19" s="273"/>
      <c r="L19" s="107">
        <f>1*8.5%</f>
        <v>8.5000000000000006E-2</v>
      </c>
    </row>
    <row r="20" spans="1:12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07">
        <f>1*8.5%</f>
        <v>8.5000000000000006E-2</v>
      </c>
    </row>
    <row r="21" spans="1:12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07">
        <f>1*8.5%</f>
        <v>8.5000000000000006E-2</v>
      </c>
    </row>
    <row r="22" spans="1:12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07">
        <f>0.5*8.5%</f>
        <v>4.2500000000000003E-2</v>
      </c>
    </row>
    <row r="23" spans="1:12" ht="14.4" customHeight="1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07">
        <f>1*8.5%</f>
        <v>8.5000000000000006E-2</v>
      </c>
    </row>
    <row r="24" spans="1:12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07">
        <f>1*8.5%</f>
        <v>8.5000000000000006E-2</v>
      </c>
    </row>
    <row r="25" spans="1:12" ht="14.4" customHeight="1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07">
        <f>1*8.5%</f>
        <v>8.5000000000000006E-2</v>
      </c>
    </row>
    <row r="26" spans="1:12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07">
        <f>2*8.5%</f>
        <v>0.17</v>
      </c>
    </row>
    <row r="27" spans="1:12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07">
        <f>1*8.5%</f>
        <v>8.5000000000000006E-2</v>
      </c>
    </row>
    <row r="28" spans="1:12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07">
        <f>4.75*8.5%</f>
        <v>0.40375000000000005</v>
      </c>
    </row>
    <row r="29" spans="1:12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07">
        <f>3.5*8.5%</f>
        <v>0.29750000000000004</v>
      </c>
    </row>
    <row r="30" spans="1:12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07">
        <f>2*8.5%</f>
        <v>0.17</v>
      </c>
    </row>
    <row r="31" spans="1:12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07">
        <f>0.5*8.5%</f>
        <v>4.2500000000000003E-2</v>
      </c>
    </row>
    <row r="32" spans="1:12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07">
        <f>0.5*8.5%</f>
        <v>4.2500000000000003E-2</v>
      </c>
    </row>
    <row r="33" spans="1:14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07">
        <f>11*8.5%</f>
        <v>0.93500000000000005</v>
      </c>
    </row>
    <row r="34" spans="1:14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07">
        <f>2*8.5%</f>
        <v>0.17</v>
      </c>
    </row>
    <row r="35" spans="1:14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07">
        <f>1*8.5%</f>
        <v>8.5000000000000006E-2</v>
      </c>
    </row>
    <row r="36" spans="1:14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07">
        <f>1*8.5%</f>
        <v>8.5000000000000006E-2</v>
      </c>
    </row>
    <row r="37" spans="1:14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07">
        <f>0.5*8.5%</f>
        <v>4.2500000000000003E-2</v>
      </c>
      <c r="M37" s="116"/>
    </row>
    <row r="38" spans="1:14" ht="15" customHeight="1">
      <c r="A38" s="264" t="s">
        <v>2</v>
      </c>
      <c r="B38" s="264"/>
      <c r="C38" s="264"/>
      <c r="D38" s="264"/>
      <c r="E38" s="264"/>
      <c r="F38" s="114">
        <f>SUM(F17:F37)</f>
        <v>1.8985000000000001</v>
      </c>
      <c r="G38" s="242" t="s">
        <v>2</v>
      </c>
      <c r="H38" s="242"/>
      <c r="I38" s="242"/>
      <c r="J38" s="242"/>
      <c r="K38" s="242"/>
      <c r="L38" s="113">
        <v>3.43</v>
      </c>
      <c r="M38" s="147"/>
      <c r="N38" s="115"/>
    </row>
    <row r="39" spans="1:14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121"/>
      <c r="G39" s="274" t="s">
        <v>2</v>
      </c>
      <c r="H39" s="274"/>
      <c r="I39" s="274"/>
      <c r="J39" s="274"/>
      <c r="K39" s="274"/>
      <c r="L39" s="274"/>
      <c r="M39" s="300"/>
    </row>
    <row r="40" spans="1:14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4" hidden="1">
      <c r="A41" s="17"/>
      <c r="B41" s="17"/>
      <c r="C41" s="17"/>
      <c r="D41" s="17"/>
      <c r="E41" s="17"/>
      <c r="F41" s="17"/>
      <c r="G41" s="17"/>
      <c r="H41" s="177"/>
      <c r="I41" s="177"/>
      <c r="J41" s="177"/>
      <c r="K41" s="17"/>
      <c r="L41" s="17"/>
      <c r="M41" s="17"/>
    </row>
    <row r="42" spans="1:14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78" t="s">
        <v>10</v>
      </c>
      <c r="I42" s="178"/>
      <c r="J42" s="17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78" t="s">
        <v>36</v>
      </c>
      <c r="I43" s="178"/>
      <c r="J43" s="178">
        <v>6</v>
      </c>
      <c r="K43" s="18">
        <v>7</v>
      </c>
      <c r="L43" s="18"/>
      <c r="M43" s="18" t="s">
        <v>37</v>
      </c>
    </row>
    <row r="44" spans="1:14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179">
        <f>F44/G44</f>
        <v>0.7</v>
      </c>
      <c r="I44" s="179"/>
      <c r="J44" s="17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179">
        <f t="shared" ref="H45:H61" si="0">F45/G45</f>
        <v>0.1</v>
      </c>
      <c r="I45" s="179"/>
      <c r="J45" s="17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179">
        <f t="shared" si="0"/>
        <v>0.1</v>
      </c>
      <c r="I46" s="179"/>
      <c r="J46" s="17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179">
        <f t="shared" si="0"/>
        <v>0</v>
      </c>
      <c r="I47" s="179"/>
      <c r="J47" s="178"/>
      <c r="K47" s="21"/>
      <c r="L47" s="21"/>
      <c r="M47" s="21">
        <f t="shared" si="1"/>
        <v>0</v>
      </c>
    </row>
    <row r="48" spans="1:14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179">
        <f t="shared" si="0"/>
        <v>0</v>
      </c>
      <c r="I48" s="179"/>
      <c r="J48" s="178"/>
      <c r="K48" s="21"/>
      <c r="L48" s="21"/>
      <c r="M48" s="21">
        <f t="shared" si="1"/>
        <v>0</v>
      </c>
    </row>
    <row r="49" spans="1:13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179">
        <f t="shared" si="0"/>
        <v>0</v>
      </c>
      <c r="I49" s="179"/>
      <c r="J49" s="178"/>
      <c r="K49" s="21"/>
      <c r="L49" s="21"/>
      <c r="M49" s="21">
        <f t="shared" si="1"/>
        <v>0</v>
      </c>
    </row>
    <row r="50" spans="1:13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179">
        <f t="shared" si="0"/>
        <v>0</v>
      </c>
      <c r="I50" s="179"/>
      <c r="J50" s="178"/>
      <c r="K50" s="21"/>
      <c r="L50" s="21"/>
      <c r="M50" s="21">
        <f t="shared" si="1"/>
        <v>0</v>
      </c>
    </row>
    <row r="51" spans="1:13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179">
        <f t="shared" si="0"/>
        <v>0</v>
      </c>
      <c r="I51" s="179"/>
      <c r="J51" s="178"/>
      <c r="K51" s="21"/>
      <c r="L51" s="21"/>
      <c r="M51" s="21">
        <f t="shared" si="1"/>
        <v>0</v>
      </c>
    </row>
    <row r="52" spans="1:13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179">
        <f t="shared" si="0"/>
        <v>0</v>
      </c>
      <c r="I52" s="179"/>
      <c r="J52" s="178"/>
      <c r="K52" s="21"/>
      <c r="L52" s="21"/>
      <c r="M52" s="21">
        <f t="shared" si="1"/>
        <v>0</v>
      </c>
    </row>
    <row r="53" spans="1:13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179">
        <f t="shared" si="0"/>
        <v>0</v>
      </c>
      <c r="I53" s="179"/>
      <c r="J53" s="178"/>
      <c r="K53" s="21"/>
      <c r="L53" s="21"/>
      <c r="M53" s="21">
        <f t="shared" si="1"/>
        <v>0</v>
      </c>
    </row>
    <row r="54" spans="1:13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179">
        <f t="shared" si="0"/>
        <v>0</v>
      </c>
      <c r="I54" s="179"/>
      <c r="J54" s="180"/>
      <c r="K54" s="22"/>
      <c r="L54" s="22"/>
      <c r="M54" s="21">
        <f t="shared" si="1"/>
        <v>0</v>
      </c>
    </row>
    <row r="55" spans="1:13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179">
        <f t="shared" si="0"/>
        <v>0</v>
      </c>
      <c r="I55" s="179"/>
      <c r="J55" s="180"/>
      <c r="K55" s="22"/>
      <c r="L55" s="22"/>
      <c r="M55" s="21">
        <f t="shared" si="1"/>
        <v>0</v>
      </c>
    </row>
    <row r="56" spans="1:13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179">
        <f t="shared" si="0"/>
        <v>0</v>
      </c>
      <c r="I56" s="179"/>
      <c r="J56" s="180"/>
      <c r="K56" s="22"/>
      <c r="L56" s="22"/>
      <c r="M56" s="21">
        <f t="shared" si="1"/>
        <v>0</v>
      </c>
    </row>
    <row r="57" spans="1:13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179">
        <f t="shared" si="0"/>
        <v>0</v>
      </c>
      <c r="I57" s="179"/>
      <c r="J57" s="180"/>
      <c r="K57" s="22"/>
      <c r="L57" s="22"/>
      <c r="M57" s="21">
        <f t="shared" si="1"/>
        <v>0</v>
      </c>
    </row>
    <row r="58" spans="1:13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179">
        <f t="shared" si="0"/>
        <v>0</v>
      </c>
      <c r="I58" s="179"/>
      <c r="J58" s="180"/>
      <c r="K58" s="22"/>
      <c r="L58" s="22"/>
      <c r="M58" s="21">
        <f t="shared" si="1"/>
        <v>0</v>
      </c>
    </row>
    <row r="59" spans="1:13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179">
        <f t="shared" si="0"/>
        <v>0</v>
      </c>
      <c r="I59" s="179"/>
      <c r="J59" s="180"/>
      <c r="K59" s="22"/>
      <c r="L59" s="22"/>
      <c r="M59" s="21">
        <f t="shared" si="1"/>
        <v>0</v>
      </c>
    </row>
    <row r="60" spans="1:13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179">
        <f t="shared" si="0"/>
        <v>0</v>
      </c>
      <c r="I60" s="179"/>
      <c r="J60" s="180"/>
      <c r="K60" s="22"/>
      <c r="L60" s="22"/>
      <c r="M60" s="21">
        <f t="shared" si="1"/>
        <v>0</v>
      </c>
    </row>
    <row r="61" spans="1:13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179">
        <f t="shared" si="0"/>
        <v>0</v>
      </c>
      <c r="I61" s="179"/>
      <c r="J61" s="180"/>
      <c r="K61" s="22"/>
      <c r="L61" s="22"/>
      <c r="M61" s="21">
        <f t="shared" si="1"/>
        <v>0</v>
      </c>
    </row>
    <row r="62" spans="1:13" hidden="1">
      <c r="A62" s="248" t="s">
        <v>59</v>
      </c>
      <c r="B62" s="248"/>
      <c r="C62" s="248"/>
      <c r="D62" s="248"/>
      <c r="E62" s="19"/>
      <c r="F62" s="19"/>
      <c r="G62" s="19"/>
      <c r="H62" s="181"/>
      <c r="I62" s="181"/>
      <c r="J62" s="180"/>
      <c r="K62" s="22"/>
      <c r="L62" s="22"/>
      <c r="M62" s="22">
        <f t="shared" si="1"/>
        <v>0</v>
      </c>
    </row>
    <row r="63" spans="1:13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20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44"/>
      <c r="I64" s="44"/>
      <c r="J64" s="44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44"/>
      <c r="I65" s="44"/>
      <c r="J65" s="44"/>
      <c r="K65" s="10"/>
      <c r="L65" s="10"/>
      <c r="M65" s="10"/>
    </row>
    <row r="66" spans="1:14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</row>
    <row r="67" spans="1:14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182" t="s">
        <v>44</v>
      </c>
      <c r="I67" s="24" t="s">
        <v>63</v>
      </c>
      <c r="J67" s="24" t="s">
        <v>69</v>
      </c>
      <c r="K67" s="8" t="s">
        <v>46</v>
      </c>
      <c r="L67" s="27"/>
      <c r="M67" s="27"/>
    </row>
    <row r="68" spans="1:14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183">
        <v>5</v>
      </c>
      <c r="I68" s="184">
        <v>6</v>
      </c>
      <c r="J68" s="185">
        <v>7</v>
      </c>
      <c r="K68" s="35">
        <v>8</v>
      </c>
      <c r="L68" s="108"/>
      <c r="M68" s="27"/>
    </row>
    <row r="69" spans="1:14" ht="40.200000000000003" customHeight="1" thickBot="1">
      <c r="A69" s="223" t="s">
        <v>66</v>
      </c>
      <c r="B69" s="223"/>
      <c r="C69" s="223"/>
      <c r="D69" s="223"/>
      <c r="E69" s="36">
        <f>G69/12/F69</f>
        <v>32951.390350877191</v>
      </c>
      <c r="F69" s="36">
        <v>1.9</v>
      </c>
      <c r="G69" s="124">
        <v>751291.7</v>
      </c>
      <c r="H69" s="36">
        <v>978181.8</v>
      </c>
      <c r="I69" s="43">
        <v>58</v>
      </c>
      <c r="J69" s="36">
        <f>H69/I69</f>
        <v>16865.203448275865</v>
      </c>
      <c r="K69" s="56">
        <f>H69/11508021.17*100</f>
        <v>8.5000000047792756</v>
      </c>
      <c r="L69" s="109"/>
      <c r="M69" s="15"/>
    </row>
    <row r="70" spans="1:14" ht="15" thickBot="1">
      <c r="A70" s="258" t="s">
        <v>47</v>
      </c>
      <c r="B70" s="258"/>
      <c r="C70" s="258"/>
      <c r="D70" s="258"/>
      <c r="E70" s="61"/>
      <c r="F70" s="118"/>
      <c r="G70" s="118"/>
      <c r="H70" s="65">
        <f>H69</f>
        <v>978181.8</v>
      </c>
      <c r="I70" s="46"/>
      <c r="J70" s="62">
        <f>J69</f>
        <v>16865.203448275865</v>
      </c>
      <c r="K70" s="44"/>
      <c r="L70" s="44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44"/>
      <c r="I71" s="44"/>
      <c r="J71" s="44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44"/>
      <c r="I72" s="44"/>
      <c r="J72" s="44"/>
      <c r="K72" s="10"/>
      <c r="L72" s="10"/>
      <c r="M72" s="10"/>
    </row>
    <row r="73" spans="1:14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</row>
    <row r="74" spans="1:14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24" t="s">
        <v>48</v>
      </c>
      <c r="I74" s="24" t="s">
        <v>63</v>
      </c>
      <c r="J74" s="24" t="s">
        <v>69</v>
      </c>
      <c r="K74" s="10"/>
      <c r="L74" s="10"/>
      <c r="M74" s="10"/>
      <c r="N74" s="115"/>
    </row>
    <row r="75" spans="1:14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183">
        <v>5</v>
      </c>
      <c r="I75" s="184">
        <v>6</v>
      </c>
      <c r="J75" s="184" t="s">
        <v>45</v>
      </c>
      <c r="K75" s="10"/>
      <c r="L75" s="10"/>
      <c r="M75" s="27"/>
    </row>
    <row r="76" spans="1:14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73.666666666666671</v>
      </c>
      <c r="H76" s="124">
        <f>10400*O4</f>
        <v>884.00000000000011</v>
      </c>
      <c r="I76" s="43">
        <v>58</v>
      </c>
      <c r="J76" s="36">
        <f>H76/I76</f>
        <v>15.241379310344829</v>
      </c>
      <c r="K76" s="10"/>
      <c r="L76" s="10"/>
      <c r="M76" s="10"/>
      <c r="N76" s="16"/>
    </row>
    <row r="77" spans="1:14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290.06250000000006</v>
      </c>
      <c r="H77" s="124">
        <f>40950*O4</f>
        <v>3480.7500000000005</v>
      </c>
      <c r="I77" s="43">
        <v>58</v>
      </c>
      <c r="J77" s="36">
        <f>H77/I77</f>
        <v>60.012931034482769</v>
      </c>
      <c r="K77" s="10"/>
      <c r="L77" s="10"/>
      <c r="M77" s="10"/>
      <c r="N77" s="10"/>
    </row>
    <row r="78" spans="1:14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4364.7500000000009</v>
      </c>
      <c r="I78" s="46"/>
      <c r="J78" s="53">
        <f>SUM(J76:J77)</f>
        <v>75.254310344827601</v>
      </c>
      <c r="K78" s="10"/>
      <c r="L78" s="10"/>
      <c r="M78" s="10"/>
      <c r="N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44"/>
      <c r="I79" s="44"/>
      <c r="J79" s="44"/>
      <c r="K79" s="10"/>
      <c r="L79" s="10"/>
      <c r="M79" s="10"/>
    </row>
    <row r="80" spans="1:14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24" t="s">
        <v>48</v>
      </c>
      <c r="I81" s="24" t="s">
        <v>63</v>
      </c>
      <c r="J81" s="24" t="s">
        <v>69</v>
      </c>
      <c r="K81" s="10"/>
      <c r="L81" s="10"/>
      <c r="M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183">
        <v>5</v>
      </c>
      <c r="I82" s="184">
        <v>6</v>
      </c>
      <c r="J82" s="184" t="s">
        <v>45</v>
      </c>
      <c r="K82" s="10"/>
      <c r="L82" s="10"/>
      <c r="M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6.0162289774465618</v>
      </c>
      <c r="G83" s="153">
        <v>6569.73</v>
      </c>
      <c r="H83" s="124">
        <f>465000*O4</f>
        <v>39525</v>
      </c>
      <c r="I83" s="43">
        <v>58</v>
      </c>
      <c r="J83" s="36">
        <f t="shared" ref="J83:J87" si="2">H83/I83</f>
        <v>681.4655172413793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57.494954785038068</v>
      </c>
      <c r="G84" s="153">
        <v>1768.22</v>
      </c>
      <c r="H84" s="124">
        <f>1196043.87*O4</f>
        <v>101663.72895000002</v>
      </c>
      <c r="I84" s="43">
        <v>58</v>
      </c>
      <c r="J84" s="36">
        <f t="shared" si="2"/>
        <v>1752.8229129310348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24">
        <f>147291.76*O4</f>
        <v>12519.799600000002</v>
      </c>
      <c r="I85" s="43">
        <v>58</v>
      </c>
      <c r="J85" s="36">
        <f t="shared" si="2"/>
        <v>215.85861379310347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24">
        <f>214508.24*O4</f>
        <v>18233.200400000002</v>
      </c>
      <c r="I86" s="43">
        <v>58</v>
      </c>
      <c r="J86" s="45">
        <f t="shared" si="2"/>
        <v>314.36552413793106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24">
        <f>36456.13*O4</f>
        <v>3098.7710499999998</v>
      </c>
      <c r="I87" s="43">
        <v>58</v>
      </c>
      <c r="J87" s="45">
        <f t="shared" si="2"/>
        <v>53.427087068965513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175040.50000000003</v>
      </c>
      <c r="I88" s="46"/>
      <c r="J88" s="53">
        <f>SUM(J83:J87)</f>
        <v>3017.9396551724144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4"/>
      <c r="I89" s="44"/>
      <c r="J89" s="44"/>
      <c r="K89" s="10"/>
      <c r="L89" s="10"/>
      <c r="M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</row>
    <row r="91" spans="1:17" ht="55.8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24" t="s">
        <v>74</v>
      </c>
      <c r="I91" s="24" t="s">
        <v>69</v>
      </c>
      <c r="J91" s="44"/>
      <c r="K91" s="10"/>
      <c r="L91" s="10"/>
    </row>
    <row r="92" spans="1:17" ht="15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12574.900000000001</v>
      </c>
      <c r="H92" s="43">
        <v>58</v>
      </c>
      <c r="I92" s="186">
        <f>G92/H92</f>
        <v>216.80862068965519</v>
      </c>
      <c r="J92" s="44"/>
      <c r="K92" s="10"/>
      <c r="L92" s="10"/>
      <c r="M92" s="10"/>
    </row>
    <row r="93" spans="1:17" ht="15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9116.25</v>
      </c>
      <c r="H93" s="43">
        <v>58</v>
      </c>
      <c r="I93" s="186">
        <f t="shared" ref="I93:I98" si="3">G93/H93</f>
        <v>157.17672413793105</v>
      </c>
      <c r="J93" s="44"/>
      <c r="K93" s="10"/>
      <c r="L93" s="10"/>
      <c r="M93" s="10"/>
    </row>
    <row r="94" spans="1:17" ht="15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884.00000000000011</v>
      </c>
      <c r="H94" s="43">
        <v>58</v>
      </c>
      <c r="I94" s="186">
        <f t="shared" si="3"/>
        <v>15.241379310344829</v>
      </c>
      <c r="J94" s="44"/>
      <c r="K94" s="10"/>
      <c r="L94" s="10"/>
      <c r="M94" s="10"/>
    </row>
    <row r="95" spans="1:17" ht="15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3400.0000000000005</v>
      </c>
      <c r="H95" s="43">
        <v>58</v>
      </c>
      <c r="I95" s="186">
        <f t="shared" si="3"/>
        <v>58.62068965517242</v>
      </c>
      <c r="J95" s="44"/>
      <c r="K95" s="10"/>
      <c r="L95" s="10"/>
      <c r="M95" s="10"/>
    </row>
    <row r="96" spans="1:17" ht="28.5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255.00000000000003</v>
      </c>
      <c r="H96" s="43">
        <v>58</v>
      </c>
      <c r="I96" s="186">
        <f>G96/H96</f>
        <v>4.3965517241379315</v>
      </c>
      <c r="J96" s="44"/>
      <c r="K96" s="15"/>
      <c r="L96" s="15"/>
      <c r="M96" s="15"/>
    </row>
    <row r="97" spans="1:14" ht="16.5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320.62</v>
      </c>
      <c r="H97" s="43">
        <v>58</v>
      </c>
      <c r="I97" s="186">
        <f t="shared" si="3"/>
        <v>5.5279310344827586</v>
      </c>
      <c r="J97" s="44"/>
      <c r="K97" s="10"/>
      <c r="L97" s="10"/>
      <c r="M97" s="10"/>
    </row>
    <row r="98" spans="1:14" ht="30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255.00000000000003</v>
      </c>
      <c r="H98" s="43">
        <v>58</v>
      </c>
      <c r="I98" s="186">
        <f t="shared" si="3"/>
        <v>4.3965517241379315</v>
      </c>
      <c r="J98" s="44"/>
      <c r="K98" s="10"/>
      <c r="L98" s="10"/>
      <c r="M98" s="10"/>
    </row>
    <row r="99" spans="1:14" ht="15" customHeight="1" thickBot="1">
      <c r="A99" s="132" t="s">
        <v>54</v>
      </c>
      <c r="B99" s="133"/>
      <c r="C99" s="133"/>
      <c r="D99" s="133"/>
      <c r="E99" s="133"/>
      <c r="F99" s="133"/>
      <c r="G99" s="66">
        <f>SUM(G92:G98)</f>
        <v>26805.77</v>
      </c>
      <c r="I99" s="187">
        <f>SUM(I92:I98)</f>
        <v>462.16844827586209</v>
      </c>
      <c r="K99" s="10"/>
      <c r="L99" s="10"/>
      <c r="M99" s="10"/>
      <c r="N99" s="10"/>
    </row>
    <row r="100" spans="1:14" s="75" customFormat="1" ht="15" customHeight="1">
      <c r="A100" s="74"/>
      <c r="B100" s="74"/>
      <c r="C100" s="74"/>
      <c r="D100" s="74"/>
      <c r="E100" s="74"/>
      <c r="F100" s="74"/>
      <c r="G100" s="174"/>
      <c r="H100" s="188"/>
      <c r="I100" s="70"/>
      <c r="J100" s="188"/>
      <c r="K100" s="73"/>
      <c r="L100" s="73"/>
      <c r="M100" s="73"/>
      <c r="N100" s="73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</row>
    <row r="102" spans="1:14" ht="55.8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24" t="s">
        <v>74</v>
      </c>
      <c r="I102" s="24" t="s">
        <v>69</v>
      </c>
      <c r="J102" s="44"/>
      <c r="K102" s="10"/>
      <c r="L102" s="10"/>
      <c r="M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2435.25</v>
      </c>
      <c r="H103" s="43">
        <v>58</v>
      </c>
      <c r="I103" s="189">
        <f>G103/H103</f>
        <v>41.987068965517238</v>
      </c>
      <c r="J103" s="44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2937.09</v>
      </c>
      <c r="H104" s="43">
        <v>58</v>
      </c>
      <c r="I104" s="189">
        <f t="shared" ref="I104:I109" si="4">G104/H104</f>
        <v>50.639482758620694</v>
      </c>
      <c r="J104" s="44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12620.630000000001</v>
      </c>
      <c r="H105" s="43">
        <v>58</v>
      </c>
      <c r="I105" s="189">
        <f t="shared" si="4"/>
        <v>217.59706896551725</v>
      </c>
      <c r="J105" s="44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22680.434400000002</v>
      </c>
      <c r="H106" s="43">
        <v>58</v>
      </c>
      <c r="I106" s="189">
        <f t="shared" si="4"/>
        <v>391.04197241379313</v>
      </c>
      <c r="J106" s="44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1262.03665</v>
      </c>
      <c r="H107" s="43">
        <v>58</v>
      </c>
      <c r="I107" s="189">
        <f t="shared" si="4"/>
        <v>21.759252586206898</v>
      </c>
      <c r="J107" s="44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595</v>
      </c>
      <c r="H108" s="43">
        <v>58</v>
      </c>
      <c r="I108" s="189">
        <f t="shared" si="4"/>
        <v>10.258620689655173</v>
      </c>
      <c r="J108" s="44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718.25</v>
      </c>
      <c r="H109" s="43">
        <v>58</v>
      </c>
      <c r="I109" s="189">
        <f t="shared" si="4"/>
        <v>12.383620689655173</v>
      </c>
      <c r="J109" s="44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43248.691050000001</v>
      </c>
      <c r="H110" s="44"/>
      <c r="I110" s="187">
        <f>SUM(I103:I109)</f>
        <v>745.66708706896543</v>
      </c>
      <c r="J110" s="44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122"/>
      <c r="G111" s="70"/>
      <c r="H111" s="71"/>
      <c r="I111" s="70"/>
      <c r="J111" s="71"/>
      <c r="K111" s="74"/>
      <c r="L111" s="74"/>
      <c r="M111" s="74"/>
      <c r="N111" s="73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8" t="s">
        <v>74</v>
      </c>
      <c r="H113" s="298" t="s">
        <v>69</v>
      </c>
      <c r="I113" s="299"/>
      <c r="J113" s="44"/>
      <c r="K113" s="10"/>
      <c r="L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590.75</v>
      </c>
      <c r="G114" s="43">
        <v>58</v>
      </c>
      <c r="H114" s="302">
        <f t="shared" ref="H114" si="5">F114/G114</f>
        <v>10.185344827586206</v>
      </c>
      <c r="I114" s="302"/>
      <c r="J114" s="44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590.75</v>
      </c>
      <c r="G115" s="44"/>
      <c r="H115" s="303">
        <f>SUM(H114:H114)</f>
        <v>10.185344827586206</v>
      </c>
      <c r="I115" s="304"/>
      <c r="J115" s="171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1"/>
      <c r="J116" s="76"/>
      <c r="K116" s="73"/>
      <c r="L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24" t="s">
        <v>69</v>
      </c>
      <c r="I118" s="44"/>
      <c r="J118" s="44"/>
      <c r="K118" s="10"/>
      <c r="L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7118.7474500000008</v>
      </c>
      <c r="G119" s="43">
        <v>58</v>
      </c>
      <c r="H119" s="189">
        <f t="shared" ref="H119:H120" si="6">F119/G119</f>
        <v>122.73702500000002</v>
      </c>
      <c r="I119" s="44"/>
      <c r="J119" s="44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665.55000000000007</v>
      </c>
      <c r="G120" s="43">
        <v>58</v>
      </c>
      <c r="H120" s="189">
        <f t="shared" si="6"/>
        <v>11.475000000000001</v>
      </c>
      <c r="I120" s="44"/>
      <c r="J120" s="44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7784.2974500000009</v>
      </c>
      <c r="G121" s="44"/>
      <c r="H121" s="50">
        <f>SUM(H119:H120)</f>
        <v>134.21202500000001</v>
      </c>
      <c r="I121" s="44"/>
      <c r="J121" s="171"/>
      <c r="K121" s="10"/>
      <c r="L121" s="10"/>
      <c r="M121" s="10"/>
    </row>
    <row r="122" spans="1:14" s="75" customFormat="1" ht="20.25" customHeight="1">
      <c r="A122" s="76"/>
      <c r="B122" s="76"/>
      <c r="C122" s="76"/>
      <c r="D122" s="76"/>
      <c r="E122" s="122"/>
      <c r="F122" s="70"/>
      <c r="G122" s="71"/>
      <c r="H122" s="72"/>
      <c r="I122" s="71"/>
      <c r="J122" s="76"/>
      <c r="K122" s="73"/>
      <c r="L122" s="73"/>
      <c r="M122" s="73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305" t="s">
        <v>69</v>
      </c>
      <c r="I124" s="305"/>
      <c r="J124" s="44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14516.300000000001</v>
      </c>
      <c r="G125" s="43">
        <v>58</v>
      </c>
      <c r="H125" s="302">
        <f>F125/G125</f>
        <v>250.28103448275863</v>
      </c>
      <c r="I125" s="302"/>
      <c r="J125" s="44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14516.300000000001</v>
      </c>
      <c r="G126" s="44"/>
      <c r="H126" s="303">
        <f>SUM(H125:H125)</f>
        <v>250.28103448275863</v>
      </c>
      <c r="I126" s="304"/>
      <c r="J126" s="171"/>
      <c r="K126" s="10"/>
      <c r="L126" s="10"/>
      <c r="M126" s="10"/>
    </row>
    <row r="127" spans="1:14" s="75" customFormat="1" ht="20.25" customHeight="1">
      <c r="A127" s="76"/>
      <c r="B127" s="76"/>
      <c r="C127" s="76"/>
      <c r="D127" s="76"/>
      <c r="E127" s="122"/>
      <c r="F127" s="70"/>
      <c r="G127" s="71"/>
      <c r="H127" s="72"/>
      <c r="I127" s="71"/>
      <c r="J127" s="76"/>
      <c r="K127" s="73"/>
      <c r="L127" s="73"/>
      <c r="M127" s="73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</row>
    <row r="129" spans="1:16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24" t="s">
        <v>69</v>
      </c>
      <c r="I129" s="44"/>
      <c r="J129" s="44"/>
      <c r="K129" s="10"/>
      <c r="L129" s="10"/>
      <c r="M129" s="10"/>
    </row>
    <row r="130" spans="1:16">
      <c r="A130" s="198" t="s">
        <v>140</v>
      </c>
      <c r="B130" s="199"/>
      <c r="C130" s="199"/>
      <c r="D130" s="199"/>
      <c r="E130" s="49" t="s">
        <v>27</v>
      </c>
      <c r="F130" s="158">
        <f>9000*$O$4</f>
        <v>765</v>
      </c>
      <c r="G130" s="43">
        <v>58</v>
      </c>
      <c r="H130" s="189">
        <f t="shared" ref="H130:H137" si="7">F130/G130</f>
        <v>13.189655172413794</v>
      </c>
      <c r="I130" s="44"/>
      <c r="J130" s="44"/>
      <c r="K130" s="10"/>
      <c r="L130" s="10"/>
      <c r="M130" s="10"/>
    </row>
    <row r="131" spans="1:16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5491</v>
      </c>
      <c r="G131" s="43">
        <v>58</v>
      </c>
      <c r="H131" s="189">
        <f t="shared" si="7"/>
        <v>94.672413793103445</v>
      </c>
      <c r="I131" s="44"/>
      <c r="J131" s="44"/>
      <c r="K131" s="10"/>
      <c r="L131" s="10"/>
      <c r="M131" s="10"/>
    </row>
    <row r="132" spans="1:16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1700.0000000000002</v>
      </c>
      <c r="G132" s="43">
        <v>58</v>
      </c>
      <c r="H132" s="189">
        <f t="shared" si="7"/>
        <v>29.31034482758621</v>
      </c>
      <c r="I132" s="44"/>
      <c r="J132" s="44"/>
      <c r="K132" s="10"/>
      <c r="L132" s="10"/>
      <c r="M132" s="10"/>
    </row>
    <row r="133" spans="1:16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1666.0000000000002</v>
      </c>
      <c r="G133" s="43">
        <v>58</v>
      </c>
      <c r="H133" s="189">
        <f t="shared" si="7"/>
        <v>28.724137931034488</v>
      </c>
      <c r="I133" s="44"/>
      <c r="J133" s="44"/>
      <c r="K133" s="10"/>
      <c r="L133" s="10"/>
      <c r="M133" s="10"/>
    </row>
    <row r="134" spans="1:16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68</v>
      </c>
      <c r="G134" s="43">
        <v>58</v>
      </c>
      <c r="H134" s="189">
        <f t="shared" si="7"/>
        <v>1.1724137931034482</v>
      </c>
      <c r="I134" s="44"/>
      <c r="J134" s="44"/>
      <c r="K134" s="10"/>
      <c r="L134" s="10"/>
      <c r="M134" s="10"/>
    </row>
    <row r="135" spans="1:16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136</v>
      </c>
      <c r="G135" s="43">
        <v>58</v>
      </c>
      <c r="H135" s="189">
        <f t="shared" si="7"/>
        <v>2.3448275862068964</v>
      </c>
      <c r="I135" s="44"/>
      <c r="J135" s="44"/>
      <c r="K135" s="10"/>
      <c r="L135" s="10"/>
      <c r="M135" s="10"/>
    </row>
    <row r="136" spans="1:16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408.00000000000006</v>
      </c>
      <c r="G136" s="43">
        <v>58</v>
      </c>
      <c r="H136" s="189">
        <f t="shared" si="7"/>
        <v>7.0344827586206904</v>
      </c>
      <c r="I136" s="44"/>
      <c r="J136" s="44"/>
      <c r="K136" s="10"/>
      <c r="L136" s="10"/>
      <c r="M136" s="10"/>
    </row>
    <row r="137" spans="1:16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816.00000000000011</v>
      </c>
      <c r="G137" s="43">
        <v>58</v>
      </c>
      <c r="H137" s="189">
        <f t="shared" si="7"/>
        <v>14.068965517241381</v>
      </c>
      <c r="I137" s="44"/>
      <c r="J137" s="44"/>
      <c r="K137" s="10"/>
      <c r="L137" s="10"/>
      <c r="M137" s="10"/>
    </row>
    <row r="138" spans="1:16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11050</v>
      </c>
      <c r="G138" s="44"/>
      <c r="H138" s="50">
        <f>SUM(H130:H137)</f>
        <v>190.51724137931035</v>
      </c>
      <c r="I138" s="44"/>
      <c r="J138" s="171"/>
      <c r="K138" s="10"/>
      <c r="L138" s="10"/>
      <c r="M138" s="10"/>
    </row>
    <row r="139" spans="1:16" ht="20.25" customHeight="1">
      <c r="A139" s="171"/>
      <c r="B139" s="171"/>
      <c r="C139" s="171"/>
      <c r="D139" s="171"/>
      <c r="E139" s="172"/>
      <c r="F139" s="173"/>
      <c r="G139" s="44"/>
      <c r="H139" s="175"/>
      <c r="I139" s="44"/>
      <c r="J139" s="171"/>
      <c r="K139" s="10"/>
      <c r="L139" s="10"/>
    </row>
    <row r="140" spans="1:16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</row>
    <row r="141" spans="1:16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182" t="s">
        <v>44</v>
      </c>
      <c r="I141" s="24" t="s">
        <v>63</v>
      </c>
      <c r="J141" s="24" t="s">
        <v>69</v>
      </c>
      <c r="K141" s="8" t="s">
        <v>46</v>
      </c>
      <c r="L141" s="27"/>
      <c r="M141" s="27"/>
      <c r="N141" s="123">
        <v>21290323</v>
      </c>
      <c r="O141">
        <v>62.83</v>
      </c>
    </row>
    <row r="142" spans="1:16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183">
        <v>5</v>
      </c>
      <c r="I142" s="184">
        <v>6</v>
      </c>
      <c r="J142" s="185">
        <v>7</v>
      </c>
      <c r="K142" s="35">
        <v>8</v>
      </c>
      <c r="L142" s="108"/>
      <c r="M142" s="27"/>
      <c r="N142">
        <f>11540394-1482000</f>
        <v>10058394</v>
      </c>
      <c r="O142">
        <v>21.58</v>
      </c>
      <c r="P142">
        <f>N142*1.302</f>
        <v>13096028.988</v>
      </c>
    </row>
    <row r="143" spans="1:16" ht="31.2" customHeight="1" thickBot="1">
      <c r="A143" s="223" t="s">
        <v>67</v>
      </c>
      <c r="B143" s="223"/>
      <c r="C143" s="223"/>
      <c r="D143" s="223"/>
      <c r="E143" s="36">
        <f>G143/12/F143</f>
        <v>33243.507288629735</v>
      </c>
      <c r="F143" s="36">
        <v>3.43</v>
      </c>
      <c r="G143" s="124">
        <v>1368302.76</v>
      </c>
      <c r="H143" s="36">
        <v>1781530.2</v>
      </c>
      <c r="I143" s="43">
        <v>58</v>
      </c>
      <c r="J143" s="36">
        <f>H143/I143</f>
        <v>30716.037931034483</v>
      </c>
      <c r="K143" s="56">
        <f>H143/20959178.83*100</f>
        <v>8.499999997375852</v>
      </c>
      <c r="L143" s="109"/>
      <c r="M143" s="15"/>
      <c r="N143" s="123">
        <f>N141-N142</f>
        <v>11231929</v>
      </c>
      <c r="O143">
        <v>41.25</v>
      </c>
      <c r="P143">
        <f>N143*1.302</f>
        <v>14623971.558</v>
      </c>
    </row>
    <row r="144" spans="1:16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8">F144/G144*H144</f>
        <v>#DIV/0!</v>
      </c>
      <c r="J144" s="36">
        <f t="shared" ref="J144:J165" si="9">E144*F144*12*1.302</f>
        <v>1116552.28608</v>
      </c>
      <c r="K144" s="58" t="s">
        <v>38</v>
      </c>
      <c r="L144" s="110"/>
      <c r="M144" s="31" t="e">
        <f t="shared" ref="M144:M168" si="10">I144*J144</f>
        <v>#DIV/0!</v>
      </c>
    </row>
    <row r="145" spans="1:13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8"/>
        <v>#DIV/0!</v>
      </c>
      <c r="J145" s="36">
        <f t="shared" si="9"/>
        <v>149115.45600000001</v>
      </c>
      <c r="K145" s="37">
        <f>H145/11277167.39*100</f>
        <v>0</v>
      </c>
      <c r="L145" s="37"/>
      <c r="M145" s="14" t="e">
        <f t="shared" si="10"/>
        <v>#DIV/0!</v>
      </c>
    </row>
    <row r="146" spans="1:13" ht="15" hidden="1" customHeight="1" thickBo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8"/>
        <v>#DIV/0!</v>
      </c>
      <c r="J146" s="36">
        <f t="shared" si="9"/>
        <v>180613.44</v>
      </c>
      <c r="K146" s="29"/>
      <c r="L146" s="29"/>
      <c r="M146" s="14" t="e">
        <f t="shared" si="10"/>
        <v>#DIV/0!</v>
      </c>
    </row>
    <row r="147" spans="1:13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8"/>
        <v>#DIV/0!</v>
      </c>
      <c r="J147" s="36">
        <f t="shared" si="9"/>
        <v>74557.728000000003</v>
      </c>
      <c r="K147" s="29"/>
      <c r="L147" s="29"/>
      <c r="M147" s="14" t="e">
        <f t="shared" si="10"/>
        <v>#DIV/0!</v>
      </c>
    </row>
    <row r="148" spans="1:13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8"/>
        <v>#DIV/0!</v>
      </c>
      <c r="J148" s="36">
        <f t="shared" si="9"/>
        <v>149115.45600000001</v>
      </c>
      <c r="K148" s="36"/>
      <c r="L148" s="36"/>
      <c r="M148" s="14" t="e">
        <f t="shared" si="10"/>
        <v>#DIV/0!</v>
      </c>
    </row>
    <row r="149" spans="1:13" ht="14.25" hidden="1" customHeigh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8"/>
        <v>#DIV/0!</v>
      </c>
      <c r="J149" s="36">
        <f t="shared" si="9"/>
        <v>149115.45600000001</v>
      </c>
      <c r="K149" s="44"/>
      <c r="L149" s="44"/>
      <c r="M149" s="14" t="e">
        <f t="shared" si="10"/>
        <v>#DIV/0!</v>
      </c>
    </row>
    <row r="150" spans="1:13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8"/>
        <v>#DIV/0!</v>
      </c>
      <c r="J150" s="36">
        <f t="shared" si="9"/>
        <v>0</v>
      </c>
      <c r="K150" s="44"/>
      <c r="L150" s="44"/>
      <c r="M150" s="14" t="e">
        <f t="shared" si="10"/>
        <v>#DIV/0!</v>
      </c>
    </row>
    <row r="151" spans="1:13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8"/>
        <v>#DIV/0!</v>
      </c>
      <c r="J151" s="36">
        <f t="shared" si="9"/>
        <v>37278.864000000001</v>
      </c>
      <c r="K151" s="44"/>
      <c r="L151" s="44"/>
      <c r="M151" s="14" t="e">
        <f t="shared" si="10"/>
        <v>#DIV/0!</v>
      </c>
    </row>
    <row r="152" spans="1:13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8"/>
        <v>#DIV/0!</v>
      </c>
      <c r="J152" s="36">
        <f t="shared" si="9"/>
        <v>0</v>
      </c>
      <c r="K152" s="44"/>
      <c r="L152" s="44"/>
      <c r="M152" s="14" t="e">
        <f t="shared" si="10"/>
        <v>#DIV/0!</v>
      </c>
    </row>
    <row r="153" spans="1:13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8"/>
        <v>#DIV/0!</v>
      </c>
      <c r="J153" s="36">
        <f t="shared" si="9"/>
        <v>74557.728000000003</v>
      </c>
      <c r="K153" s="44"/>
      <c r="L153" s="44"/>
      <c r="M153" s="14" t="e">
        <f t="shared" si="10"/>
        <v>#DIV/0!</v>
      </c>
    </row>
    <row r="154" spans="1:13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8"/>
        <v>#DIV/0!</v>
      </c>
      <c r="J154" s="36">
        <f t="shared" si="9"/>
        <v>149115.45600000001</v>
      </c>
      <c r="K154" s="44"/>
      <c r="L154" s="44"/>
      <c r="M154" s="14" t="e">
        <f t="shared" si="10"/>
        <v>#DIV/0!</v>
      </c>
    </row>
    <row r="155" spans="1:13" ht="15" hidden="1" customHeight="1" thickBo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8"/>
        <v>#DIV/0!</v>
      </c>
      <c r="J155" s="36">
        <f t="shared" si="9"/>
        <v>149115.45600000001</v>
      </c>
      <c r="K155" s="44"/>
      <c r="L155" s="44"/>
      <c r="M155" s="14" t="e">
        <f t="shared" si="10"/>
        <v>#DIV/0!</v>
      </c>
    </row>
    <row r="156" spans="1:13" ht="15" hidden="1" customHeigh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8"/>
        <v>#DIV/0!</v>
      </c>
      <c r="J156" s="36">
        <f t="shared" si="9"/>
        <v>820135.00800000003</v>
      </c>
      <c r="K156" s="44"/>
      <c r="L156" s="44"/>
      <c r="M156" s="14" t="e">
        <f t="shared" si="10"/>
        <v>#DIV/0!</v>
      </c>
    </row>
    <row r="157" spans="1:13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8"/>
        <v>#DIV/0!</v>
      </c>
      <c r="J157" s="36">
        <f t="shared" si="9"/>
        <v>149115.45600000001</v>
      </c>
      <c r="K157" s="44"/>
      <c r="L157" s="44"/>
      <c r="M157" s="14" t="e">
        <f t="shared" si="10"/>
        <v>#DIV/0!</v>
      </c>
    </row>
    <row r="158" spans="1:13" ht="15" hidden="1" customHeight="1" thickBo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8"/>
        <v>#DIV/0!</v>
      </c>
      <c r="J158" s="36">
        <f t="shared" si="9"/>
        <v>74557.728000000003</v>
      </c>
      <c r="K158" s="44"/>
      <c r="L158" s="44"/>
      <c r="M158" s="14" t="e">
        <f t="shared" si="10"/>
        <v>#DIV/0!</v>
      </c>
    </row>
    <row r="159" spans="1:13" ht="15" hidden="1" customHeight="1" thickBo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8"/>
        <v>#DIV/0!</v>
      </c>
      <c r="J159" s="36">
        <f t="shared" si="9"/>
        <v>74557.728000000003</v>
      </c>
      <c r="K159" s="44"/>
      <c r="L159" s="44"/>
      <c r="M159" s="14" t="e">
        <f t="shared" si="10"/>
        <v>#DIV/0!</v>
      </c>
    </row>
    <row r="160" spans="1:13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8"/>
        <v>#DIV/0!</v>
      </c>
      <c r="J160" s="36">
        <f t="shared" si="9"/>
        <v>149115.45600000001</v>
      </c>
      <c r="K160" s="44"/>
      <c r="L160" s="44"/>
      <c r="M160" s="14" t="e">
        <f t="shared" si="10"/>
        <v>#DIV/0!</v>
      </c>
    </row>
    <row r="161" spans="1:16" ht="15.75" hidden="1" customHeigh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8"/>
        <v>#DIV/0!</v>
      </c>
      <c r="J161" s="36">
        <f t="shared" si="9"/>
        <v>596461.82400000002</v>
      </c>
      <c r="K161" s="44"/>
      <c r="L161" s="44"/>
      <c r="M161" s="14" t="e">
        <f t="shared" si="10"/>
        <v>#DIV/0!</v>
      </c>
    </row>
    <row r="162" spans="1:16" ht="16.5" hidden="1" customHeigh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8"/>
        <v>#DIV/0!</v>
      </c>
      <c r="J162" s="36">
        <f t="shared" si="9"/>
        <v>149115.45600000001</v>
      </c>
      <c r="K162" s="44"/>
      <c r="L162" s="44"/>
      <c r="M162" s="14" t="e">
        <f t="shared" si="10"/>
        <v>#DIV/0!</v>
      </c>
    </row>
    <row r="163" spans="1:16" ht="16.5" hidden="1" customHeigh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8"/>
        <v>#DIV/0!</v>
      </c>
      <c r="J163" s="36">
        <f t="shared" si="9"/>
        <v>260952.04800000001</v>
      </c>
      <c r="K163" s="44"/>
      <c r="L163" s="44"/>
      <c r="M163" s="14" t="e">
        <f t="shared" si="10"/>
        <v>#DIV/0!</v>
      </c>
    </row>
    <row r="164" spans="1:16" ht="16.5" hidden="1" customHeight="1" thickBo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8"/>
        <v>#DIV/0!</v>
      </c>
      <c r="J164" s="36">
        <f t="shared" si="9"/>
        <v>0</v>
      </c>
      <c r="K164" s="44"/>
      <c r="L164" s="44"/>
      <c r="M164" s="14" t="e">
        <f t="shared" si="10"/>
        <v>#DIV/0!</v>
      </c>
    </row>
    <row r="165" spans="1:16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8"/>
        <v>#DIV/0!</v>
      </c>
      <c r="J165" s="36">
        <f t="shared" si="9"/>
        <v>74557.728000000003</v>
      </c>
      <c r="K165" s="44"/>
      <c r="L165" s="44"/>
      <c r="M165" s="14" t="e">
        <f t="shared" si="10"/>
        <v>#DIV/0!</v>
      </c>
    </row>
    <row r="166" spans="1:16" ht="15" hidden="1" customHeight="1" thickBo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14">
        <f t="shared" si="10"/>
        <v>0</v>
      </c>
    </row>
    <row r="167" spans="1:16" ht="15.75" hidden="1" customHeigh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14">
        <f t="shared" si="10"/>
        <v>0</v>
      </c>
    </row>
    <row r="168" spans="1:16" ht="14.25" hidden="1" customHeight="1" thickBo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30">
        <f t="shared" si="10"/>
        <v>0</v>
      </c>
    </row>
    <row r="169" spans="1:16" ht="15" thickBot="1">
      <c r="A169" s="258" t="s">
        <v>47</v>
      </c>
      <c r="B169" s="258"/>
      <c r="C169" s="258"/>
      <c r="D169" s="258"/>
      <c r="E169" s="61"/>
      <c r="F169" s="118"/>
      <c r="G169" s="118"/>
      <c r="H169" s="65">
        <f>H143</f>
        <v>1781530.2</v>
      </c>
      <c r="I169" s="46"/>
      <c r="J169" s="62">
        <f>J143</f>
        <v>30716.037931034483</v>
      </c>
      <c r="K169" s="44"/>
      <c r="L169" s="44"/>
      <c r="M169" s="15"/>
      <c r="P169">
        <f>H169/48.5%</f>
        <v>3673258.1443298971</v>
      </c>
    </row>
    <row r="170" spans="1:16" ht="22.2" customHeight="1">
      <c r="A170" s="10"/>
      <c r="B170" s="10"/>
      <c r="C170" s="10"/>
      <c r="D170" s="10"/>
      <c r="E170" s="10"/>
      <c r="F170" s="10"/>
      <c r="G170" s="10"/>
      <c r="H170" s="190"/>
      <c r="I170" s="190"/>
      <c r="J170" s="190"/>
      <c r="K170" s="10"/>
      <c r="L170" s="10"/>
      <c r="M170" s="10"/>
    </row>
    <row r="171" spans="1:16">
      <c r="A171" s="226" t="s">
        <v>61</v>
      </c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117"/>
      <c r="M171" s="10"/>
    </row>
    <row r="172" spans="1:16" s="75" customFormat="1">
      <c r="A172" s="134"/>
      <c r="B172" s="134"/>
      <c r="C172" s="134"/>
      <c r="D172" s="134"/>
      <c r="E172" s="134"/>
      <c r="F172" s="134"/>
      <c r="G172" s="134"/>
      <c r="H172" s="191"/>
      <c r="I172" s="191"/>
      <c r="J172" s="191"/>
      <c r="K172" s="134"/>
      <c r="L172" s="134"/>
      <c r="M172" s="73"/>
    </row>
    <row r="173" spans="1:16" ht="55.8">
      <c r="A173" s="206" t="s">
        <v>28</v>
      </c>
      <c r="B173" s="207"/>
      <c r="C173" s="207"/>
      <c r="D173" s="207"/>
      <c r="E173" s="8" t="s">
        <v>75</v>
      </c>
      <c r="F173" s="8" t="s">
        <v>48</v>
      </c>
      <c r="G173" s="8" t="s">
        <v>74</v>
      </c>
      <c r="H173" s="24" t="s">
        <v>69</v>
      </c>
      <c r="I173" s="44"/>
      <c r="J173" s="44"/>
      <c r="K173" s="10"/>
      <c r="L173" s="10"/>
    </row>
    <row r="174" spans="1:16" ht="15" thickBot="1">
      <c r="A174" s="198" t="s">
        <v>144</v>
      </c>
      <c r="B174" s="199"/>
      <c r="C174" s="199"/>
      <c r="D174" s="199"/>
      <c r="E174" s="49" t="s">
        <v>27</v>
      </c>
      <c r="F174" s="158">
        <f>1440*$O$4</f>
        <v>122.4</v>
      </c>
      <c r="G174" s="43">
        <v>58</v>
      </c>
      <c r="H174" s="189">
        <f t="shared" ref="H174" si="11">F174/G174</f>
        <v>2.1103448275862071</v>
      </c>
      <c r="I174" s="44"/>
      <c r="J174" s="44"/>
      <c r="K174" s="10"/>
      <c r="L174" s="10"/>
      <c r="M174" s="10"/>
    </row>
    <row r="175" spans="1:16" ht="20.25" customHeight="1" thickBot="1">
      <c r="A175" s="210" t="s">
        <v>53</v>
      </c>
      <c r="B175" s="211"/>
      <c r="C175" s="211"/>
      <c r="D175" s="211"/>
      <c r="E175" s="48"/>
      <c r="F175" s="65">
        <f>SUM(F174:F174)</f>
        <v>122.4</v>
      </c>
      <c r="G175" s="44"/>
      <c r="H175" s="50">
        <f>SUM(H174:H174)</f>
        <v>2.1103448275862071</v>
      </c>
      <c r="I175" s="44"/>
      <c r="J175" s="171"/>
      <c r="K175" s="10"/>
      <c r="L175" s="10"/>
      <c r="M175" s="10"/>
    </row>
    <row r="176" spans="1:16" s="75" customFormat="1">
      <c r="A176" s="134"/>
      <c r="B176" s="134"/>
      <c r="C176" s="134"/>
      <c r="D176" s="134"/>
      <c r="E176" s="134"/>
      <c r="F176" s="134"/>
      <c r="G176" s="134"/>
      <c r="H176" s="191"/>
      <c r="I176" s="191"/>
      <c r="J176" s="191"/>
      <c r="K176" s="134"/>
      <c r="L176" s="134"/>
      <c r="M176" s="73"/>
    </row>
    <row r="177" spans="1:14" ht="55.8">
      <c r="A177" s="206" t="s">
        <v>28</v>
      </c>
      <c r="B177" s="207"/>
      <c r="C177" s="207"/>
      <c r="D177" s="207"/>
      <c r="E177" s="8" t="s">
        <v>75</v>
      </c>
      <c r="F177" s="8" t="s">
        <v>48</v>
      </c>
      <c r="G177" s="8" t="s">
        <v>74</v>
      </c>
      <c r="H177" s="24" t="s">
        <v>69</v>
      </c>
      <c r="I177" s="44"/>
      <c r="J177" s="44"/>
      <c r="K177" s="10"/>
      <c r="L177" s="10"/>
    </row>
    <row r="178" spans="1:14" ht="51" customHeight="1" thickBot="1">
      <c r="A178" s="198" t="s">
        <v>145</v>
      </c>
      <c r="B178" s="199"/>
      <c r="C178" s="199"/>
      <c r="D178" s="199"/>
      <c r="E178" s="49" t="s">
        <v>27</v>
      </c>
      <c r="F178" s="158">
        <f>501795*$O$4</f>
        <v>42652.575000000004</v>
      </c>
      <c r="G178" s="43">
        <v>58</v>
      </c>
      <c r="H178" s="189">
        <f t="shared" ref="H178" si="12">F178/G178</f>
        <v>735.38922413793114</v>
      </c>
      <c r="I178" s="44"/>
      <c r="J178" s="44"/>
      <c r="K178" s="10"/>
      <c r="L178" s="10"/>
      <c r="M178" s="10"/>
    </row>
    <row r="179" spans="1:14" ht="20.25" customHeight="1" thickBot="1">
      <c r="A179" s="210" t="s">
        <v>53</v>
      </c>
      <c r="B179" s="211"/>
      <c r="C179" s="211"/>
      <c r="D179" s="211"/>
      <c r="E179" s="48"/>
      <c r="F179" s="65">
        <f>SUM(F178:F178)</f>
        <v>42652.575000000004</v>
      </c>
      <c r="G179" s="44"/>
      <c r="H179" s="50">
        <f>SUM(H178:H178)</f>
        <v>735.38922413793114</v>
      </c>
      <c r="I179" s="44"/>
      <c r="J179" s="171"/>
      <c r="K179" s="10"/>
      <c r="L179" s="10"/>
      <c r="M179" s="10"/>
    </row>
    <row r="180" spans="1:14" s="75" customFormat="1">
      <c r="A180" s="134"/>
      <c r="B180" s="134"/>
      <c r="C180" s="134"/>
      <c r="D180" s="134"/>
      <c r="E180" s="134"/>
      <c r="F180" s="134"/>
      <c r="G180" s="134"/>
      <c r="H180" s="191"/>
      <c r="I180" s="191"/>
      <c r="J180" s="191"/>
      <c r="K180" s="134"/>
      <c r="L180" s="134"/>
      <c r="M180" s="73"/>
    </row>
    <row r="181" spans="1:14" s="75" customFormat="1">
      <c r="A181" s="134"/>
      <c r="B181" s="134"/>
      <c r="C181" s="134"/>
      <c r="D181" s="134"/>
      <c r="E181" s="134"/>
      <c r="F181" s="134"/>
      <c r="G181" s="134"/>
      <c r="H181" s="191"/>
      <c r="I181" s="191"/>
      <c r="J181" s="191"/>
      <c r="K181" s="134"/>
      <c r="L181" s="134"/>
      <c r="M181" s="73"/>
    </row>
    <row r="182" spans="1:14" ht="55.8">
      <c r="A182" s="206" t="s">
        <v>62</v>
      </c>
      <c r="B182" s="207"/>
      <c r="C182" s="207"/>
      <c r="D182" s="217"/>
      <c r="E182" s="119" t="s">
        <v>7</v>
      </c>
      <c r="F182" s="119" t="s">
        <v>55</v>
      </c>
      <c r="G182" s="119" t="s">
        <v>42</v>
      </c>
      <c r="H182" s="192" t="s">
        <v>48</v>
      </c>
      <c r="I182" s="24" t="s">
        <v>63</v>
      </c>
      <c r="J182" s="24" t="s">
        <v>69</v>
      </c>
      <c r="K182" s="38"/>
      <c r="L182" s="27"/>
      <c r="M182" s="10"/>
    </row>
    <row r="183" spans="1:14" ht="36.75" customHeight="1">
      <c r="A183" s="198" t="s">
        <v>113</v>
      </c>
      <c r="B183" s="199"/>
      <c r="C183" s="199"/>
      <c r="D183" s="218"/>
      <c r="E183" s="149"/>
      <c r="F183" s="149"/>
      <c r="G183" s="149"/>
      <c r="H183" s="193">
        <f>350242.9*$O$4</f>
        <v>29770.646500000003</v>
      </c>
      <c r="I183" s="43">
        <v>58</v>
      </c>
      <c r="J183" s="194">
        <f>H183/I183</f>
        <v>513.28700862068968</v>
      </c>
      <c r="K183" s="38"/>
      <c r="L183" s="27"/>
      <c r="M183" s="27"/>
      <c r="N183" s="10"/>
    </row>
    <row r="184" spans="1:14" ht="34.5" customHeight="1" thickBot="1">
      <c r="A184" s="198" t="s">
        <v>114</v>
      </c>
      <c r="B184" s="199"/>
      <c r="C184" s="199"/>
      <c r="D184" s="218"/>
      <c r="E184" s="149"/>
      <c r="F184" s="149"/>
      <c r="G184" s="149"/>
      <c r="H184" s="193">
        <f>(39067+30300+25200+250000)*$O$4</f>
        <v>29288.195000000003</v>
      </c>
      <c r="I184" s="43">
        <v>58</v>
      </c>
      <c r="J184" s="194">
        <f t="shared" ref="J184" si="13">H184/I184</f>
        <v>504.9688793103449</v>
      </c>
      <c r="K184" s="38"/>
      <c r="L184" s="27"/>
      <c r="M184" s="27"/>
      <c r="N184" s="10"/>
    </row>
    <row r="185" spans="1:14" ht="15" thickBot="1">
      <c r="A185" s="229" t="s">
        <v>57</v>
      </c>
      <c r="B185" s="230"/>
      <c r="C185" s="230"/>
      <c r="D185" s="230"/>
      <c r="E185" s="230"/>
      <c r="F185" s="230"/>
      <c r="G185" s="231"/>
      <c r="H185" s="195">
        <f>H184+H183</f>
        <v>59058.84150000001</v>
      </c>
      <c r="I185" s="196"/>
      <c r="J185" s="187">
        <f>SUM(J183:J184)</f>
        <v>1018.2558879310345</v>
      </c>
      <c r="K185" s="10"/>
      <c r="L185" s="10"/>
      <c r="M185" s="10"/>
      <c r="N185" s="10"/>
    </row>
    <row r="186" spans="1:14" ht="32.4" customHeight="1">
      <c r="A186" s="10"/>
      <c r="B186" s="10"/>
      <c r="C186" s="10"/>
      <c r="D186" s="10"/>
      <c r="E186" s="10"/>
      <c r="F186" s="10"/>
      <c r="G186" s="10"/>
      <c r="H186" s="44"/>
      <c r="I186" s="44"/>
      <c r="J186" s="44"/>
      <c r="K186" s="10"/>
      <c r="L186" s="10"/>
      <c r="M186" s="10"/>
    </row>
    <row r="187" spans="1:14" ht="55.8">
      <c r="A187" s="206" t="s">
        <v>62</v>
      </c>
      <c r="B187" s="207"/>
      <c r="C187" s="207"/>
      <c r="D187" s="217"/>
      <c r="E187" s="119" t="s">
        <v>115</v>
      </c>
      <c r="F187" s="119" t="s">
        <v>55</v>
      </c>
      <c r="G187" s="119" t="s">
        <v>42</v>
      </c>
      <c r="H187" s="192" t="s">
        <v>48</v>
      </c>
      <c r="I187" s="24" t="s">
        <v>63</v>
      </c>
      <c r="J187" s="24" t="s">
        <v>69</v>
      </c>
      <c r="K187" s="38"/>
      <c r="L187" s="27"/>
      <c r="M187" s="10"/>
    </row>
    <row r="188" spans="1:14">
      <c r="A188" s="198" t="s">
        <v>78</v>
      </c>
      <c r="B188" s="199"/>
      <c r="C188" s="199"/>
      <c r="D188" s="218"/>
      <c r="E188" s="149">
        <v>120</v>
      </c>
      <c r="F188" s="149"/>
      <c r="G188" s="149"/>
      <c r="H188" s="193">
        <f>50000*$O$4</f>
        <v>4250</v>
      </c>
      <c r="I188" s="43">
        <v>58</v>
      </c>
      <c r="J188" s="194">
        <f>H188/I188</f>
        <v>73.275862068965523</v>
      </c>
      <c r="K188" s="38"/>
      <c r="L188" s="27"/>
      <c r="M188" s="27"/>
      <c r="N188" s="10"/>
    </row>
    <row r="189" spans="1:14">
      <c r="A189" s="198" t="s">
        <v>79</v>
      </c>
      <c r="B189" s="199"/>
      <c r="C189" s="199"/>
      <c r="D189" s="218"/>
      <c r="E189" s="149">
        <v>640</v>
      </c>
      <c r="F189" s="149"/>
      <c r="G189" s="149"/>
      <c r="H189" s="193">
        <f t="shared" ref="H189:H190" si="14">50000*$O$4</f>
        <v>4250</v>
      </c>
      <c r="I189" s="43">
        <v>58</v>
      </c>
      <c r="J189" s="194">
        <f t="shared" ref="J189:J190" si="15">H189/I189</f>
        <v>73.275862068965523</v>
      </c>
      <c r="K189" s="38"/>
      <c r="L189" s="27"/>
      <c r="M189" s="27"/>
      <c r="N189" s="10"/>
    </row>
    <row r="190" spans="1:14" ht="18" customHeight="1" thickBot="1">
      <c r="A190" s="198" t="s">
        <v>80</v>
      </c>
      <c r="B190" s="199"/>
      <c r="C190" s="199"/>
      <c r="D190" s="218"/>
      <c r="E190" s="149">
        <v>200</v>
      </c>
      <c r="F190" s="149"/>
      <c r="G190" s="149"/>
      <c r="H190" s="193">
        <f t="shared" si="14"/>
        <v>4250</v>
      </c>
      <c r="I190" s="43">
        <v>58</v>
      </c>
      <c r="J190" s="194">
        <f t="shared" si="15"/>
        <v>73.275862068965523</v>
      </c>
      <c r="K190" s="38"/>
      <c r="L190" s="27"/>
      <c r="M190" s="27"/>
      <c r="N190" s="10"/>
    </row>
    <row r="191" spans="1:14" ht="15" thickBot="1">
      <c r="A191" s="229" t="s">
        <v>57</v>
      </c>
      <c r="B191" s="230"/>
      <c r="C191" s="230"/>
      <c r="D191" s="230"/>
      <c r="E191" s="230"/>
      <c r="F191" s="230"/>
      <c r="G191" s="231"/>
      <c r="H191" s="195">
        <f>SUM(H188:H190)</f>
        <v>12750</v>
      </c>
      <c r="I191" s="196"/>
      <c r="J191" s="187">
        <f>SUM(J188:J190)</f>
        <v>219.82758620689657</v>
      </c>
      <c r="K191" s="10"/>
      <c r="L191" s="10"/>
      <c r="M191" s="10"/>
      <c r="N191" s="10"/>
    </row>
    <row r="192" spans="1:14" ht="25.2" customHeight="1">
      <c r="A192" s="10"/>
      <c r="B192" s="10"/>
      <c r="C192" s="10"/>
      <c r="D192" s="10"/>
      <c r="E192" s="10"/>
      <c r="F192" s="10"/>
      <c r="G192" s="10"/>
      <c r="H192" s="44"/>
      <c r="I192" s="44"/>
      <c r="J192" s="44"/>
      <c r="K192" s="10"/>
      <c r="L192" s="10"/>
      <c r="M192" s="10"/>
    </row>
    <row r="193" spans="1:18">
      <c r="A193" s="205" t="s">
        <v>29</v>
      </c>
      <c r="B193" s="205"/>
      <c r="C193" s="205"/>
      <c r="D193" s="205"/>
      <c r="E193" s="205"/>
      <c r="F193" s="205"/>
      <c r="G193" s="205"/>
      <c r="H193" s="205"/>
      <c r="I193" s="205"/>
      <c r="J193" s="205"/>
      <c r="K193" s="205"/>
      <c r="L193" s="205"/>
      <c r="M193" s="205"/>
    </row>
    <row r="194" spans="1:18">
      <c r="A194" s="10"/>
      <c r="B194" s="10"/>
      <c r="C194" s="10"/>
      <c r="D194" s="10"/>
      <c r="E194" s="10"/>
      <c r="F194" s="10"/>
      <c r="G194" s="10"/>
      <c r="H194" s="44"/>
      <c r="I194" s="44"/>
      <c r="J194" s="44"/>
      <c r="K194" s="10"/>
      <c r="L194" s="10"/>
      <c r="M194" s="10"/>
    </row>
    <row r="195" spans="1:18" ht="60" customHeight="1">
      <c r="A195" s="233" t="s">
        <v>30</v>
      </c>
      <c r="B195" s="234"/>
      <c r="C195" s="235"/>
      <c r="D195" s="200" t="s">
        <v>31</v>
      </c>
      <c r="E195" s="201"/>
      <c r="F195" s="201"/>
      <c r="G195" s="201"/>
      <c r="H195" s="201"/>
      <c r="I195" s="201"/>
      <c r="J195" s="201"/>
      <c r="K195" s="201"/>
      <c r="L195" s="201"/>
      <c r="M195" s="202"/>
      <c r="N195" s="150" t="s">
        <v>35</v>
      </c>
      <c r="O195" s="111"/>
      <c r="R195" s="123"/>
    </row>
    <row r="196" spans="1:18" ht="24" customHeight="1">
      <c r="A196" s="9" t="s">
        <v>32</v>
      </c>
      <c r="B196" s="103" t="s">
        <v>33</v>
      </c>
      <c r="C196" s="9" t="s">
        <v>34</v>
      </c>
      <c r="D196" s="8" t="s">
        <v>119</v>
      </c>
      <c r="E196" s="8" t="s">
        <v>120</v>
      </c>
      <c r="F196" s="8" t="s">
        <v>121</v>
      </c>
      <c r="G196" s="8" t="s">
        <v>122</v>
      </c>
      <c r="H196" s="24" t="s">
        <v>139</v>
      </c>
      <c r="I196" s="24" t="s">
        <v>143</v>
      </c>
      <c r="J196" s="24" t="s">
        <v>123</v>
      </c>
      <c r="K196" s="33" t="s">
        <v>124</v>
      </c>
      <c r="L196" s="149" t="s">
        <v>122</v>
      </c>
      <c r="M196" s="149" t="s">
        <v>168</v>
      </c>
      <c r="N196" s="151"/>
      <c r="O196" s="111"/>
    </row>
    <row r="197" spans="1:18" ht="15" thickBot="1">
      <c r="A197" s="14">
        <f>J70</f>
        <v>16865.203448275865</v>
      </c>
      <c r="B197" s="14"/>
      <c r="C197" s="14"/>
      <c r="D197" s="14">
        <f>J78</f>
        <v>75.254310344827601</v>
      </c>
      <c r="E197" s="14">
        <f>J88</f>
        <v>3017.9396551724144</v>
      </c>
      <c r="F197" s="14">
        <f>I99</f>
        <v>462.16844827586209</v>
      </c>
      <c r="G197" s="14">
        <f>I110</f>
        <v>745.66708706896543</v>
      </c>
      <c r="H197" s="36">
        <f>H115</f>
        <v>10.185344827586206</v>
      </c>
      <c r="I197" s="36">
        <f>H138</f>
        <v>190.51724137931035</v>
      </c>
      <c r="J197" s="36">
        <f>H121</f>
        <v>134.21202500000001</v>
      </c>
      <c r="K197" s="93">
        <f>J169</f>
        <v>30716.037931034483</v>
      </c>
      <c r="L197" s="92">
        <f>J185+J191+H175+H179</f>
        <v>1975.5830431034483</v>
      </c>
      <c r="M197" s="92">
        <f>H126</f>
        <v>250.28103448275863</v>
      </c>
      <c r="N197" s="135">
        <f>SUM(D197:M197)+A197</f>
        <v>54443.049568965522</v>
      </c>
      <c r="O197" s="112"/>
    </row>
    <row r="198" spans="1:18" ht="15" thickBot="1">
      <c r="A198" s="10"/>
      <c r="B198" s="10"/>
      <c r="C198" s="10"/>
      <c r="D198" s="10"/>
      <c r="E198" s="10"/>
      <c r="F198" s="10"/>
      <c r="G198" s="10"/>
      <c r="H198" s="44"/>
      <c r="I198" s="44"/>
      <c r="J198" s="44"/>
      <c r="K198" s="10"/>
      <c r="L198" s="10"/>
      <c r="M198" s="10"/>
      <c r="P198" s="88">
        <f>N197*58</f>
        <v>3157696.8750000005</v>
      </c>
    </row>
    <row r="199" spans="1:18" ht="15" thickBot="1">
      <c r="A199" s="13" t="s">
        <v>64</v>
      </c>
      <c r="B199" s="13"/>
      <c r="C199" s="13"/>
      <c r="D199" s="10"/>
      <c r="E199" s="10"/>
      <c r="F199" s="10"/>
      <c r="G199" s="10"/>
      <c r="H199" s="44"/>
      <c r="I199" s="44"/>
      <c r="J199" s="65">
        <f>H191+H185+F179+F175+H169+F138+F126+F121+F115+G110+G99+H88+H78+H70</f>
        <v>3157696.875</v>
      </c>
      <c r="K199" s="10"/>
      <c r="L199" s="10"/>
      <c r="M199" s="10"/>
      <c r="P199" s="123"/>
    </row>
    <row r="200" spans="1:18" ht="26.25" customHeight="1">
      <c r="A200" s="10"/>
      <c r="B200" s="10"/>
      <c r="C200" s="10"/>
      <c r="D200" s="10"/>
      <c r="E200" s="10"/>
      <c r="F200" s="10"/>
      <c r="G200" s="10"/>
      <c r="H200" s="44"/>
      <c r="I200" s="44"/>
      <c r="K200" s="10"/>
      <c r="L200" s="10"/>
      <c r="N200" s="219"/>
      <c r="O200" s="219"/>
    </row>
    <row r="201" spans="1:18" ht="17.25" customHeight="1">
      <c r="A201" s="2" t="s">
        <v>116</v>
      </c>
      <c r="B201" s="2"/>
      <c r="C201" s="2"/>
      <c r="I201" s="197" t="s">
        <v>117</v>
      </c>
    </row>
    <row r="202" spans="1:18" ht="9.75" customHeight="1"/>
    <row r="203" spans="1:18" ht="15.6">
      <c r="A203" s="100" t="s">
        <v>43</v>
      </c>
      <c r="B203" s="6"/>
    </row>
    <row r="204" spans="1:18" ht="15.6">
      <c r="A204" s="100" t="s">
        <v>138</v>
      </c>
      <c r="B204" s="6"/>
    </row>
    <row r="205" spans="1:18" ht="15.6">
      <c r="A205" s="100" t="s">
        <v>81</v>
      </c>
      <c r="C205" s="6"/>
    </row>
    <row r="206" spans="1:18" ht="15.6">
      <c r="A206" s="1"/>
      <c r="B206" s="1"/>
      <c r="C206" s="1"/>
    </row>
    <row r="208" spans="1:18">
      <c r="J208" s="44"/>
    </row>
    <row r="209" spans="9:10">
      <c r="I209" s="176">
        <f>J199/O4</f>
        <v>37149375</v>
      </c>
    </row>
    <row r="210" spans="9:10">
      <c r="J210" s="176">
        <v>37149375</v>
      </c>
    </row>
    <row r="212" spans="9:10">
      <c r="J212" s="176">
        <f>J210-I209</f>
        <v>0</v>
      </c>
    </row>
  </sheetData>
  <mergeCells count="199">
    <mergeCell ref="H114:I114"/>
    <mergeCell ref="H115:I115"/>
    <mergeCell ref="A121:D121"/>
    <mergeCell ref="A123:N123"/>
    <mergeCell ref="A124:D124"/>
    <mergeCell ref="H124:I124"/>
    <mergeCell ref="A125:D125"/>
    <mergeCell ref="H125:I125"/>
    <mergeCell ref="A126:D126"/>
    <mergeCell ref="H126:I126"/>
    <mergeCell ref="A171:K171"/>
    <mergeCell ref="A185:G185"/>
    <mergeCell ref="A187:D187"/>
    <mergeCell ref="A188:D188"/>
    <mergeCell ref="A189:D189"/>
    <mergeCell ref="A190:D190"/>
    <mergeCell ref="A191:G191"/>
    <mergeCell ref="A193:M193"/>
    <mergeCell ref="A182:D182"/>
    <mergeCell ref="A183:D183"/>
    <mergeCell ref="A184:D184"/>
    <mergeCell ref="A178:D178"/>
    <mergeCell ref="A195:C195"/>
    <mergeCell ref="A179:D179"/>
    <mergeCell ref="D195:M195"/>
    <mergeCell ref="A114:D114"/>
    <mergeCell ref="A129:D129"/>
    <mergeCell ref="A102:D102"/>
    <mergeCell ref="A103:D103"/>
    <mergeCell ref="A104:D104"/>
    <mergeCell ref="A150:D150"/>
    <mergeCell ref="A156:D156"/>
    <mergeCell ref="A157:D157"/>
    <mergeCell ref="A105:D105"/>
    <mergeCell ref="A106:D106"/>
    <mergeCell ref="A141:D141"/>
    <mergeCell ref="A115:D115"/>
    <mergeCell ref="A119:D119"/>
    <mergeCell ref="A109:D109"/>
    <mergeCell ref="A120:D120"/>
    <mergeCell ref="A110:D110"/>
    <mergeCell ref="A133:D133"/>
    <mergeCell ref="A134:D134"/>
    <mergeCell ref="A135:D135"/>
    <mergeCell ref="A136:D136"/>
    <mergeCell ref="A137:D137"/>
    <mergeCell ref="A138:D138"/>
    <mergeCell ref="A74:D74"/>
    <mergeCell ref="A78:D78"/>
    <mergeCell ref="A81:D81"/>
    <mergeCell ref="A84:D84"/>
    <mergeCell ref="A93:D93"/>
    <mergeCell ref="A95:D95"/>
    <mergeCell ref="A96:D96"/>
    <mergeCell ref="A97:D97"/>
    <mergeCell ref="A77:D77"/>
    <mergeCell ref="A75:D75"/>
    <mergeCell ref="A76:D76"/>
    <mergeCell ref="A26:E26"/>
    <mergeCell ref="G26:K26"/>
    <mergeCell ref="A27:E27"/>
    <mergeCell ref="G27:K27"/>
    <mergeCell ref="A32:E32"/>
    <mergeCell ref="G32:K32"/>
    <mergeCell ref="A33:E33"/>
    <mergeCell ref="G33:K33"/>
    <mergeCell ref="A28:E28"/>
    <mergeCell ref="G28:K28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8:M8"/>
    <mergeCell ref="A2:D2"/>
    <mergeCell ref="A3:B3"/>
    <mergeCell ref="E2:G2"/>
    <mergeCell ref="A4:C4"/>
    <mergeCell ref="E4:F4"/>
    <mergeCell ref="H4:K4"/>
    <mergeCell ref="A7:M7"/>
    <mergeCell ref="A12:M12"/>
    <mergeCell ref="A39:D39"/>
    <mergeCell ref="G39:M39"/>
    <mergeCell ref="A163:D163"/>
    <mergeCell ref="A164:D164"/>
    <mergeCell ref="A167:D167"/>
    <mergeCell ref="A168:D168"/>
    <mergeCell ref="A173:D173"/>
    <mergeCell ref="A174:D174"/>
    <mergeCell ref="A175:D175"/>
    <mergeCell ref="A169:D169"/>
    <mergeCell ref="A165:D165"/>
    <mergeCell ref="A166:D166"/>
    <mergeCell ref="A142:D142"/>
    <mergeCell ref="A143:D143"/>
    <mergeCell ref="A144:D144"/>
    <mergeCell ref="A145:D145"/>
    <mergeCell ref="A153:D153"/>
    <mergeCell ref="A154:D154"/>
    <mergeCell ref="A155:D155"/>
    <mergeCell ref="A85:D85"/>
    <mergeCell ref="A86:D86"/>
    <mergeCell ref="A87:D87"/>
    <mergeCell ref="A88:D88"/>
    <mergeCell ref="A94:D94"/>
    <mergeCell ref="A38:E38"/>
    <mergeCell ref="G38:K38"/>
    <mergeCell ref="A29:E29"/>
    <mergeCell ref="G29:K29"/>
    <mergeCell ref="A30:E30"/>
    <mergeCell ref="G30:K30"/>
    <mergeCell ref="A31:E31"/>
    <mergeCell ref="G31:K31"/>
    <mergeCell ref="A34:E34"/>
    <mergeCell ref="G34:K34"/>
    <mergeCell ref="A35:E35"/>
    <mergeCell ref="G35:K35"/>
    <mergeCell ref="A36:E36"/>
    <mergeCell ref="G36:K36"/>
    <mergeCell ref="A37:E37"/>
    <mergeCell ref="G37:K37"/>
    <mergeCell ref="A45:D45"/>
    <mergeCell ref="A46:D46"/>
    <mergeCell ref="A47:D47"/>
    <mergeCell ref="A68:D68"/>
    <mergeCell ref="A69:D69"/>
    <mergeCell ref="A70:D70"/>
    <mergeCell ref="A48:D48"/>
    <mergeCell ref="A49:D49"/>
    <mergeCell ref="A50:D50"/>
    <mergeCell ref="A58:D58"/>
    <mergeCell ref="A59:D59"/>
    <mergeCell ref="A60:D60"/>
    <mergeCell ref="A61:D61"/>
    <mergeCell ref="A62:D62"/>
    <mergeCell ref="A160:D160"/>
    <mergeCell ref="A161:D161"/>
    <mergeCell ref="A162:D162"/>
    <mergeCell ref="A152:D152"/>
    <mergeCell ref="A51:D51"/>
    <mergeCell ref="A52:D52"/>
    <mergeCell ref="A40:M40"/>
    <mergeCell ref="A42:D42"/>
    <mergeCell ref="A43:D43"/>
    <mergeCell ref="A63:K63"/>
    <mergeCell ref="A67:D67"/>
    <mergeCell ref="A130:D130"/>
    <mergeCell ref="A131:D131"/>
    <mergeCell ref="A132:D132"/>
    <mergeCell ref="A148:D148"/>
    <mergeCell ref="A146:D146"/>
    <mergeCell ref="A147:D147"/>
    <mergeCell ref="A53:D53"/>
    <mergeCell ref="A54:D54"/>
    <mergeCell ref="A55:D55"/>
    <mergeCell ref="A56:D56"/>
    <mergeCell ref="A57:D57"/>
    <mergeCell ref="A44:D44"/>
    <mergeCell ref="A98:D98"/>
    <mergeCell ref="N200:O200"/>
    <mergeCell ref="A66:M66"/>
    <mergeCell ref="A73:M73"/>
    <mergeCell ref="A80:M80"/>
    <mergeCell ref="A82:D82"/>
    <mergeCell ref="A83:D83"/>
    <mergeCell ref="A90:M90"/>
    <mergeCell ref="A91:D91"/>
    <mergeCell ref="A92:D92"/>
    <mergeCell ref="A101:M101"/>
    <mergeCell ref="A107:D107"/>
    <mergeCell ref="A108:D108"/>
    <mergeCell ref="A112:M112"/>
    <mergeCell ref="A113:D113"/>
    <mergeCell ref="A117:M117"/>
    <mergeCell ref="A118:D118"/>
    <mergeCell ref="A128:M128"/>
    <mergeCell ref="A140:M140"/>
    <mergeCell ref="A149:D149"/>
    <mergeCell ref="A151:D151"/>
    <mergeCell ref="A158:D158"/>
    <mergeCell ref="A159:D159"/>
    <mergeCell ref="A177:D177"/>
    <mergeCell ref="H113:I113"/>
  </mergeCells>
  <pageMargins left="0.70866141732283472" right="0.70866141732283472" top="0.15748031496062992" bottom="0.23622047244094491" header="0.15748031496062992" footer="0.15748031496062992"/>
  <pageSetup paperSize="9" scale="5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3"/>
  <sheetViews>
    <sheetView view="pageBreakPreview" topLeftCell="A4" zoomScale="60" zoomScaleNormal="60" workbookViewId="0">
      <selection activeCell="J210" sqref="J210"/>
    </sheetView>
  </sheetViews>
  <sheetFormatPr defaultRowHeight="14.4"/>
  <cols>
    <col min="1" max="1" width="9.88671875" customWidth="1"/>
    <col min="2" max="3" width="5.5546875" customWidth="1"/>
    <col min="4" max="5" width="10.6640625" customWidth="1"/>
    <col min="6" max="6" width="11" customWidth="1"/>
    <col min="7" max="7" width="13.6640625" customWidth="1"/>
    <col min="8" max="8" width="12.5546875" customWidth="1"/>
    <col min="9" max="9" width="10.21875" customWidth="1"/>
    <col min="10" max="10" width="11.6640625" customWidth="1"/>
    <col min="11" max="11" width="10.109375" customWidth="1"/>
    <col min="12" max="12" width="10.6640625" customWidth="1"/>
    <col min="13" max="13" width="10" customWidth="1"/>
    <col min="14" max="14" width="11" customWidth="1"/>
    <col min="15" max="15" width="13.33203125" customWidth="1"/>
    <col min="16" max="16" width="20" customWidth="1"/>
    <col min="17" max="17" width="15.33203125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85"/>
      <c r="F3" s="40"/>
      <c r="G3" s="40"/>
    </row>
    <row r="4" spans="1:15" ht="27.75" customHeight="1">
      <c r="A4" s="290"/>
      <c r="B4" s="290"/>
      <c r="C4" s="290"/>
      <c r="D4" s="101"/>
      <c r="E4" s="290"/>
      <c r="F4" s="290"/>
      <c r="G4" s="42"/>
      <c r="H4" s="301"/>
      <c r="I4" s="288"/>
      <c r="J4" s="288"/>
      <c r="K4" s="288"/>
      <c r="L4" s="105"/>
      <c r="O4" s="157">
        <v>0.2331</v>
      </c>
    </row>
    <row r="5" spans="1:15" ht="7.5" customHeight="1">
      <c r="A5" s="3"/>
      <c r="B5" s="3"/>
      <c r="C5" s="3"/>
      <c r="D5" s="84"/>
      <c r="E5" s="3"/>
      <c r="F5" s="3"/>
      <c r="G5" s="84"/>
    </row>
    <row r="6" spans="1:15">
      <c r="A6" s="86"/>
      <c r="B6" s="86"/>
      <c r="C6" s="86"/>
      <c r="D6" s="86"/>
      <c r="E6" s="86"/>
      <c r="F6" s="86"/>
      <c r="G6" s="86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</row>
    <row r="8" spans="1:15" ht="15.6">
      <c r="A8" s="286" t="s">
        <v>152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</row>
    <row r="9" spans="1:15" ht="6.75" customHeight="1"/>
    <row r="10" spans="1: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17.25" customHeight="1">
      <c r="A12" s="281" t="s">
        <v>83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15.6">
      <c r="A14" s="7" t="s">
        <v>153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N16" s="115"/>
    </row>
    <row r="17" spans="1:12">
      <c r="A17" s="273" t="s">
        <v>86</v>
      </c>
      <c r="B17" s="273"/>
      <c r="C17" s="273"/>
      <c r="D17" s="273"/>
      <c r="E17" s="273"/>
      <c r="F17" s="107">
        <f>5*23.31%</f>
        <v>1.1654999999999998</v>
      </c>
      <c r="G17" s="278" t="s">
        <v>1</v>
      </c>
      <c r="H17" s="278"/>
      <c r="I17" s="278"/>
      <c r="J17" s="278"/>
      <c r="K17" s="278"/>
      <c r="L17" s="107">
        <f>1*23.31%</f>
        <v>0.23309999999999997</v>
      </c>
    </row>
    <row r="18" spans="1:12">
      <c r="A18" s="273" t="s">
        <v>87</v>
      </c>
      <c r="B18" s="273"/>
      <c r="C18" s="273"/>
      <c r="D18" s="273"/>
      <c r="E18" s="273"/>
      <c r="F18" s="107">
        <f>10.6*23.31%</f>
        <v>2.4708599999999996</v>
      </c>
      <c r="G18" s="239" t="s">
        <v>88</v>
      </c>
      <c r="H18" s="240"/>
      <c r="I18" s="240"/>
      <c r="J18" s="240"/>
      <c r="K18" s="241"/>
      <c r="L18" s="107">
        <f>3*23.31%</f>
        <v>0.69929999999999992</v>
      </c>
    </row>
    <row r="19" spans="1:12">
      <c r="A19" s="239" t="s">
        <v>100</v>
      </c>
      <c r="B19" s="240"/>
      <c r="C19" s="240"/>
      <c r="D19" s="240"/>
      <c r="E19" s="255"/>
      <c r="F19" s="107">
        <f>6.5*23.31%</f>
        <v>1.5151499999999998</v>
      </c>
      <c r="G19" s="273" t="s">
        <v>89</v>
      </c>
      <c r="H19" s="273"/>
      <c r="I19" s="273"/>
      <c r="J19" s="273"/>
      <c r="K19" s="273"/>
      <c r="L19" s="107">
        <f>1*23.31%</f>
        <v>0.23309999999999997</v>
      </c>
    </row>
    <row r="20" spans="1:12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07">
        <f>1*23.31%</f>
        <v>0.23309999999999997</v>
      </c>
    </row>
    <row r="21" spans="1:12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07">
        <f>1*23.31%</f>
        <v>0.23309999999999997</v>
      </c>
    </row>
    <row r="22" spans="1:12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07">
        <f>0.5*23.31%</f>
        <v>0.11654999999999999</v>
      </c>
    </row>
    <row r="23" spans="1:12" ht="14.4" customHeight="1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07">
        <f>1*23.31%</f>
        <v>0.23309999999999997</v>
      </c>
    </row>
    <row r="24" spans="1:12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07">
        <f>1*23.31%</f>
        <v>0.23309999999999997</v>
      </c>
    </row>
    <row r="25" spans="1:12" ht="14.4" customHeight="1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07">
        <f>1*23.31%</f>
        <v>0.23309999999999997</v>
      </c>
    </row>
    <row r="26" spans="1:12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07">
        <f>2*23.31%</f>
        <v>0.46619999999999995</v>
      </c>
    </row>
    <row r="27" spans="1:12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07">
        <f>1*23.31%</f>
        <v>0.23309999999999997</v>
      </c>
    </row>
    <row r="28" spans="1:12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07">
        <f>4.75*23.31%</f>
        <v>1.1072249999999999</v>
      </c>
    </row>
    <row r="29" spans="1:12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07">
        <f>3.5*23.31%</f>
        <v>0.81584999999999996</v>
      </c>
    </row>
    <row r="30" spans="1:12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07">
        <f>2*23.31%</f>
        <v>0.46619999999999995</v>
      </c>
    </row>
    <row r="31" spans="1:12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07">
        <f>0.5*23.31%</f>
        <v>0.11654999999999999</v>
      </c>
    </row>
    <row r="32" spans="1:12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07">
        <f>0.5*23.31%</f>
        <v>0.11654999999999999</v>
      </c>
    </row>
    <row r="33" spans="1:14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07">
        <f>11*23.31%</f>
        <v>2.5640999999999998</v>
      </c>
    </row>
    <row r="34" spans="1:14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07">
        <f>2*23.31%</f>
        <v>0.46619999999999995</v>
      </c>
    </row>
    <row r="35" spans="1:14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07">
        <f>1*23.31%</f>
        <v>0.23309999999999997</v>
      </c>
    </row>
    <row r="36" spans="1:14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07">
        <f>1*23.31%</f>
        <v>0.23309999999999997</v>
      </c>
    </row>
    <row r="37" spans="1:14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07">
        <f>0.5*23.31%</f>
        <v>0.11654999999999999</v>
      </c>
      <c r="M37" s="116"/>
    </row>
    <row r="38" spans="1:14" ht="15" customHeight="1">
      <c r="A38" s="264" t="s">
        <v>2</v>
      </c>
      <c r="B38" s="264"/>
      <c r="C38" s="264"/>
      <c r="D38" s="264"/>
      <c r="E38" s="264"/>
      <c r="F38" s="114">
        <f>SUM(F17:F37)</f>
        <v>5.1515099999999991</v>
      </c>
      <c r="G38" s="242" t="s">
        <v>2</v>
      </c>
      <c r="H38" s="242"/>
      <c r="I38" s="242"/>
      <c r="J38" s="242"/>
      <c r="K38" s="242"/>
      <c r="L38" s="113">
        <f>SUM(L17:L37)</f>
        <v>9.3822749999999999</v>
      </c>
      <c r="N38" s="115"/>
    </row>
    <row r="39" spans="1:14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127"/>
      <c r="G39" s="274" t="s">
        <v>2</v>
      </c>
      <c r="H39" s="274"/>
      <c r="I39" s="274"/>
      <c r="J39" s="274"/>
      <c r="K39" s="274"/>
      <c r="L39" s="274"/>
      <c r="M39" s="274"/>
    </row>
    <row r="40" spans="1:14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48" t="s">
        <v>59</v>
      </c>
      <c r="B62" s="248"/>
      <c r="C62" s="248"/>
      <c r="D62" s="24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28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</row>
    <row r="67" spans="1:14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33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4">
        <v>7</v>
      </c>
      <c r="K68" s="35">
        <v>8</v>
      </c>
      <c r="L68" s="108"/>
      <c r="M68" s="27"/>
    </row>
    <row r="69" spans="1:14" ht="40.200000000000003" customHeight="1" thickBot="1">
      <c r="A69" s="223" t="s">
        <v>66</v>
      </c>
      <c r="B69" s="223"/>
      <c r="C69" s="223"/>
      <c r="D69" s="223"/>
      <c r="E69" s="36">
        <f>G69/12/F69</f>
        <v>33338.30113268608</v>
      </c>
      <c r="F69" s="36">
        <v>5.15</v>
      </c>
      <c r="G69" s="124">
        <v>2060307.01</v>
      </c>
      <c r="H69" s="36">
        <v>2682519.73</v>
      </c>
      <c r="I69" s="43">
        <v>159</v>
      </c>
      <c r="J69" s="36">
        <f>H69/I69</f>
        <v>16871.19327044025</v>
      </c>
      <c r="K69" s="146">
        <f>H69/11508021.17*100</f>
        <v>23.309999958924301</v>
      </c>
      <c r="L69" s="109"/>
      <c r="M69" s="15"/>
    </row>
    <row r="70" spans="1:14" ht="15" thickBot="1">
      <c r="A70" s="258" t="s">
        <v>47</v>
      </c>
      <c r="B70" s="258"/>
      <c r="C70" s="258"/>
      <c r="D70" s="258"/>
      <c r="E70" s="61"/>
      <c r="F70" s="125"/>
      <c r="G70" s="125"/>
      <c r="H70" s="65">
        <f>H69</f>
        <v>2682519.73</v>
      </c>
      <c r="I70" s="46"/>
      <c r="J70" s="62">
        <f>J69</f>
        <v>16871.19327044025</v>
      </c>
      <c r="K70" s="44"/>
      <c r="L70" s="44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</row>
    <row r="74" spans="1:14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5"/>
    </row>
    <row r="75" spans="1:14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202.02</v>
      </c>
      <c r="H76" s="124">
        <f>10400*O4</f>
        <v>2424.2400000000002</v>
      </c>
      <c r="I76" s="43">
        <v>159</v>
      </c>
      <c r="J76" s="36">
        <f>H76/I76</f>
        <v>15.24679245283019</v>
      </c>
      <c r="K76" s="10"/>
      <c r="L76" s="10"/>
      <c r="M76" s="10"/>
      <c r="N76" s="16"/>
    </row>
    <row r="77" spans="1:14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795.45375000000001</v>
      </c>
      <c r="H77" s="124">
        <f>40950*O4</f>
        <v>9545.4449999999997</v>
      </c>
      <c r="I77" s="43">
        <v>159</v>
      </c>
      <c r="J77" s="36">
        <f>H77/I77</f>
        <v>60.034245283018869</v>
      </c>
      <c r="K77" s="10"/>
      <c r="L77" s="10"/>
      <c r="M77" s="10"/>
      <c r="N77" s="10"/>
    </row>
    <row r="78" spans="1:14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11969.684999999999</v>
      </c>
      <c r="I78" s="46"/>
      <c r="J78" s="53">
        <f>SUM(J76:J77)</f>
        <v>75.281037735849054</v>
      </c>
      <c r="K78" s="10"/>
      <c r="L78" s="10"/>
      <c r="M78" s="10"/>
      <c r="N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16.498623231091688</v>
      </c>
      <c r="G83" s="153">
        <v>6569.73</v>
      </c>
      <c r="H83" s="124">
        <f>465000*O4</f>
        <v>108391.5</v>
      </c>
      <c r="I83" s="43">
        <v>159</v>
      </c>
      <c r="J83" s="36">
        <f t="shared" ref="J83:J87" si="2">H83/I83</f>
        <v>681.70754716981128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157.67145835755733</v>
      </c>
      <c r="G84" s="153">
        <v>1768.22</v>
      </c>
      <c r="H84" s="124">
        <f>1196043.87*O4</f>
        <v>278797.82609700004</v>
      </c>
      <c r="I84" s="43">
        <v>159</v>
      </c>
      <c r="J84" s="36">
        <f t="shared" si="2"/>
        <v>1753.4454471509437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24">
        <f>147291.76*O4</f>
        <v>34333.709256000002</v>
      </c>
      <c r="I85" s="43">
        <v>159</v>
      </c>
      <c r="J85" s="36">
        <f t="shared" si="2"/>
        <v>215.93527833962264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24">
        <f>214508.24*O4</f>
        <v>50001.870744</v>
      </c>
      <c r="I86" s="43">
        <v>159</v>
      </c>
      <c r="J86" s="45">
        <f t="shared" si="2"/>
        <v>314.47717449056603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24">
        <f>36456.13*O4</f>
        <v>8497.923902999999</v>
      </c>
      <c r="I87" s="43">
        <v>159</v>
      </c>
      <c r="J87" s="45">
        <f t="shared" si="2"/>
        <v>53.446062283018861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480022.83000000007</v>
      </c>
      <c r="I88" s="46"/>
      <c r="J88" s="53">
        <f>SUM(J83:J87)</f>
        <v>3019.0115094339626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10"/>
      <c r="L89" s="10"/>
      <c r="M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</row>
    <row r="91" spans="1:17" ht="83.4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8" t="s">
        <v>74</v>
      </c>
      <c r="I91" s="8" t="s">
        <v>69</v>
      </c>
      <c r="J91" s="10"/>
      <c r="K91" s="10"/>
      <c r="L91" s="10"/>
    </row>
    <row r="92" spans="1:17" ht="15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34484.813999999998</v>
      </c>
      <c r="H92" s="43">
        <v>159</v>
      </c>
      <c r="I92" s="186">
        <f>G92/H92</f>
        <v>216.88562264150943</v>
      </c>
      <c r="J92" s="44"/>
      <c r="K92" s="10"/>
      <c r="L92" s="10"/>
      <c r="M92" s="10"/>
    </row>
    <row r="93" spans="1:17" ht="15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24999.974999999999</v>
      </c>
      <c r="H93" s="43">
        <v>159</v>
      </c>
      <c r="I93" s="186">
        <f t="shared" ref="I93:I98" si="3">G93/H93</f>
        <v>157.23254716981131</v>
      </c>
      <c r="J93" s="44"/>
      <c r="K93" s="10"/>
      <c r="L93" s="10"/>
      <c r="M93" s="10"/>
    </row>
    <row r="94" spans="1:17" ht="15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2424.2400000000002</v>
      </c>
      <c r="H94" s="43">
        <v>159</v>
      </c>
      <c r="I94" s="186">
        <f t="shared" si="3"/>
        <v>15.24679245283019</v>
      </c>
      <c r="J94" s="44"/>
      <c r="K94" s="10"/>
      <c r="L94" s="10"/>
      <c r="M94" s="10"/>
    </row>
    <row r="95" spans="1:17" ht="15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9324</v>
      </c>
      <c r="H95" s="43">
        <v>159</v>
      </c>
      <c r="I95" s="186">
        <f t="shared" si="3"/>
        <v>58.641509433962263</v>
      </c>
      <c r="J95" s="44"/>
      <c r="K95" s="10"/>
      <c r="L95" s="10"/>
      <c r="M95" s="10"/>
    </row>
    <row r="96" spans="1:17" ht="28.5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699.3</v>
      </c>
      <c r="H96" s="43">
        <v>159</v>
      </c>
      <c r="I96" s="186">
        <f>G96/H96</f>
        <v>4.3981132075471692</v>
      </c>
      <c r="J96" s="44"/>
      <c r="K96" s="15"/>
      <c r="L96" s="15"/>
      <c r="M96" s="15"/>
    </row>
    <row r="97" spans="1:14" ht="16.5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879.25319999999999</v>
      </c>
      <c r="H97" s="43">
        <v>159</v>
      </c>
      <c r="I97" s="186">
        <f t="shared" si="3"/>
        <v>5.5298943396226417</v>
      </c>
      <c r="J97" s="44"/>
      <c r="K97" s="10"/>
      <c r="L97" s="10"/>
      <c r="M97" s="10"/>
    </row>
    <row r="98" spans="1:14" ht="30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699.3</v>
      </c>
      <c r="H98" s="43">
        <v>159</v>
      </c>
      <c r="I98" s="186">
        <f t="shared" si="3"/>
        <v>4.3981132075471692</v>
      </c>
      <c r="J98" s="44"/>
      <c r="K98" s="10"/>
      <c r="L98" s="10"/>
      <c r="M98" s="10"/>
    </row>
    <row r="99" spans="1:14" ht="15" customHeight="1" thickBot="1">
      <c r="A99" s="132" t="s">
        <v>54</v>
      </c>
      <c r="B99" s="133"/>
      <c r="C99" s="133"/>
      <c r="D99" s="133"/>
      <c r="E99" s="133"/>
      <c r="F99" s="133"/>
      <c r="G99" s="66">
        <f>SUM(G92:G98)</f>
        <v>73510.882200000007</v>
      </c>
      <c r="H99" s="176"/>
      <c r="I99" s="187">
        <f>SUM(I92:I98)</f>
        <v>462.33259245283011</v>
      </c>
      <c r="J99" s="176"/>
      <c r="K99" s="10"/>
      <c r="L99" s="10"/>
      <c r="M99" s="10"/>
      <c r="N99" s="10"/>
    </row>
    <row r="100" spans="1:14" s="75" customFormat="1" ht="15" customHeight="1">
      <c r="A100" s="74"/>
      <c r="B100" s="74"/>
      <c r="C100" s="74"/>
      <c r="D100" s="74"/>
      <c r="E100" s="74"/>
      <c r="F100" s="74"/>
      <c r="G100" s="174"/>
      <c r="H100" s="188"/>
      <c r="I100" s="70"/>
      <c r="J100" s="188"/>
      <c r="K100" s="73"/>
      <c r="L100" s="73"/>
      <c r="M100" s="73"/>
      <c r="N100" s="73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</row>
    <row r="102" spans="1:14" ht="83.4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6678.3149999999996</v>
      </c>
      <c r="H103" s="43">
        <v>159</v>
      </c>
      <c r="I103" s="189">
        <f>G103/H103</f>
        <v>42.001981132075471</v>
      </c>
      <c r="J103" s="44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8054.5374000000002</v>
      </c>
      <c r="H104" s="43">
        <v>159</v>
      </c>
      <c r="I104" s="189">
        <f t="shared" ref="I104:I109" si="4">G104/H104</f>
        <v>50.657467924528305</v>
      </c>
      <c r="J104" s="44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34610.221799999999</v>
      </c>
      <c r="H105" s="43">
        <v>159</v>
      </c>
      <c r="I105" s="189">
        <f t="shared" si="4"/>
        <v>217.67435094339623</v>
      </c>
      <c r="J105" s="44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62197.755984000003</v>
      </c>
      <c r="H106" s="43">
        <v>159</v>
      </c>
      <c r="I106" s="189">
        <f t="shared" si="4"/>
        <v>391.18085524528306</v>
      </c>
      <c r="J106" s="44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3460.9499190000001</v>
      </c>
      <c r="H107" s="43">
        <v>159</v>
      </c>
      <c r="I107" s="189">
        <f t="shared" si="4"/>
        <v>21.766980622641512</v>
      </c>
      <c r="J107" s="44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1631.7</v>
      </c>
      <c r="H108" s="43">
        <v>159</v>
      </c>
      <c r="I108" s="189">
        <f t="shared" si="4"/>
        <v>10.262264150943397</v>
      </c>
      <c r="J108" s="44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1969.6949999999999</v>
      </c>
      <c r="H109" s="43">
        <v>159</v>
      </c>
      <c r="I109" s="189">
        <f t="shared" si="4"/>
        <v>12.388018867924528</v>
      </c>
      <c r="J109" s="44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118603.17510300002</v>
      </c>
      <c r="H110" s="44"/>
      <c r="I110" s="187">
        <f>SUM(I103:I109)</f>
        <v>745.93191888679257</v>
      </c>
      <c r="J110" s="44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122"/>
      <c r="G111" s="70"/>
      <c r="H111" s="71"/>
      <c r="I111" s="70"/>
      <c r="J111" s="71"/>
      <c r="K111" s="74"/>
      <c r="L111" s="74"/>
      <c r="M111" s="74"/>
      <c r="N111" s="73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8" t="s">
        <v>74</v>
      </c>
      <c r="H113" s="306" t="s">
        <v>69</v>
      </c>
      <c r="I113" s="306"/>
      <c r="J113" s="10"/>
      <c r="K113" s="10"/>
      <c r="L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1620.0450000000001</v>
      </c>
      <c r="G114" s="43">
        <v>159</v>
      </c>
      <c r="H114" s="307">
        <f t="shared" ref="H114" si="5">F114/G114</f>
        <v>10.188962264150943</v>
      </c>
      <c r="I114" s="308"/>
      <c r="J114" s="44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1620.0450000000001</v>
      </c>
      <c r="G115" s="44"/>
      <c r="H115" s="309">
        <f>SUM(H114:H114)</f>
        <v>10.188962264150943</v>
      </c>
      <c r="I115" s="310"/>
      <c r="J115" s="171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3"/>
      <c r="J116" s="74"/>
      <c r="K116" s="73"/>
      <c r="L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8" t="s">
        <v>69</v>
      </c>
      <c r="I118" s="10"/>
      <c r="J118" s="10"/>
      <c r="K118" s="10"/>
      <c r="L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19522.118007000001</v>
      </c>
      <c r="G119" s="43">
        <v>159</v>
      </c>
      <c r="H119" s="189">
        <f t="shared" ref="H119:H120" si="6">F119/G119</f>
        <v>122.78061639622642</v>
      </c>
      <c r="I119" s="44"/>
      <c r="J119" s="44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1825.173</v>
      </c>
      <c r="G120" s="43">
        <v>159</v>
      </c>
      <c r="H120" s="189">
        <f t="shared" si="6"/>
        <v>11.479075471698113</v>
      </c>
      <c r="I120" s="44"/>
      <c r="J120" s="44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21347.291007</v>
      </c>
      <c r="G121" s="44"/>
      <c r="H121" s="50">
        <f>SUM(H119:H120)</f>
        <v>134.25969186792454</v>
      </c>
      <c r="I121" s="44"/>
      <c r="J121" s="171"/>
      <c r="K121" s="10"/>
      <c r="L121" s="10"/>
      <c r="M121" s="10"/>
    </row>
    <row r="122" spans="1:14" s="75" customFormat="1" ht="20.25" customHeight="1">
      <c r="A122" s="76"/>
      <c r="B122" s="76"/>
      <c r="C122" s="76"/>
      <c r="D122" s="76"/>
      <c r="E122" s="122"/>
      <c r="F122" s="70"/>
      <c r="G122" s="71"/>
      <c r="H122" s="72"/>
      <c r="I122" s="71"/>
      <c r="J122" s="76"/>
      <c r="K122" s="73"/>
      <c r="L122" s="73"/>
      <c r="M122" s="73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305" t="s">
        <v>69</v>
      </c>
      <c r="I124" s="305"/>
      <c r="J124" s="44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39808.817999999999</v>
      </c>
      <c r="G125" s="43">
        <v>159</v>
      </c>
      <c r="H125" s="302">
        <f>F125/G125</f>
        <v>250.36992452830188</v>
      </c>
      <c r="I125" s="302"/>
      <c r="J125" s="44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39808.817999999999</v>
      </c>
      <c r="G126" s="44"/>
      <c r="H126" s="303">
        <f>SUM(H125:H125)</f>
        <v>250.36992452830188</v>
      </c>
      <c r="I126" s="304"/>
      <c r="J126" s="171"/>
      <c r="K126" s="10"/>
      <c r="L126" s="10"/>
      <c r="M126" s="10"/>
    </row>
    <row r="127" spans="1:14" ht="20.25" customHeight="1">
      <c r="A127" s="171"/>
      <c r="B127" s="171"/>
      <c r="C127" s="171"/>
      <c r="D127" s="171"/>
      <c r="E127" s="172"/>
      <c r="F127" s="173"/>
      <c r="G127" s="44"/>
      <c r="H127" s="175"/>
      <c r="I127" s="44"/>
      <c r="J127" s="171"/>
      <c r="K127" s="10"/>
      <c r="L127" s="10"/>
      <c r="M127" s="10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</row>
    <row r="129" spans="1:14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24" t="s">
        <v>69</v>
      </c>
      <c r="I129" s="44"/>
      <c r="J129" s="44"/>
      <c r="K129" s="10"/>
      <c r="L129" s="10"/>
      <c r="M129" s="10"/>
    </row>
    <row r="130" spans="1:14">
      <c r="A130" s="198" t="s">
        <v>140</v>
      </c>
      <c r="B130" s="199"/>
      <c r="C130" s="199"/>
      <c r="D130" s="199"/>
      <c r="E130" s="49" t="s">
        <v>27</v>
      </c>
      <c r="F130" s="158">
        <f>9000*$O$4</f>
        <v>2097.9</v>
      </c>
      <c r="G130" s="43">
        <v>159</v>
      </c>
      <c r="H130" s="189">
        <f t="shared" ref="H130:H137" si="7">F130/G130</f>
        <v>13.194339622641509</v>
      </c>
      <c r="I130" s="44"/>
      <c r="J130" s="44"/>
      <c r="K130" s="10"/>
      <c r="L130" s="10"/>
      <c r="M130" s="10"/>
    </row>
    <row r="131" spans="1:14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15058.26</v>
      </c>
      <c r="G131" s="43">
        <v>159</v>
      </c>
      <c r="H131" s="189">
        <f t="shared" si="7"/>
        <v>94.706037735849051</v>
      </c>
      <c r="I131" s="44"/>
      <c r="J131" s="44"/>
      <c r="K131" s="10"/>
      <c r="L131" s="10"/>
      <c r="M131" s="10"/>
    </row>
    <row r="132" spans="1:14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4662</v>
      </c>
      <c r="G132" s="43">
        <v>159</v>
      </c>
      <c r="H132" s="189">
        <f t="shared" si="7"/>
        <v>29.320754716981131</v>
      </c>
      <c r="I132" s="44"/>
      <c r="J132" s="44"/>
      <c r="K132" s="10"/>
      <c r="L132" s="10"/>
      <c r="M132" s="10"/>
    </row>
    <row r="133" spans="1:14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4568.76</v>
      </c>
      <c r="G133" s="43">
        <v>159</v>
      </c>
      <c r="H133" s="189">
        <f t="shared" si="7"/>
        <v>28.73433962264151</v>
      </c>
      <c r="I133" s="44"/>
      <c r="J133" s="44"/>
      <c r="K133" s="10"/>
      <c r="L133" s="10"/>
      <c r="M133" s="10"/>
    </row>
    <row r="134" spans="1:14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186.48</v>
      </c>
      <c r="G134" s="43">
        <v>159</v>
      </c>
      <c r="H134" s="189">
        <f t="shared" si="7"/>
        <v>1.1728301886792452</v>
      </c>
      <c r="I134" s="44"/>
      <c r="J134" s="44"/>
      <c r="K134" s="10"/>
      <c r="L134" s="10"/>
      <c r="M134" s="10"/>
    </row>
    <row r="135" spans="1:14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372.96</v>
      </c>
      <c r="G135" s="43">
        <v>159</v>
      </c>
      <c r="H135" s="189">
        <f t="shared" si="7"/>
        <v>2.3456603773584903</v>
      </c>
      <c r="I135" s="44"/>
      <c r="J135" s="44"/>
      <c r="K135" s="10"/>
      <c r="L135" s="10"/>
      <c r="M135" s="10"/>
    </row>
    <row r="136" spans="1:14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1118.8800000000001</v>
      </c>
      <c r="G136" s="43">
        <v>159</v>
      </c>
      <c r="H136" s="189">
        <f t="shared" si="7"/>
        <v>7.0369811320754723</v>
      </c>
      <c r="I136" s="44"/>
      <c r="J136" s="44"/>
      <c r="K136" s="10"/>
      <c r="L136" s="10"/>
      <c r="M136" s="10"/>
    </row>
    <row r="137" spans="1:14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2237.7600000000002</v>
      </c>
      <c r="G137" s="43">
        <v>159</v>
      </c>
      <c r="H137" s="189">
        <f t="shared" si="7"/>
        <v>14.073962264150945</v>
      </c>
      <c r="I137" s="44"/>
      <c r="J137" s="44"/>
      <c r="K137" s="10"/>
      <c r="L137" s="10"/>
      <c r="M137" s="10"/>
    </row>
    <row r="138" spans="1:14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30303</v>
      </c>
      <c r="G138" s="44"/>
      <c r="H138" s="50">
        <f>SUM(H130:H137)</f>
        <v>190.58490566037736</v>
      </c>
      <c r="I138" s="44"/>
      <c r="J138" s="171"/>
      <c r="K138" s="10"/>
      <c r="L138" s="10"/>
      <c r="M138" s="10"/>
    </row>
    <row r="139" spans="1:14" ht="25.2" customHeight="1">
      <c r="A139" s="78"/>
      <c r="B139" s="78"/>
      <c r="C139" s="78"/>
      <c r="D139" s="78"/>
      <c r="E139" s="79"/>
      <c r="F139" s="80"/>
      <c r="G139" s="81"/>
      <c r="H139" s="80"/>
      <c r="I139" s="82"/>
      <c r="J139" s="63"/>
      <c r="K139" s="83"/>
      <c r="L139" s="83"/>
      <c r="M139" s="47"/>
    </row>
    <row r="140" spans="1:14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</row>
    <row r="141" spans="1:14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33" t="s">
        <v>44</v>
      </c>
      <c r="I141" s="8" t="s">
        <v>63</v>
      </c>
      <c r="J141" s="8" t="s">
        <v>69</v>
      </c>
      <c r="K141" s="8" t="s">
        <v>46</v>
      </c>
      <c r="L141" s="27"/>
      <c r="M141" s="27"/>
      <c r="N141" s="123"/>
    </row>
    <row r="142" spans="1:14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25">
        <v>5</v>
      </c>
      <c r="I142" s="26">
        <v>6</v>
      </c>
      <c r="J142" s="34">
        <v>7</v>
      </c>
      <c r="K142" s="35">
        <v>8</v>
      </c>
      <c r="L142" s="108"/>
      <c r="M142" s="27"/>
    </row>
    <row r="143" spans="1:14" ht="31.2" customHeight="1" thickBot="1">
      <c r="A143" s="223" t="s">
        <v>67</v>
      </c>
      <c r="B143" s="223"/>
      <c r="C143" s="223"/>
      <c r="D143" s="223"/>
      <c r="E143" s="36">
        <f>G143/12/F143</f>
        <v>33336.612562189053</v>
      </c>
      <c r="F143" s="36">
        <v>9.3800000000000008</v>
      </c>
      <c r="G143" s="124">
        <v>3752369.11</v>
      </c>
      <c r="H143" s="36">
        <v>4885584.59</v>
      </c>
      <c r="I143" s="43">
        <v>159</v>
      </c>
      <c r="J143" s="36">
        <f>H143/I143</f>
        <v>30726.947106918236</v>
      </c>
      <c r="K143" s="146">
        <f>H143/20959178.83*100</f>
        <v>23.310000022553364</v>
      </c>
      <c r="L143" s="109"/>
      <c r="M143" s="15"/>
      <c r="N143" s="123"/>
    </row>
    <row r="144" spans="1:14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8">F144/G144*H144</f>
        <v>#DIV/0!</v>
      </c>
      <c r="J144" s="36">
        <f t="shared" ref="J144:J165" si="9">E144*F144*12*1.302</f>
        <v>1116552.28608</v>
      </c>
      <c r="K144" s="58" t="s">
        <v>38</v>
      </c>
      <c r="L144" s="110"/>
      <c r="M144" s="31" t="e">
        <f t="shared" ref="M144:M168" si="10">I144*J144</f>
        <v>#DIV/0!</v>
      </c>
    </row>
    <row r="145" spans="1:13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8"/>
        <v>#DIV/0!</v>
      </c>
      <c r="J145" s="36">
        <f t="shared" si="9"/>
        <v>149115.45600000001</v>
      </c>
      <c r="K145" s="37">
        <f>H145/11277167.39*100</f>
        <v>0</v>
      </c>
      <c r="L145" s="37"/>
      <c r="M145" s="14" t="e">
        <f t="shared" si="10"/>
        <v>#DIV/0!</v>
      </c>
    </row>
    <row r="146" spans="1:13" ht="15" hidden="1" customHeight="1" thickBo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8"/>
        <v>#DIV/0!</v>
      </c>
      <c r="J146" s="36">
        <f t="shared" si="9"/>
        <v>180613.44</v>
      </c>
      <c r="K146" s="29"/>
      <c r="L146" s="29"/>
      <c r="M146" s="14" t="e">
        <f t="shared" si="10"/>
        <v>#DIV/0!</v>
      </c>
    </row>
    <row r="147" spans="1:13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8"/>
        <v>#DIV/0!</v>
      </c>
      <c r="J147" s="36">
        <f t="shared" si="9"/>
        <v>74557.728000000003</v>
      </c>
      <c r="K147" s="29"/>
      <c r="L147" s="29"/>
      <c r="M147" s="14" t="e">
        <f t="shared" si="10"/>
        <v>#DIV/0!</v>
      </c>
    </row>
    <row r="148" spans="1:13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8"/>
        <v>#DIV/0!</v>
      </c>
      <c r="J148" s="36">
        <f t="shared" si="9"/>
        <v>149115.45600000001</v>
      </c>
      <c r="K148" s="36"/>
      <c r="L148" s="36"/>
      <c r="M148" s="14" t="e">
        <f t="shared" si="10"/>
        <v>#DIV/0!</v>
      </c>
    </row>
    <row r="149" spans="1:13" ht="14.25" hidden="1" customHeigh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8"/>
        <v>#DIV/0!</v>
      </c>
      <c r="J149" s="36">
        <f t="shared" si="9"/>
        <v>149115.45600000001</v>
      </c>
      <c r="K149" s="44"/>
      <c r="L149" s="44"/>
      <c r="M149" s="14" t="e">
        <f t="shared" si="10"/>
        <v>#DIV/0!</v>
      </c>
    </row>
    <row r="150" spans="1:13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8"/>
        <v>#DIV/0!</v>
      </c>
      <c r="J150" s="36">
        <f t="shared" si="9"/>
        <v>0</v>
      </c>
      <c r="K150" s="44"/>
      <c r="L150" s="44"/>
      <c r="M150" s="14" t="e">
        <f t="shared" si="10"/>
        <v>#DIV/0!</v>
      </c>
    </row>
    <row r="151" spans="1:13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8"/>
        <v>#DIV/0!</v>
      </c>
      <c r="J151" s="36">
        <f t="shared" si="9"/>
        <v>37278.864000000001</v>
      </c>
      <c r="K151" s="44"/>
      <c r="L151" s="44"/>
      <c r="M151" s="14" t="e">
        <f t="shared" si="10"/>
        <v>#DIV/0!</v>
      </c>
    </row>
    <row r="152" spans="1:13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8"/>
        <v>#DIV/0!</v>
      </c>
      <c r="J152" s="36">
        <f t="shared" si="9"/>
        <v>0</v>
      </c>
      <c r="K152" s="44"/>
      <c r="L152" s="44"/>
      <c r="M152" s="14" t="e">
        <f t="shared" si="10"/>
        <v>#DIV/0!</v>
      </c>
    </row>
    <row r="153" spans="1:13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8"/>
        <v>#DIV/0!</v>
      </c>
      <c r="J153" s="36">
        <f t="shared" si="9"/>
        <v>74557.728000000003</v>
      </c>
      <c r="K153" s="44"/>
      <c r="L153" s="44"/>
      <c r="M153" s="14" t="e">
        <f t="shared" si="10"/>
        <v>#DIV/0!</v>
      </c>
    </row>
    <row r="154" spans="1:13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8"/>
        <v>#DIV/0!</v>
      </c>
      <c r="J154" s="36">
        <f t="shared" si="9"/>
        <v>149115.45600000001</v>
      </c>
      <c r="K154" s="44"/>
      <c r="L154" s="44"/>
      <c r="M154" s="14" t="e">
        <f t="shared" si="10"/>
        <v>#DIV/0!</v>
      </c>
    </row>
    <row r="155" spans="1:13" ht="15" hidden="1" customHeight="1" thickBo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8"/>
        <v>#DIV/0!</v>
      </c>
      <c r="J155" s="36">
        <f t="shared" si="9"/>
        <v>149115.45600000001</v>
      </c>
      <c r="K155" s="44"/>
      <c r="L155" s="44"/>
      <c r="M155" s="14" t="e">
        <f t="shared" si="10"/>
        <v>#DIV/0!</v>
      </c>
    </row>
    <row r="156" spans="1:13" ht="15" hidden="1" customHeigh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8"/>
        <v>#DIV/0!</v>
      </c>
      <c r="J156" s="36">
        <f t="shared" si="9"/>
        <v>820135.00800000003</v>
      </c>
      <c r="K156" s="44"/>
      <c r="L156" s="44"/>
      <c r="M156" s="14" t="e">
        <f t="shared" si="10"/>
        <v>#DIV/0!</v>
      </c>
    </row>
    <row r="157" spans="1:13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8"/>
        <v>#DIV/0!</v>
      </c>
      <c r="J157" s="36">
        <f t="shared" si="9"/>
        <v>149115.45600000001</v>
      </c>
      <c r="K157" s="44"/>
      <c r="L157" s="44"/>
      <c r="M157" s="14" t="e">
        <f t="shared" si="10"/>
        <v>#DIV/0!</v>
      </c>
    </row>
    <row r="158" spans="1:13" ht="15" hidden="1" customHeight="1" thickBo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8"/>
        <v>#DIV/0!</v>
      </c>
      <c r="J158" s="36">
        <f t="shared" si="9"/>
        <v>74557.728000000003</v>
      </c>
      <c r="K158" s="44"/>
      <c r="L158" s="44"/>
      <c r="M158" s="14" t="e">
        <f t="shared" si="10"/>
        <v>#DIV/0!</v>
      </c>
    </row>
    <row r="159" spans="1:13" ht="15" hidden="1" customHeight="1" thickBo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8"/>
        <v>#DIV/0!</v>
      </c>
      <c r="J159" s="36">
        <f t="shared" si="9"/>
        <v>74557.728000000003</v>
      </c>
      <c r="K159" s="44"/>
      <c r="L159" s="44"/>
      <c r="M159" s="14" t="e">
        <f t="shared" si="10"/>
        <v>#DIV/0!</v>
      </c>
    </row>
    <row r="160" spans="1:13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8"/>
        <v>#DIV/0!</v>
      </c>
      <c r="J160" s="36">
        <f t="shared" si="9"/>
        <v>149115.45600000001</v>
      </c>
      <c r="K160" s="44"/>
      <c r="L160" s="44"/>
      <c r="M160" s="14" t="e">
        <f t="shared" si="10"/>
        <v>#DIV/0!</v>
      </c>
    </row>
    <row r="161" spans="1:13" ht="15.75" hidden="1" customHeigh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8"/>
        <v>#DIV/0!</v>
      </c>
      <c r="J161" s="36">
        <f t="shared" si="9"/>
        <v>596461.82400000002</v>
      </c>
      <c r="K161" s="44"/>
      <c r="L161" s="44"/>
      <c r="M161" s="14" t="e">
        <f t="shared" si="10"/>
        <v>#DIV/0!</v>
      </c>
    </row>
    <row r="162" spans="1:13" ht="16.5" hidden="1" customHeigh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8"/>
        <v>#DIV/0!</v>
      </c>
      <c r="J162" s="36">
        <f t="shared" si="9"/>
        <v>149115.45600000001</v>
      </c>
      <c r="K162" s="44"/>
      <c r="L162" s="44"/>
      <c r="M162" s="14" t="e">
        <f t="shared" si="10"/>
        <v>#DIV/0!</v>
      </c>
    </row>
    <row r="163" spans="1:13" ht="16.5" hidden="1" customHeigh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8"/>
        <v>#DIV/0!</v>
      </c>
      <c r="J163" s="36">
        <f t="shared" si="9"/>
        <v>260952.04800000001</v>
      </c>
      <c r="K163" s="44"/>
      <c r="L163" s="44"/>
      <c r="M163" s="14" t="e">
        <f t="shared" si="10"/>
        <v>#DIV/0!</v>
      </c>
    </row>
    <row r="164" spans="1:13" ht="16.5" hidden="1" customHeight="1" thickBo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8"/>
        <v>#DIV/0!</v>
      </c>
      <c r="J164" s="36">
        <f t="shared" si="9"/>
        <v>0</v>
      </c>
      <c r="K164" s="44"/>
      <c r="L164" s="44"/>
      <c r="M164" s="14" t="e">
        <f t="shared" si="10"/>
        <v>#DIV/0!</v>
      </c>
    </row>
    <row r="165" spans="1:13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8"/>
        <v>#DIV/0!</v>
      </c>
      <c r="J165" s="36">
        <f t="shared" si="9"/>
        <v>74557.728000000003</v>
      </c>
      <c r="K165" s="44"/>
      <c r="L165" s="44"/>
      <c r="M165" s="14" t="e">
        <f t="shared" si="10"/>
        <v>#DIV/0!</v>
      </c>
    </row>
    <row r="166" spans="1:13" ht="15" hidden="1" customHeight="1" thickBo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14">
        <f t="shared" si="10"/>
        <v>0</v>
      </c>
    </row>
    <row r="167" spans="1:13" ht="15.75" hidden="1" customHeigh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14">
        <f t="shared" si="10"/>
        <v>0</v>
      </c>
    </row>
    <row r="168" spans="1:13" ht="14.25" hidden="1" customHeight="1" thickBo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30">
        <f t="shared" si="10"/>
        <v>0</v>
      </c>
    </row>
    <row r="169" spans="1:13" ht="15" thickBot="1">
      <c r="A169" s="258" t="s">
        <v>47</v>
      </c>
      <c r="B169" s="258"/>
      <c r="C169" s="258"/>
      <c r="D169" s="258"/>
      <c r="E169" s="61"/>
      <c r="F169" s="125"/>
      <c r="G169" s="125"/>
      <c r="H169" s="65">
        <f>H143</f>
        <v>4885584.59</v>
      </c>
      <c r="I169" s="46"/>
      <c r="J169" s="62">
        <f>J143</f>
        <v>30726.947106918236</v>
      </c>
      <c r="K169" s="44"/>
      <c r="L169" s="44"/>
      <c r="M169" s="15"/>
    </row>
    <row r="170" spans="1:13" ht="22.2" customHeight="1">
      <c r="A170" s="10"/>
      <c r="B170" s="10"/>
      <c r="C170" s="10"/>
      <c r="D170" s="10"/>
      <c r="E170" s="10"/>
      <c r="F170" s="10"/>
      <c r="G170" s="10"/>
      <c r="H170" s="12"/>
      <c r="I170" s="12"/>
      <c r="J170" s="12"/>
      <c r="K170" s="10"/>
      <c r="L170" s="10"/>
      <c r="M170" s="10"/>
    </row>
    <row r="171" spans="1:13">
      <c r="A171" s="226" t="s">
        <v>61</v>
      </c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126"/>
      <c r="M171" s="10"/>
    </row>
    <row r="172" spans="1:13" s="75" customFormat="1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73"/>
    </row>
    <row r="173" spans="1:13" ht="55.8">
      <c r="A173" s="206" t="s">
        <v>28</v>
      </c>
      <c r="B173" s="207"/>
      <c r="C173" s="207"/>
      <c r="D173" s="207"/>
      <c r="E173" s="8" t="s">
        <v>75</v>
      </c>
      <c r="F173" s="8" t="s">
        <v>48</v>
      </c>
      <c r="G173" s="8" t="s">
        <v>74</v>
      </c>
      <c r="H173" s="8" t="s">
        <v>69</v>
      </c>
      <c r="I173" s="10"/>
      <c r="J173" s="10"/>
      <c r="K173" s="10"/>
      <c r="L173" s="10"/>
    </row>
    <row r="174" spans="1:13" ht="15" thickBot="1">
      <c r="A174" s="198" t="s">
        <v>144</v>
      </c>
      <c r="B174" s="199"/>
      <c r="C174" s="199"/>
      <c r="D174" s="199"/>
      <c r="E174" s="49" t="s">
        <v>27</v>
      </c>
      <c r="F174" s="158">
        <f>1440*$O$4</f>
        <v>335.66399999999999</v>
      </c>
      <c r="G174" s="43">
        <v>159</v>
      </c>
      <c r="H174" s="189">
        <f t="shared" ref="H174" si="11">F174/G174</f>
        <v>2.1110943396226416</v>
      </c>
      <c r="I174" s="44"/>
      <c r="J174" s="44"/>
      <c r="K174" s="10"/>
      <c r="L174" s="10"/>
      <c r="M174" s="10"/>
    </row>
    <row r="175" spans="1:13" ht="20.25" customHeight="1" thickBot="1">
      <c r="A175" s="210" t="s">
        <v>53</v>
      </c>
      <c r="B175" s="211"/>
      <c r="C175" s="211"/>
      <c r="D175" s="211"/>
      <c r="E175" s="48"/>
      <c r="F175" s="65">
        <f>SUM(F174:F174)</f>
        <v>335.66399999999999</v>
      </c>
      <c r="G175" s="44"/>
      <c r="H175" s="50">
        <f>SUM(H174:H174)</f>
        <v>2.1110943396226416</v>
      </c>
      <c r="I175" s="44"/>
      <c r="J175" s="171"/>
      <c r="K175" s="10"/>
      <c r="L175" s="10"/>
      <c r="M175" s="10"/>
    </row>
    <row r="176" spans="1:13" s="75" customFormat="1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73"/>
    </row>
    <row r="177" spans="1:14" ht="55.8">
      <c r="A177" s="206" t="s">
        <v>28</v>
      </c>
      <c r="B177" s="207"/>
      <c r="C177" s="207"/>
      <c r="D177" s="207"/>
      <c r="E177" s="8" t="s">
        <v>75</v>
      </c>
      <c r="F177" s="8" t="s">
        <v>48</v>
      </c>
      <c r="G177" s="8" t="s">
        <v>74</v>
      </c>
      <c r="H177" s="8" t="s">
        <v>69</v>
      </c>
      <c r="I177" s="10"/>
      <c r="J177" s="10"/>
      <c r="K177" s="10"/>
      <c r="L177" s="10"/>
    </row>
    <row r="178" spans="1:14" ht="51" customHeight="1" thickBot="1">
      <c r="A178" s="198" t="s">
        <v>145</v>
      </c>
      <c r="B178" s="199"/>
      <c r="C178" s="199"/>
      <c r="D178" s="199"/>
      <c r="E178" s="49" t="s">
        <v>27</v>
      </c>
      <c r="F178" s="158">
        <f>501795*$O$4</f>
        <v>116968.4145</v>
      </c>
      <c r="G178" s="43">
        <v>159</v>
      </c>
      <c r="H178" s="189">
        <f t="shared" ref="H178" si="12">F178/G178</f>
        <v>735.65040566037737</v>
      </c>
      <c r="I178" s="44"/>
      <c r="J178" s="44"/>
      <c r="K178" s="10"/>
      <c r="L178" s="10"/>
      <c r="M178" s="10"/>
    </row>
    <row r="179" spans="1:14" ht="20.25" customHeight="1" thickBot="1">
      <c r="A179" s="210" t="s">
        <v>53</v>
      </c>
      <c r="B179" s="211"/>
      <c r="C179" s="211"/>
      <c r="D179" s="211"/>
      <c r="E179" s="48"/>
      <c r="F179" s="65">
        <f>SUM(F178:F178)</f>
        <v>116968.4145</v>
      </c>
      <c r="G179" s="44"/>
      <c r="H179" s="50">
        <f>SUM(H178:H178)</f>
        <v>735.65040566037737</v>
      </c>
      <c r="I179" s="44"/>
      <c r="J179" s="171"/>
      <c r="K179" s="10"/>
      <c r="L179" s="10"/>
      <c r="M179" s="10"/>
    </row>
    <row r="180" spans="1:14" s="75" customFormat="1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73"/>
    </row>
    <row r="181" spans="1:14" ht="69.599999999999994">
      <c r="A181" s="206" t="s">
        <v>62</v>
      </c>
      <c r="B181" s="207"/>
      <c r="C181" s="207"/>
      <c r="D181" s="217"/>
      <c r="E181" s="129" t="s">
        <v>7</v>
      </c>
      <c r="F181" s="129" t="s">
        <v>55</v>
      </c>
      <c r="G181" s="129" t="s">
        <v>42</v>
      </c>
      <c r="H181" s="129" t="s">
        <v>48</v>
      </c>
      <c r="I181" s="8" t="s">
        <v>63</v>
      </c>
      <c r="J181" s="8" t="s">
        <v>69</v>
      </c>
      <c r="K181" s="38"/>
      <c r="L181" s="27"/>
      <c r="M181" s="10"/>
    </row>
    <row r="182" spans="1:14" ht="36.75" customHeight="1">
      <c r="A182" s="198" t="s">
        <v>113</v>
      </c>
      <c r="B182" s="199"/>
      <c r="C182" s="199"/>
      <c r="D182" s="218"/>
      <c r="E182" s="149"/>
      <c r="F182" s="149"/>
      <c r="G182" s="149"/>
      <c r="H182" s="193">
        <f>350242.9*$O$4</f>
        <v>81641.619990000007</v>
      </c>
      <c r="I182" s="43">
        <v>159</v>
      </c>
      <c r="J182" s="194">
        <f>H182/I182</f>
        <v>513.4693081132076</v>
      </c>
      <c r="K182" s="38"/>
      <c r="L182" s="27"/>
      <c r="M182" s="27"/>
      <c r="N182" s="10"/>
    </row>
    <row r="183" spans="1:14" ht="34.5" customHeight="1" thickBot="1">
      <c r="A183" s="198" t="s">
        <v>114</v>
      </c>
      <c r="B183" s="199"/>
      <c r="C183" s="199"/>
      <c r="D183" s="218"/>
      <c r="E183" s="149"/>
      <c r="F183" s="149"/>
      <c r="G183" s="149"/>
      <c r="H183" s="193">
        <f>(39067+30300+25200+250000)*$O$4</f>
        <v>80318.5677</v>
      </c>
      <c r="I183" s="43">
        <v>159</v>
      </c>
      <c r="J183" s="194">
        <f t="shared" ref="J183" si="13">H183/I183</f>
        <v>505.14822452830191</v>
      </c>
      <c r="K183" s="38"/>
      <c r="L183" s="27"/>
      <c r="M183" s="27"/>
      <c r="N183" s="10"/>
    </row>
    <row r="184" spans="1:14" ht="15" thickBot="1">
      <c r="A184" s="229" t="s">
        <v>57</v>
      </c>
      <c r="B184" s="230"/>
      <c r="C184" s="230"/>
      <c r="D184" s="230"/>
      <c r="E184" s="230"/>
      <c r="F184" s="230"/>
      <c r="G184" s="231"/>
      <c r="H184" s="195">
        <f>H183+H182</f>
        <v>161960.18768999999</v>
      </c>
      <c r="I184" s="196"/>
      <c r="J184" s="187">
        <f>SUM(J182:J183)</f>
        <v>1018.6175326415096</v>
      </c>
      <c r="K184" s="10"/>
      <c r="L184" s="10"/>
      <c r="M184" s="10"/>
      <c r="N184" s="10"/>
    </row>
    <row r="185" spans="1:14" ht="32.4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14" ht="69.599999999999994">
      <c r="A186" s="206" t="s">
        <v>62</v>
      </c>
      <c r="B186" s="207"/>
      <c r="C186" s="207"/>
      <c r="D186" s="217"/>
      <c r="E186" s="129" t="s">
        <v>115</v>
      </c>
      <c r="F186" s="129" t="s">
        <v>55</v>
      </c>
      <c r="G186" s="129" t="s">
        <v>42</v>
      </c>
      <c r="H186" s="129" t="s">
        <v>48</v>
      </c>
      <c r="I186" s="8" t="s">
        <v>63</v>
      </c>
      <c r="J186" s="8" t="s">
        <v>69</v>
      </c>
      <c r="K186" s="38"/>
      <c r="L186" s="27"/>
      <c r="M186" s="10"/>
    </row>
    <row r="187" spans="1:14">
      <c r="A187" s="198" t="s">
        <v>78</v>
      </c>
      <c r="B187" s="199"/>
      <c r="C187" s="199"/>
      <c r="D187" s="218"/>
      <c r="E187" s="149">
        <v>120</v>
      </c>
      <c r="F187" s="149"/>
      <c r="G187" s="149"/>
      <c r="H187" s="193">
        <f>50000*$O$4</f>
        <v>11655</v>
      </c>
      <c r="I187" s="43">
        <v>159</v>
      </c>
      <c r="J187" s="194">
        <f>H187/I187</f>
        <v>73.301886792452834</v>
      </c>
      <c r="K187" s="38"/>
      <c r="L187" s="27"/>
      <c r="M187" s="27"/>
      <c r="N187" s="10"/>
    </row>
    <row r="188" spans="1:14">
      <c r="A188" s="198" t="s">
        <v>79</v>
      </c>
      <c r="B188" s="199"/>
      <c r="C188" s="199"/>
      <c r="D188" s="218"/>
      <c r="E188" s="149">
        <v>640</v>
      </c>
      <c r="F188" s="149"/>
      <c r="G188" s="149"/>
      <c r="H188" s="193">
        <f t="shared" ref="H188:H189" si="14">50000*$O$4</f>
        <v>11655</v>
      </c>
      <c r="I188" s="43">
        <v>159</v>
      </c>
      <c r="J188" s="194">
        <f t="shared" ref="J188:J189" si="15">H188/I188</f>
        <v>73.301886792452834</v>
      </c>
      <c r="K188" s="38"/>
      <c r="L188" s="27"/>
      <c r="M188" s="27"/>
      <c r="N188" s="10"/>
    </row>
    <row r="189" spans="1:14" ht="18" customHeight="1" thickBot="1">
      <c r="A189" s="198" t="s">
        <v>80</v>
      </c>
      <c r="B189" s="199"/>
      <c r="C189" s="199"/>
      <c r="D189" s="218"/>
      <c r="E189" s="149">
        <v>200</v>
      </c>
      <c r="F189" s="149"/>
      <c r="G189" s="149"/>
      <c r="H189" s="193">
        <f t="shared" si="14"/>
        <v>11655</v>
      </c>
      <c r="I189" s="43">
        <v>159</v>
      </c>
      <c r="J189" s="194">
        <f t="shared" si="15"/>
        <v>73.301886792452834</v>
      </c>
      <c r="K189" s="38"/>
      <c r="L189" s="27"/>
      <c r="M189" s="27"/>
      <c r="N189" s="10"/>
    </row>
    <row r="190" spans="1:14" ht="15" thickBot="1">
      <c r="A190" s="229" t="s">
        <v>57</v>
      </c>
      <c r="B190" s="230"/>
      <c r="C190" s="230"/>
      <c r="D190" s="230"/>
      <c r="E190" s="230"/>
      <c r="F190" s="230"/>
      <c r="G190" s="231"/>
      <c r="H190" s="195">
        <f>SUM(H187:H189)</f>
        <v>34965</v>
      </c>
      <c r="I190" s="196"/>
      <c r="J190" s="187">
        <f>SUM(J187:J189)</f>
        <v>219.90566037735852</v>
      </c>
      <c r="K190" s="10"/>
      <c r="L190" s="10"/>
      <c r="M190" s="10"/>
      <c r="N190" s="10"/>
    </row>
    <row r="191" spans="1:14" ht="25.2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1:14">
      <c r="A192" s="205" t="s">
        <v>29</v>
      </c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</row>
    <row r="193" spans="1:18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8" ht="60" customHeight="1">
      <c r="A194" s="233" t="s">
        <v>30</v>
      </c>
      <c r="B194" s="234"/>
      <c r="C194" s="235"/>
      <c r="D194" s="200" t="s">
        <v>31</v>
      </c>
      <c r="E194" s="201"/>
      <c r="F194" s="201"/>
      <c r="G194" s="201"/>
      <c r="H194" s="201"/>
      <c r="I194" s="201"/>
      <c r="J194" s="201"/>
      <c r="K194" s="201"/>
      <c r="L194" s="201"/>
      <c r="M194" s="202"/>
      <c r="N194" s="150" t="s">
        <v>35</v>
      </c>
      <c r="O194" s="111"/>
      <c r="R194" s="123"/>
    </row>
    <row r="195" spans="1:18" ht="24" customHeight="1">
      <c r="A195" s="9" t="s">
        <v>32</v>
      </c>
      <c r="B195" s="103" t="s">
        <v>33</v>
      </c>
      <c r="C195" s="9" t="s">
        <v>34</v>
      </c>
      <c r="D195" s="8" t="s">
        <v>119</v>
      </c>
      <c r="E195" s="8" t="s">
        <v>120</v>
      </c>
      <c r="F195" s="8" t="s">
        <v>121</v>
      </c>
      <c r="G195" s="8" t="s">
        <v>122</v>
      </c>
      <c r="H195" s="24" t="s">
        <v>139</v>
      </c>
      <c r="I195" s="24" t="s">
        <v>143</v>
      </c>
      <c r="J195" s="24" t="s">
        <v>123</v>
      </c>
      <c r="K195" s="33" t="s">
        <v>124</v>
      </c>
      <c r="L195" s="149" t="s">
        <v>122</v>
      </c>
      <c r="M195" s="149" t="s">
        <v>168</v>
      </c>
      <c r="N195" s="151"/>
      <c r="O195" s="111"/>
    </row>
    <row r="196" spans="1:18" ht="15" thickBot="1">
      <c r="A196" s="14">
        <f>J69</f>
        <v>16871.19327044025</v>
      </c>
      <c r="B196" s="14"/>
      <c r="C196" s="14"/>
      <c r="D196" s="14">
        <f>J78</f>
        <v>75.281037735849054</v>
      </c>
      <c r="E196" s="14">
        <f>J88</f>
        <v>3019.0115094339626</v>
      </c>
      <c r="F196" s="14">
        <f>I99</f>
        <v>462.33259245283011</v>
      </c>
      <c r="G196" s="14">
        <f>I110</f>
        <v>745.93191888679257</v>
      </c>
      <c r="H196" s="36">
        <f>H115</f>
        <v>10.188962264150943</v>
      </c>
      <c r="I196" s="36">
        <f>H138</f>
        <v>190.58490566037736</v>
      </c>
      <c r="J196" s="36">
        <f>H121</f>
        <v>134.25969186792454</v>
      </c>
      <c r="K196" s="93">
        <f>J169</f>
        <v>30726.947106918236</v>
      </c>
      <c r="L196" s="92">
        <f>J184+J190+H175+H179</f>
        <v>1976.2846930188682</v>
      </c>
      <c r="M196" s="92">
        <f>H126</f>
        <v>250.36992452830188</v>
      </c>
      <c r="N196" s="135">
        <f>SUM(D196:M196)+A196</f>
        <v>54462.385613207538</v>
      </c>
      <c r="O196" s="112"/>
    </row>
    <row r="197" spans="1:18" ht="15" thickBo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P197" s="88">
        <f>N196*159</f>
        <v>8659519.3124999981</v>
      </c>
    </row>
    <row r="198" spans="1:18" ht="15" thickBot="1">
      <c r="A198" s="13" t="s">
        <v>64</v>
      </c>
      <c r="B198" s="13"/>
      <c r="C198" s="13"/>
      <c r="D198" s="10"/>
      <c r="E198" s="10"/>
      <c r="F198" s="10"/>
      <c r="G198" s="10"/>
      <c r="H198" s="10"/>
      <c r="I198" s="10"/>
      <c r="J198" s="203">
        <f>H190+H184+F179+F175+H169+F138+F126+F121+F115+G110+G99+H88+H78+H70</f>
        <v>8659519.3125</v>
      </c>
      <c r="K198" s="204"/>
      <c r="L198" s="10"/>
      <c r="M198" s="10"/>
      <c r="P198" s="123"/>
    </row>
    <row r="199" spans="1:18" ht="26.25" customHeight="1">
      <c r="A199" s="10"/>
      <c r="B199" s="10"/>
      <c r="C199" s="10"/>
      <c r="D199" s="10"/>
      <c r="E199" s="10"/>
      <c r="F199" s="10"/>
      <c r="G199" s="10"/>
      <c r="H199" s="10"/>
      <c r="I199" s="10"/>
      <c r="K199" s="10"/>
      <c r="L199" s="10"/>
      <c r="N199" s="219"/>
      <c r="O199" s="219"/>
    </row>
    <row r="200" spans="1:18" ht="17.25" customHeight="1">
      <c r="A200" s="2" t="s">
        <v>116</v>
      </c>
      <c r="B200" s="2"/>
      <c r="C200" s="2"/>
      <c r="I200" s="2" t="s">
        <v>117</v>
      </c>
    </row>
    <row r="201" spans="1:18" ht="9.75" customHeight="1"/>
    <row r="202" spans="1:18" ht="15.6">
      <c r="A202" s="100" t="s">
        <v>43</v>
      </c>
      <c r="B202" s="6"/>
    </row>
    <row r="203" spans="1:18" ht="15.6">
      <c r="A203" s="100" t="s">
        <v>138</v>
      </c>
      <c r="B203" s="6"/>
    </row>
    <row r="204" spans="1:18" ht="15.6">
      <c r="A204" s="100" t="s">
        <v>81</v>
      </c>
      <c r="C204" s="6"/>
    </row>
    <row r="205" spans="1:18" ht="15.6">
      <c r="A205" s="1"/>
      <c r="B205" s="1"/>
      <c r="C205" s="1"/>
    </row>
    <row r="207" spans="1:18">
      <c r="J207" s="10"/>
    </row>
    <row r="209" spans="1:13">
      <c r="I209" s="176">
        <f>J198/O4</f>
        <v>37149375</v>
      </c>
      <c r="J209" s="176"/>
    </row>
    <row r="210" spans="1:13">
      <c r="I210" s="176"/>
      <c r="J210" s="176">
        <v>37149375</v>
      </c>
    </row>
    <row r="211" spans="1:13">
      <c r="I211" s="176"/>
      <c r="J211" s="176"/>
    </row>
    <row r="212" spans="1:13">
      <c r="I212" s="176"/>
      <c r="J212" s="176">
        <f>J210-I209</f>
        <v>0</v>
      </c>
    </row>
    <row r="213" spans="1: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</row>
  </sheetData>
  <mergeCells count="200">
    <mergeCell ref="J198:K198"/>
    <mergeCell ref="H126:I126"/>
    <mergeCell ref="A128:M128"/>
    <mergeCell ref="A129:D129"/>
    <mergeCell ref="A130:D130"/>
    <mergeCell ref="A131:D131"/>
    <mergeCell ref="A132:D132"/>
    <mergeCell ref="A133:D133"/>
    <mergeCell ref="A134:D134"/>
    <mergeCell ref="A135:D135"/>
    <mergeCell ref="A141:D141"/>
    <mergeCell ref="A142:D142"/>
    <mergeCell ref="A143:D143"/>
    <mergeCell ref="A144:D144"/>
    <mergeCell ref="A137:D137"/>
    <mergeCell ref="A138:D138"/>
    <mergeCell ref="A126:D126"/>
    <mergeCell ref="A156:D156"/>
    <mergeCell ref="A157:D157"/>
    <mergeCell ref="A158:D158"/>
    <mergeCell ref="A159:D159"/>
    <mergeCell ref="A145:D145"/>
    <mergeCell ref="A150:D150"/>
    <mergeCell ref="A148:D148"/>
    <mergeCell ref="A98:D98"/>
    <mergeCell ref="A110:D110"/>
    <mergeCell ref="H114:I114"/>
    <mergeCell ref="H115:I115"/>
    <mergeCell ref="A121:D121"/>
    <mergeCell ref="A123:N123"/>
    <mergeCell ref="A124:D124"/>
    <mergeCell ref="H124:I124"/>
    <mergeCell ref="A125:D125"/>
    <mergeCell ref="H125:I125"/>
    <mergeCell ref="A115:D115"/>
    <mergeCell ref="A104:D104"/>
    <mergeCell ref="A105:D105"/>
    <mergeCell ref="A106:D106"/>
    <mergeCell ref="A109:D109"/>
    <mergeCell ref="A114:D114"/>
    <mergeCell ref="A107:D107"/>
    <mergeCell ref="A108:D108"/>
    <mergeCell ref="A112:M112"/>
    <mergeCell ref="A113:D113"/>
    <mergeCell ref="A119:D119"/>
    <mergeCell ref="A120:D120"/>
    <mergeCell ref="A101:M101"/>
    <mergeCell ref="A102:D102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77:D77"/>
    <mergeCell ref="A78:D78"/>
    <mergeCell ref="A81:D81"/>
    <mergeCell ref="A75:D75"/>
    <mergeCell ref="A76:D76"/>
    <mergeCell ref="A84:D84"/>
    <mergeCell ref="A93:D93"/>
    <mergeCell ref="A85:D85"/>
    <mergeCell ref="A86:D86"/>
    <mergeCell ref="A87:D87"/>
    <mergeCell ref="A88:D88"/>
    <mergeCell ref="A80:M80"/>
    <mergeCell ref="A82:D82"/>
    <mergeCell ref="A83:D83"/>
    <mergeCell ref="A90:M90"/>
    <mergeCell ref="A91:D91"/>
    <mergeCell ref="A92:D92"/>
    <mergeCell ref="A149:D149"/>
    <mergeCell ref="A146:D146"/>
    <mergeCell ref="A147:D147"/>
    <mergeCell ref="A151:D151"/>
    <mergeCell ref="A152:D152"/>
    <mergeCell ref="A153:D153"/>
    <mergeCell ref="A154:D154"/>
    <mergeCell ref="A155:D155"/>
    <mergeCell ref="A169:D169"/>
    <mergeCell ref="A194:C194"/>
    <mergeCell ref="A162:D162"/>
    <mergeCell ref="A163:D163"/>
    <mergeCell ref="A164:D164"/>
    <mergeCell ref="A181:D181"/>
    <mergeCell ref="A182:D182"/>
    <mergeCell ref="A183:D183"/>
    <mergeCell ref="A173:D173"/>
    <mergeCell ref="A174:D174"/>
    <mergeCell ref="A175:D175"/>
    <mergeCell ref="A167:D167"/>
    <mergeCell ref="A177:D177"/>
    <mergeCell ref="A178:D178"/>
    <mergeCell ref="A179:D179"/>
    <mergeCell ref="D194:M194"/>
    <mergeCell ref="A103:D103"/>
    <mergeCell ref="A97:D97"/>
    <mergeCell ref="A94:D94"/>
    <mergeCell ref="A95:D95"/>
    <mergeCell ref="A96:D96"/>
    <mergeCell ref="N199:O199"/>
    <mergeCell ref="A117:M117"/>
    <mergeCell ref="A118:D118"/>
    <mergeCell ref="A140:M140"/>
    <mergeCell ref="A160:D160"/>
    <mergeCell ref="A161:D161"/>
    <mergeCell ref="A171:K171"/>
    <mergeCell ref="A184:G184"/>
    <mergeCell ref="A136:D136"/>
    <mergeCell ref="A165:D165"/>
    <mergeCell ref="A166:D166"/>
    <mergeCell ref="A187:D187"/>
    <mergeCell ref="A188:D188"/>
    <mergeCell ref="A189:D189"/>
    <mergeCell ref="A168:D168"/>
    <mergeCell ref="H113:I113"/>
    <mergeCell ref="A186:D186"/>
    <mergeCell ref="A190:G190"/>
    <mergeCell ref="A192:M192"/>
  </mergeCells>
  <pageMargins left="0.51181102362204722" right="0.31496062992125984" top="0.35433070866141736" bottom="0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3"/>
  <sheetViews>
    <sheetView view="pageBreakPreview" topLeftCell="A4" zoomScale="60" zoomScaleNormal="60" workbookViewId="0">
      <selection activeCell="J207" sqref="J207:J214"/>
    </sheetView>
  </sheetViews>
  <sheetFormatPr defaultRowHeight="14.4"/>
  <cols>
    <col min="1" max="1" width="10.5546875" customWidth="1"/>
    <col min="2" max="3" width="4.33203125" customWidth="1"/>
    <col min="4" max="4" width="10.88671875" customWidth="1"/>
    <col min="5" max="5" width="12.5546875" customWidth="1"/>
    <col min="6" max="6" width="11" customWidth="1"/>
    <col min="7" max="8" width="14.6640625" customWidth="1"/>
    <col min="9" max="9" width="12.88671875" customWidth="1"/>
    <col min="10" max="10" width="13.6640625" customWidth="1"/>
    <col min="11" max="11" width="11.6640625" customWidth="1"/>
    <col min="12" max="12" width="10.77734375" customWidth="1"/>
    <col min="13" max="13" width="10.21875" customWidth="1"/>
    <col min="14" max="14" width="12.5546875" customWidth="1"/>
    <col min="16" max="16" width="22.44140625" customWidth="1"/>
    <col min="18" max="18" width="16.109375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85"/>
      <c r="F3" s="40"/>
      <c r="G3" s="40"/>
    </row>
    <row r="4" spans="1:15" ht="27.75" customHeight="1">
      <c r="A4" s="290"/>
      <c r="B4" s="290"/>
      <c r="C4" s="290"/>
      <c r="D4" s="101"/>
      <c r="E4" s="290"/>
      <c r="F4" s="290"/>
      <c r="G4" s="42"/>
      <c r="H4" s="301"/>
      <c r="I4" s="288"/>
      <c r="J4" s="288"/>
      <c r="K4" s="288"/>
      <c r="L4" s="105"/>
      <c r="O4" s="157">
        <v>4.1099999999999998E-2</v>
      </c>
    </row>
    <row r="5" spans="1:15" ht="9.75" customHeight="1">
      <c r="A5" s="3"/>
      <c r="B5" s="3"/>
      <c r="C5" s="3"/>
      <c r="D5" s="84"/>
      <c r="E5" s="3"/>
      <c r="F5" s="3"/>
      <c r="G5" s="84"/>
    </row>
    <row r="6" spans="1:15" ht="11.25" customHeight="1">
      <c r="A6" s="86"/>
      <c r="B6" s="86"/>
      <c r="C6" s="86"/>
      <c r="D6" s="86"/>
      <c r="E6" s="86"/>
      <c r="F6" s="86"/>
      <c r="G6" s="86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</row>
    <row r="8" spans="1:15" ht="15.6">
      <c r="A8" s="286" t="s">
        <v>152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</row>
    <row r="9" spans="1:15" ht="11.25" customHeight="1"/>
    <row r="10" spans="1:1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17.25" customHeight="1">
      <c r="A12" s="281" t="s">
        <v>84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15.6">
      <c r="A14" s="7" t="s">
        <v>154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N16" s="115"/>
    </row>
    <row r="17" spans="1:12">
      <c r="A17" s="273" t="s">
        <v>86</v>
      </c>
      <c r="B17" s="273"/>
      <c r="C17" s="273"/>
      <c r="D17" s="273"/>
      <c r="E17" s="273"/>
      <c r="F17" s="107">
        <f>5*4.11%</f>
        <v>0.20550000000000002</v>
      </c>
      <c r="G17" s="278" t="s">
        <v>1</v>
      </c>
      <c r="H17" s="278"/>
      <c r="I17" s="278"/>
      <c r="J17" s="278"/>
      <c r="K17" s="278"/>
      <c r="L17" s="107">
        <f>1*4.11%</f>
        <v>4.1100000000000005E-2</v>
      </c>
    </row>
    <row r="18" spans="1:12">
      <c r="A18" s="273" t="s">
        <v>87</v>
      </c>
      <c r="B18" s="273"/>
      <c r="C18" s="273"/>
      <c r="D18" s="273"/>
      <c r="E18" s="273"/>
      <c r="F18" s="107">
        <f>10.6*4.11%</f>
        <v>0.43566000000000005</v>
      </c>
      <c r="G18" s="239" t="s">
        <v>88</v>
      </c>
      <c r="H18" s="240"/>
      <c r="I18" s="240"/>
      <c r="J18" s="240"/>
      <c r="K18" s="241"/>
      <c r="L18" s="107">
        <f>3*4.11%</f>
        <v>0.12330000000000002</v>
      </c>
    </row>
    <row r="19" spans="1:12">
      <c r="A19" s="239" t="s">
        <v>100</v>
      </c>
      <c r="B19" s="240"/>
      <c r="C19" s="240"/>
      <c r="D19" s="240"/>
      <c r="E19" s="255"/>
      <c r="F19" s="107">
        <f>6.5*4.11%-0.01</f>
        <v>0.25715000000000005</v>
      </c>
      <c r="G19" s="273" t="s">
        <v>89</v>
      </c>
      <c r="H19" s="273"/>
      <c r="I19" s="273"/>
      <c r="J19" s="273"/>
      <c r="K19" s="273"/>
      <c r="L19" s="107">
        <f>1*4.11%</f>
        <v>4.1100000000000005E-2</v>
      </c>
    </row>
    <row r="20" spans="1:12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07">
        <f>1*4.11%</f>
        <v>4.1100000000000005E-2</v>
      </c>
    </row>
    <row r="21" spans="1:12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07">
        <f>1*4.11%</f>
        <v>4.1100000000000005E-2</v>
      </c>
    </row>
    <row r="22" spans="1:12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07">
        <f>0.5*4.11%</f>
        <v>2.0550000000000002E-2</v>
      </c>
    </row>
    <row r="23" spans="1:12" ht="14.4" customHeight="1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07">
        <f>1*4.11%</f>
        <v>4.1100000000000005E-2</v>
      </c>
    </row>
    <row r="24" spans="1:12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07">
        <f>1*4.11%</f>
        <v>4.1100000000000005E-2</v>
      </c>
    </row>
    <row r="25" spans="1:12" ht="14.4" customHeight="1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07">
        <f>1*4.11%</f>
        <v>4.1100000000000005E-2</v>
      </c>
    </row>
    <row r="26" spans="1:12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07">
        <f>2*4.11%</f>
        <v>8.2200000000000009E-2</v>
      </c>
    </row>
    <row r="27" spans="1:12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07">
        <f>1*4.11%</f>
        <v>4.1100000000000005E-2</v>
      </c>
    </row>
    <row r="28" spans="1:12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07">
        <f>4.75*4.11%</f>
        <v>0.19522500000000001</v>
      </c>
    </row>
    <row r="29" spans="1:12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07">
        <f>3.5*4.11%</f>
        <v>0.14385000000000001</v>
      </c>
    </row>
    <row r="30" spans="1:12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07">
        <f>2*4.11%</f>
        <v>8.2200000000000009E-2</v>
      </c>
    </row>
    <row r="31" spans="1:12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07">
        <f>0.5*4.11%</f>
        <v>2.0550000000000002E-2</v>
      </c>
    </row>
    <row r="32" spans="1:12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07">
        <f>0.5*4.11%</f>
        <v>2.0550000000000002E-2</v>
      </c>
    </row>
    <row r="33" spans="1:14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07">
        <f>11*4.11%</f>
        <v>0.45210000000000006</v>
      </c>
    </row>
    <row r="34" spans="1:14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07">
        <f>2*4.11%</f>
        <v>8.2200000000000009E-2</v>
      </c>
    </row>
    <row r="35" spans="1:14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07">
        <f>1*4.11%</f>
        <v>4.1100000000000005E-2</v>
      </c>
    </row>
    <row r="36" spans="1:14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07">
        <f>1*4.11%</f>
        <v>4.1100000000000005E-2</v>
      </c>
    </row>
    <row r="37" spans="1:14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07">
        <f>0.5*4.11%</f>
        <v>2.0550000000000002E-2</v>
      </c>
      <c r="M37" s="116"/>
    </row>
    <row r="38" spans="1:14" ht="15" customHeight="1">
      <c r="A38" s="264" t="s">
        <v>2</v>
      </c>
      <c r="B38" s="264"/>
      <c r="C38" s="264"/>
      <c r="D38" s="264"/>
      <c r="E38" s="264"/>
      <c r="F38" s="114">
        <f>SUM(F17:F37)</f>
        <v>0.89831000000000016</v>
      </c>
      <c r="G38" s="242" t="s">
        <v>2</v>
      </c>
      <c r="H38" s="242"/>
      <c r="I38" s="242"/>
      <c r="J38" s="242"/>
      <c r="K38" s="242"/>
      <c r="L38" s="113">
        <f>SUM(L17:L37)</f>
        <v>1.6542750000000004</v>
      </c>
      <c r="N38" s="115">
        <f>L38+F38+'Услуга №2'!F40+'Услуга №2'!M40+'Работа №1'!F40+'Работа №1'!M40+'Работа №2'!F40+'Работа №2'!M40+'Работа №3'!F40+'Работа №3'!M40+'Работа №4'!F40+'Работа №4'!M40</f>
        <v>2.5525850000000005</v>
      </c>
    </row>
    <row r="39" spans="1:14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127"/>
      <c r="G39" s="274" t="s">
        <v>2</v>
      </c>
      <c r="H39" s="274"/>
      <c r="I39" s="274"/>
      <c r="J39" s="274"/>
      <c r="K39" s="274"/>
      <c r="L39" s="274"/>
      <c r="M39" s="274"/>
    </row>
    <row r="40" spans="1:14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48" t="s">
        <v>59</v>
      </c>
      <c r="B62" s="248"/>
      <c r="C62" s="248"/>
      <c r="D62" s="24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28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</row>
    <row r="67" spans="1:14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33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4">
        <v>7</v>
      </c>
      <c r="K68" s="35">
        <v>8</v>
      </c>
      <c r="L68" s="108"/>
      <c r="M68" s="27"/>
    </row>
    <row r="69" spans="1:14" ht="40.200000000000003" customHeight="1" thickBot="1">
      <c r="A69" s="223" t="s">
        <v>66</v>
      </c>
      <c r="B69" s="223"/>
      <c r="C69" s="223"/>
      <c r="D69" s="223"/>
      <c r="E69" s="36">
        <f>G69/12/F69</f>
        <v>33636.262037037035</v>
      </c>
      <c r="F69" s="36">
        <v>0.9</v>
      </c>
      <c r="G69" s="124">
        <v>363271.63</v>
      </c>
      <c r="H69" s="36">
        <v>472979.67</v>
      </c>
      <c r="I69" s="43">
        <v>28</v>
      </c>
      <c r="J69" s="36">
        <f>H69/I69</f>
        <v>16892.131071428572</v>
      </c>
      <c r="K69" s="146">
        <f>H69/11508021.17*100</f>
        <v>4.1099999992440051</v>
      </c>
      <c r="L69" s="109"/>
      <c r="M69" s="15"/>
    </row>
    <row r="70" spans="1:14" ht="15" thickBot="1">
      <c r="A70" s="258" t="s">
        <v>47</v>
      </c>
      <c r="B70" s="258"/>
      <c r="C70" s="258"/>
      <c r="D70" s="258"/>
      <c r="E70" s="61"/>
      <c r="F70" s="125"/>
      <c r="G70" s="125"/>
      <c r="H70" s="65">
        <f>H69</f>
        <v>472979.67</v>
      </c>
      <c r="I70" s="46"/>
      <c r="J70" s="62">
        <f>J69</f>
        <v>16892.131071428572</v>
      </c>
      <c r="K70" s="44"/>
      <c r="L70" s="44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</row>
    <row r="74" spans="1:14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5"/>
    </row>
    <row r="75" spans="1:14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35.619999999999997</v>
      </c>
      <c r="H76" s="124">
        <f>10400*O4</f>
        <v>427.44</v>
      </c>
      <c r="I76" s="43">
        <v>28</v>
      </c>
      <c r="J76" s="36">
        <f>H76/I76</f>
        <v>15.265714285714285</v>
      </c>
      <c r="K76" s="10"/>
      <c r="L76" s="10"/>
      <c r="M76" s="10"/>
      <c r="N76" s="16"/>
    </row>
    <row r="77" spans="1:14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140.25375</v>
      </c>
      <c r="H77" s="124">
        <f>40950*O4</f>
        <v>1683.0449999999998</v>
      </c>
      <c r="I77" s="43">
        <v>28</v>
      </c>
      <c r="J77" s="36">
        <f>H77/I77</f>
        <v>60.108749999999993</v>
      </c>
      <c r="K77" s="10"/>
      <c r="L77" s="10"/>
      <c r="M77" s="10"/>
      <c r="N77" s="10"/>
    </row>
    <row r="78" spans="1:14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2110.4849999999997</v>
      </c>
      <c r="I78" s="46"/>
      <c r="J78" s="53">
        <f>SUM(J76:J77)</f>
        <v>75.374464285714282</v>
      </c>
      <c r="K78" s="10"/>
      <c r="L78" s="10"/>
      <c r="M78" s="10"/>
      <c r="N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2.9090236585065141</v>
      </c>
      <c r="G83" s="153">
        <v>6569.73</v>
      </c>
      <c r="H83" s="124">
        <f>465000*O4</f>
        <v>19111.5</v>
      </c>
      <c r="I83" s="43">
        <v>28</v>
      </c>
      <c r="J83" s="36">
        <f t="shared" ref="J83:J87" si="2">H83/I83</f>
        <v>682.55357142857144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27.800501666647818</v>
      </c>
      <c r="G84" s="153">
        <v>1768.22</v>
      </c>
      <c r="H84" s="124">
        <f>1196043.87*O4</f>
        <v>49157.403057000003</v>
      </c>
      <c r="I84" s="43">
        <v>28</v>
      </c>
      <c r="J84" s="36">
        <f t="shared" si="2"/>
        <v>1755.62153775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24">
        <f>147291.76*O4</f>
        <v>6053.6913359999999</v>
      </c>
      <c r="I85" s="43">
        <v>28</v>
      </c>
      <c r="J85" s="36">
        <f t="shared" si="2"/>
        <v>216.203262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24">
        <f>214508.24*O4</f>
        <v>8816.2886639999997</v>
      </c>
      <c r="I86" s="43">
        <v>28</v>
      </c>
      <c r="J86" s="45">
        <f t="shared" si="2"/>
        <v>314.86745228571425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24">
        <f>36456.13*O4</f>
        <v>1498.3469429999998</v>
      </c>
      <c r="I87" s="43">
        <v>28</v>
      </c>
      <c r="J87" s="45">
        <f t="shared" si="2"/>
        <v>53.512390821428561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84637.23</v>
      </c>
      <c r="I88" s="46"/>
      <c r="J88" s="53">
        <f>SUM(J83:J87)</f>
        <v>3022.7582142857141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10"/>
      <c r="L89" s="10"/>
      <c r="M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</row>
    <row r="91" spans="1:17" ht="55.8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8" t="s">
        <v>74</v>
      </c>
      <c r="I91" s="8" t="s">
        <v>69</v>
      </c>
      <c r="J91" s="10"/>
      <c r="K91" s="10"/>
      <c r="L91" s="10"/>
    </row>
    <row r="92" spans="1:17" ht="31.2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6080.3339999999998</v>
      </c>
      <c r="H92" s="43">
        <v>28</v>
      </c>
      <c r="I92" s="186">
        <f>G92/H92</f>
        <v>217.15478571428571</v>
      </c>
      <c r="J92" s="44"/>
      <c r="K92" s="10"/>
      <c r="L92" s="10"/>
      <c r="M92" s="10"/>
    </row>
    <row r="93" spans="1:17" ht="31.2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4407.9749999999995</v>
      </c>
      <c r="H93" s="43">
        <v>28</v>
      </c>
      <c r="I93" s="186">
        <f t="shared" ref="I93:I98" si="3">G93/H93</f>
        <v>157.42767857142854</v>
      </c>
      <c r="J93" s="44"/>
      <c r="K93" s="10"/>
      <c r="L93" s="10"/>
      <c r="M93" s="10"/>
    </row>
    <row r="94" spans="1:17" ht="31.2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427.44</v>
      </c>
      <c r="H94" s="43">
        <v>28</v>
      </c>
      <c r="I94" s="186">
        <f t="shared" si="3"/>
        <v>15.265714285714285</v>
      </c>
      <c r="J94" s="44"/>
      <c r="K94" s="10"/>
      <c r="L94" s="10"/>
      <c r="M94" s="10"/>
    </row>
    <row r="95" spans="1:17" ht="31.2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1644</v>
      </c>
      <c r="H95" s="43">
        <v>28</v>
      </c>
      <c r="I95" s="186">
        <f t="shared" si="3"/>
        <v>58.714285714285715</v>
      </c>
      <c r="J95" s="44"/>
      <c r="K95" s="10"/>
      <c r="L95" s="10"/>
      <c r="M95" s="10"/>
    </row>
    <row r="96" spans="1:17" ht="31.2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123.3</v>
      </c>
      <c r="H96" s="43">
        <v>28</v>
      </c>
      <c r="I96" s="186">
        <f>G96/H96</f>
        <v>4.4035714285714285</v>
      </c>
      <c r="J96" s="44"/>
      <c r="K96" s="15"/>
      <c r="L96" s="15"/>
      <c r="M96" s="15"/>
    </row>
    <row r="97" spans="1:14" ht="31.2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155.0292</v>
      </c>
      <c r="H97" s="43">
        <v>28</v>
      </c>
      <c r="I97" s="186">
        <f t="shared" si="3"/>
        <v>5.5367571428571427</v>
      </c>
      <c r="J97" s="44"/>
      <c r="K97" s="10"/>
      <c r="L97" s="10"/>
      <c r="M97" s="10"/>
    </row>
    <row r="98" spans="1:14" ht="31.2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123.3</v>
      </c>
      <c r="H98" s="43">
        <v>28</v>
      </c>
      <c r="I98" s="186">
        <f t="shared" si="3"/>
        <v>4.4035714285714285</v>
      </c>
      <c r="J98" s="44"/>
      <c r="K98" s="10"/>
      <c r="L98" s="10"/>
      <c r="M98" s="10"/>
    </row>
    <row r="99" spans="1:14" ht="16.2" customHeight="1" thickBot="1">
      <c r="A99" s="132" t="s">
        <v>54</v>
      </c>
      <c r="B99" s="133"/>
      <c r="C99" s="133"/>
      <c r="D99" s="133"/>
      <c r="E99" s="133"/>
      <c r="F99" s="133"/>
      <c r="G99" s="66">
        <f>SUM(G92:G98)</f>
        <v>12961.378199999999</v>
      </c>
      <c r="H99" s="176"/>
      <c r="I99" s="187">
        <f>SUM(I92:I98)</f>
        <v>462.90636428571423</v>
      </c>
      <c r="J99" s="176"/>
      <c r="K99" s="10"/>
      <c r="L99" s="10"/>
      <c r="M99" s="10"/>
      <c r="N99" s="10"/>
    </row>
    <row r="100" spans="1:14" s="75" customFormat="1" ht="16.2" customHeight="1">
      <c r="A100" s="74"/>
      <c r="B100" s="74"/>
      <c r="C100" s="74"/>
      <c r="D100" s="74"/>
      <c r="E100" s="74"/>
      <c r="F100" s="74"/>
      <c r="G100" s="174"/>
      <c r="H100" s="188"/>
      <c r="I100" s="70"/>
      <c r="J100" s="188"/>
      <c r="K100" s="73"/>
      <c r="L100" s="73"/>
      <c r="M100" s="73"/>
      <c r="N100" s="73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</row>
    <row r="102" spans="1:14" ht="55.8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1177.5149999999999</v>
      </c>
      <c r="H103" s="43">
        <v>28</v>
      </c>
      <c r="I103" s="189">
        <f>G103/H103</f>
        <v>42.054107142857141</v>
      </c>
      <c r="J103" s="44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1420.1694</v>
      </c>
      <c r="H104" s="43">
        <v>28</v>
      </c>
      <c r="I104" s="189">
        <f t="shared" ref="I104:I109" si="4">G104/H104</f>
        <v>50.720335714285717</v>
      </c>
      <c r="J104" s="44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6102.4457999999995</v>
      </c>
      <c r="H105" s="43">
        <v>28</v>
      </c>
      <c r="I105" s="189">
        <f t="shared" si="4"/>
        <v>217.94449285714285</v>
      </c>
      <c r="J105" s="44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10966.657104</v>
      </c>
      <c r="H106" s="43">
        <v>28</v>
      </c>
      <c r="I106" s="189">
        <f t="shared" si="4"/>
        <v>391.66632514285715</v>
      </c>
      <c r="J106" s="44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610.23183899999992</v>
      </c>
      <c r="H107" s="43">
        <v>28</v>
      </c>
      <c r="I107" s="189">
        <f t="shared" si="4"/>
        <v>21.793994249999997</v>
      </c>
      <c r="J107" s="44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287.7</v>
      </c>
      <c r="H108" s="43">
        <v>28</v>
      </c>
      <c r="I108" s="189">
        <f t="shared" si="4"/>
        <v>10.275</v>
      </c>
      <c r="J108" s="44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347.29499999999996</v>
      </c>
      <c r="H109" s="43">
        <v>28</v>
      </c>
      <c r="I109" s="189">
        <f t="shared" si="4"/>
        <v>12.403392857142856</v>
      </c>
      <c r="J109" s="44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20912.014142999997</v>
      </c>
      <c r="H110" s="44"/>
      <c r="I110" s="187">
        <f>SUM(I103:I109)</f>
        <v>746.85764796428566</v>
      </c>
      <c r="J110" s="44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122"/>
      <c r="G111" s="70"/>
      <c r="H111" s="71"/>
      <c r="I111" s="70"/>
      <c r="J111" s="71"/>
      <c r="K111" s="74"/>
      <c r="L111" s="74"/>
      <c r="M111" s="74"/>
      <c r="N111" s="73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8" t="s">
        <v>74</v>
      </c>
      <c r="H113" s="306" t="s">
        <v>69</v>
      </c>
      <c r="I113" s="306"/>
      <c r="J113" s="10"/>
      <c r="K113" s="10"/>
      <c r="L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285.64499999999998</v>
      </c>
      <c r="G114" s="43">
        <v>28</v>
      </c>
      <c r="H114" s="302">
        <f t="shared" ref="H114" si="5">F114/G114</f>
        <v>10.201607142857142</v>
      </c>
      <c r="I114" s="302"/>
      <c r="J114" s="44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285.64499999999998</v>
      </c>
      <c r="G115" s="44"/>
      <c r="H115" s="303">
        <f>SUM(H114:H114)</f>
        <v>10.201607142857142</v>
      </c>
      <c r="I115" s="304"/>
      <c r="J115" s="171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3"/>
      <c r="J116" s="74"/>
      <c r="K116" s="73"/>
      <c r="L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8" t="s">
        <v>69</v>
      </c>
      <c r="I118" s="10"/>
      <c r="J118" s="10"/>
      <c r="K118" s="10"/>
      <c r="L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3442.123767</v>
      </c>
      <c r="G119" s="43">
        <v>28</v>
      </c>
      <c r="H119" s="189">
        <f t="shared" ref="H119:H120" si="6">F119/G119</f>
        <v>122.93299167857143</v>
      </c>
      <c r="I119" s="44"/>
      <c r="J119" s="44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321.81299999999999</v>
      </c>
      <c r="G120" s="43">
        <v>28</v>
      </c>
      <c r="H120" s="189">
        <f t="shared" si="6"/>
        <v>11.493321428571429</v>
      </c>
      <c r="I120" s="44"/>
      <c r="J120" s="44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3763.9367670000001</v>
      </c>
      <c r="G121" s="44"/>
      <c r="H121" s="50">
        <f>SUM(H119:H120)</f>
        <v>134.42631310714285</v>
      </c>
      <c r="I121" s="44"/>
      <c r="J121" s="171"/>
      <c r="K121" s="10"/>
      <c r="L121" s="10"/>
      <c r="M121" s="10"/>
    </row>
    <row r="122" spans="1:14" s="75" customFormat="1" ht="20.25" customHeight="1">
      <c r="A122" s="76"/>
      <c r="B122" s="76"/>
      <c r="C122" s="76"/>
      <c r="D122" s="76"/>
      <c r="E122" s="122"/>
      <c r="F122" s="70"/>
      <c r="G122" s="71"/>
      <c r="H122" s="72"/>
      <c r="I122" s="71"/>
      <c r="J122" s="76"/>
      <c r="K122" s="73"/>
      <c r="L122" s="73"/>
      <c r="M122" s="73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305" t="s">
        <v>69</v>
      </c>
      <c r="I124" s="305"/>
      <c r="J124" s="44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7019.058</v>
      </c>
      <c r="G125" s="43">
        <v>28</v>
      </c>
      <c r="H125" s="302">
        <f>F125/G125</f>
        <v>250.68064285714286</v>
      </c>
      <c r="I125" s="302"/>
      <c r="J125" s="44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7019.058</v>
      </c>
      <c r="G126" s="44"/>
      <c r="H126" s="303">
        <f>SUM(H125:H125)</f>
        <v>250.68064285714286</v>
      </c>
      <c r="I126" s="304"/>
      <c r="J126" s="171"/>
      <c r="K126" s="10"/>
      <c r="L126" s="10"/>
      <c r="M126" s="10"/>
    </row>
    <row r="127" spans="1:14" s="75" customFormat="1" ht="20.25" customHeight="1">
      <c r="A127" s="76"/>
      <c r="B127" s="76"/>
      <c r="C127" s="76"/>
      <c r="D127" s="76"/>
      <c r="E127" s="122"/>
      <c r="F127" s="70"/>
      <c r="G127" s="71"/>
      <c r="H127" s="72"/>
      <c r="I127" s="71"/>
      <c r="J127" s="76"/>
      <c r="K127" s="73"/>
      <c r="L127" s="73"/>
      <c r="M127" s="73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</row>
    <row r="129" spans="1:16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24" t="s">
        <v>69</v>
      </c>
      <c r="I129" s="44"/>
      <c r="J129" s="44"/>
      <c r="K129" s="10"/>
      <c r="L129" s="10"/>
      <c r="M129" s="10"/>
    </row>
    <row r="130" spans="1:16">
      <c r="A130" s="198" t="s">
        <v>140</v>
      </c>
      <c r="B130" s="199"/>
      <c r="C130" s="199"/>
      <c r="D130" s="199"/>
      <c r="E130" s="49" t="s">
        <v>27</v>
      </c>
      <c r="F130" s="158">
        <f>9000*$O$4</f>
        <v>369.9</v>
      </c>
      <c r="G130" s="43">
        <v>28</v>
      </c>
      <c r="H130" s="189">
        <f t="shared" ref="H130:H137" si="7">F130/G130</f>
        <v>13.210714285714285</v>
      </c>
      <c r="I130" s="44"/>
      <c r="J130" s="44"/>
      <c r="K130" s="10"/>
      <c r="L130" s="10"/>
      <c r="M130" s="10"/>
    </row>
    <row r="131" spans="1:16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2655.06</v>
      </c>
      <c r="G131" s="43">
        <v>28</v>
      </c>
      <c r="H131" s="189">
        <f t="shared" si="7"/>
        <v>94.823571428571427</v>
      </c>
      <c r="I131" s="44"/>
      <c r="J131" s="44"/>
      <c r="K131" s="10"/>
      <c r="L131" s="10"/>
      <c r="M131" s="10"/>
    </row>
    <row r="132" spans="1:16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822</v>
      </c>
      <c r="G132" s="43">
        <v>28</v>
      </c>
      <c r="H132" s="189">
        <f t="shared" si="7"/>
        <v>29.357142857142858</v>
      </c>
      <c r="I132" s="44"/>
      <c r="J132" s="44"/>
      <c r="K132" s="10"/>
      <c r="L132" s="10"/>
      <c r="M132" s="10"/>
    </row>
    <row r="133" spans="1:16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805.56</v>
      </c>
      <c r="G133" s="43">
        <v>28</v>
      </c>
      <c r="H133" s="189">
        <f t="shared" si="7"/>
        <v>28.77</v>
      </c>
      <c r="I133" s="44"/>
      <c r="J133" s="44"/>
      <c r="K133" s="10"/>
      <c r="L133" s="10"/>
      <c r="M133" s="10"/>
    </row>
    <row r="134" spans="1:16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32.879999999999995</v>
      </c>
      <c r="G134" s="43">
        <v>28</v>
      </c>
      <c r="H134" s="189">
        <f t="shared" si="7"/>
        <v>1.1742857142857142</v>
      </c>
      <c r="I134" s="44"/>
      <c r="J134" s="44"/>
      <c r="K134" s="10"/>
      <c r="L134" s="10"/>
      <c r="M134" s="10"/>
    </row>
    <row r="135" spans="1:16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65.759999999999991</v>
      </c>
      <c r="G135" s="43">
        <v>28</v>
      </c>
      <c r="H135" s="189">
        <f t="shared" si="7"/>
        <v>2.3485714285714283</v>
      </c>
      <c r="I135" s="44"/>
      <c r="J135" s="44"/>
      <c r="K135" s="10"/>
      <c r="L135" s="10"/>
      <c r="M135" s="10"/>
    </row>
    <row r="136" spans="1:16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197.28</v>
      </c>
      <c r="G136" s="43">
        <v>28</v>
      </c>
      <c r="H136" s="189">
        <f t="shared" si="7"/>
        <v>7.0457142857142854</v>
      </c>
      <c r="I136" s="44"/>
      <c r="J136" s="44"/>
      <c r="K136" s="10"/>
      <c r="L136" s="10"/>
      <c r="M136" s="10"/>
    </row>
    <row r="137" spans="1:16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394.56</v>
      </c>
      <c r="G137" s="43">
        <v>28</v>
      </c>
      <c r="H137" s="189">
        <f t="shared" si="7"/>
        <v>14.091428571428571</v>
      </c>
      <c r="I137" s="44"/>
      <c r="J137" s="44"/>
      <c r="K137" s="10"/>
      <c r="L137" s="10"/>
      <c r="M137" s="10"/>
    </row>
    <row r="138" spans="1:16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5343.0000000000009</v>
      </c>
      <c r="G138" s="44"/>
      <c r="H138" s="50">
        <f>SUM(H130:H137)</f>
        <v>190.82142857142858</v>
      </c>
      <c r="I138" s="44"/>
      <c r="J138" s="171"/>
      <c r="K138" s="10"/>
      <c r="L138" s="10"/>
      <c r="M138" s="10"/>
    </row>
    <row r="139" spans="1:16" ht="25.2" customHeight="1">
      <c r="A139" s="78"/>
      <c r="B139" s="78"/>
      <c r="C139" s="78"/>
      <c r="D139" s="78"/>
      <c r="E139" s="79"/>
      <c r="F139" s="80"/>
      <c r="G139" s="81"/>
      <c r="H139" s="80"/>
      <c r="I139" s="82"/>
      <c r="J139" s="63"/>
      <c r="K139" s="83"/>
      <c r="L139" s="83"/>
      <c r="M139" s="47"/>
    </row>
    <row r="140" spans="1:16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</row>
    <row r="141" spans="1:16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33" t="s">
        <v>44</v>
      </c>
      <c r="I141" s="8" t="s">
        <v>63</v>
      </c>
      <c r="J141" s="8" t="s">
        <v>69</v>
      </c>
      <c r="K141" s="8" t="s">
        <v>46</v>
      </c>
      <c r="L141" s="27"/>
      <c r="M141" s="27"/>
      <c r="N141" s="123">
        <v>21290323</v>
      </c>
      <c r="O141">
        <v>62.83</v>
      </c>
    </row>
    <row r="142" spans="1:16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25">
        <v>5</v>
      </c>
      <c r="I142" s="26">
        <v>6</v>
      </c>
      <c r="J142" s="34">
        <v>7</v>
      </c>
      <c r="K142" s="35">
        <v>8</v>
      </c>
      <c r="L142" s="108"/>
      <c r="M142" s="27"/>
      <c r="N142">
        <f>11540394-1482000</f>
        <v>10058394</v>
      </c>
      <c r="O142">
        <v>21.58</v>
      </c>
      <c r="P142">
        <f>N142*1.302</f>
        <v>13096028.988</v>
      </c>
    </row>
    <row r="143" spans="1:16" ht="31.2" customHeight="1" thickBot="1">
      <c r="A143" s="223" t="s">
        <v>67</v>
      </c>
      <c r="B143" s="223"/>
      <c r="C143" s="223"/>
      <c r="D143" s="223"/>
      <c r="E143" s="36">
        <f>G143/12/F143</f>
        <v>33414.880808080808</v>
      </c>
      <c r="F143" s="36">
        <v>1.65</v>
      </c>
      <c r="G143" s="124">
        <v>661614.64</v>
      </c>
      <c r="H143" s="36">
        <v>861422.25</v>
      </c>
      <c r="I143" s="43">
        <v>28</v>
      </c>
      <c r="J143" s="36">
        <f>H143/I143</f>
        <v>30765.080357142859</v>
      </c>
      <c r="K143" s="146">
        <f>H143/20959178.83*100</f>
        <v>4.1100000004150932</v>
      </c>
      <c r="L143" s="109"/>
      <c r="M143" s="15"/>
      <c r="N143" s="123">
        <f>N141-N142</f>
        <v>11231929</v>
      </c>
      <c r="O143">
        <v>41.25</v>
      </c>
      <c r="P143">
        <f>N143*1.302</f>
        <v>14623971.558</v>
      </c>
    </row>
    <row r="144" spans="1:16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8">F144/G144*H144</f>
        <v>#DIV/0!</v>
      </c>
      <c r="J144" s="36">
        <f t="shared" ref="J144:J165" si="9">E144*F144*12*1.302</f>
        <v>1116552.28608</v>
      </c>
      <c r="K144" s="58" t="s">
        <v>38</v>
      </c>
      <c r="L144" s="110"/>
      <c r="M144" s="31" t="e">
        <f t="shared" ref="M144:M168" si="10">I144*J144</f>
        <v>#DIV/0!</v>
      </c>
    </row>
    <row r="145" spans="1:13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8"/>
        <v>#DIV/0!</v>
      </c>
      <c r="J145" s="36">
        <f t="shared" si="9"/>
        <v>149115.45600000001</v>
      </c>
      <c r="K145" s="37">
        <f>H145/11277167.39*100</f>
        <v>0</v>
      </c>
      <c r="L145" s="37"/>
      <c r="M145" s="14" t="e">
        <f t="shared" si="10"/>
        <v>#DIV/0!</v>
      </c>
    </row>
    <row r="146" spans="1:13" ht="15" hidden="1" customHeight="1" thickBo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8"/>
        <v>#DIV/0!</v>
      </c>
      <c r="J146" s="36">
        <f t="shared" si="9"/>
        <v>180613.44</v>
      </c>
      <c r="K146" s="29"/>
      <c r="L146" s="29"/>
      <c r="M146" s="14" t="e">
        <f t="shared" si="10"/>
        <v>#DIV/0!</v>
      </c>
    </row>
    <row r="147" spans="1:13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8"/>
        <v>#DIV/0!</v>
      </c>
      <c r="J147" s="36">
        <f t="shared" si="9"/>
        <v>74557.728000000003</v>
      </c>
      <c r="K147" s="29"/>
      <c r="L147" s="29"/>
      <c r="M147" s="14" t="e">
        <f t="shared" si="10"/>
        <v>#DIV/0!</v>
      </c>
    </row>
    <row r="148" spans="1:13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8"/>
        <v>#DIV/0!</v>
      </c>
      <c r="J148" s="36">
        <f t="shared" si="9"/>
        <v>149115.45600000001</v>
      </c>
      <c r="K148" s="36"/>
      <c r="L148" s="36"/>
      <c r="M148" s="14" t="e">
        <f t="shared" si="10"/>
        <v>#DIV/0!</v>
      </c>
    </row>
    <row r="149" spans="1:13" ht="14.25" hidden="1" customHeight="1" thickBo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8"/>
        <v>#DIV/0!</v>
      </c>
      <c r="J149" s="36">
        <f t="shared" si="9"/>
        <v>149115.45600000001</v>
      </c>
      <c r="K149" s="44"/>
      <c r="L149" s="44"/>
      <c r="M149" s="14" t="e">
        <f t="shared" si="10"/>
        <v>#DIV/0!</v>
      </c>
    </row>
    <row r="150" spans="1:13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8"/>
        <v>#DIV/0!</v>
      </c>
      <c r="J150" s="36">
        <f t="shared" si="9"/>
        <v>0</v>
      </c>
      <c r="K150" s="44"/>
      <c r="L150" s="44"/>
      <c r="M150" s="14" t="e">
        <f t="shared" si="10"/>
        <v>#DIV/0!</v>
      </c>
    </row>
    <row r="151" spans="1:13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8"/>
        <v>#DIV/0!</v>
      </c>
      <c r="J151" s="36">
        <f t="shared" si="9"/>
        <v>37278.864000000001</v>
      </c>
      <c r="K151" s="44"/>
      <c r="L151" s="44"/>
      <c r="M151" s="14" t="e">
        <f t="shared" si="10"/>
        <v>#DIV/0!</v>
      </c>
    </row>
    <row r="152" spans="1:13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8"/>
        <v>#DIV/0!</v>
      </c>
      <c r="J152" s="36">
        <f t="shared" si="9"/>
        <v>0</v>
      </c>
      <c r="K152" s="44"/>
      <c r="L152" s="44"/>
      <c r="M152" s="14" t="e">
        <f t="shared" si="10"/>
        <v>#DIV/0!</v>
      </c>
    </row>
    <row r="153" spans="1:13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8"/>
        <v>#DIV/0!</v>
      </c>
      <c r="J153" s="36">
        <f t="shared" si="9"/>
        <v>74557.728000000003</v>
      </c>
      <c r="K153" s="44"/>
      <c r="L153" s="44"/>
      <c r="M153" s="14" t="e">
        <f t="shared" si="10"/>
        <v>#DIV/0!</v>
      </c>
    </row>
    <row r="154" spans="1:13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8"/>
        <v>#DIV/0!</v>
      </c>
      <c r="J154" s="36">
        <f t="shared" si="9"/>
        <v>149115.45600000001</v>
      </c>
      <c r="K154" s="44"/>
      <c r="L154" s="44"/>
      <c r="M154" s="14" t="e">
        <f t="shared" si="10"/>
        <v>#DIV/0!</v>
      </c>
    </row>
    <row r="155" spans="1:13" ht="15" hidden="1" customHeigh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8"/>
        <v>#DIV/0!</v>
      </c>
      <c r="J155" s="36">
        <f t="shared" si="9"/>
        <v>149115.45600000001</v>
      </c>
      <c r="K155" s="44"/>
      <c r="L155" s="44"/>
      <c r="M155" s="14" t="e">
        <f t="shared" si="10"/>
        <v>#DIV/0!</v>
      </c>
    </row>
    <row r="156" spans="1:13" ht="15" hidden="1" customHeight="1" thickBo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8"/>
        <v>#DIV/0!</v>
      </c>
      <c r="J156" s="36">
        <f t="shared" si="9"/>
        <v>820135.00800000003</v>
      </c>
      <c r="K156" s="44"/>
      <c r="L156" s="44"/>
      <c r="M156" s="14" t="e">
        <f t="shared" si="10"/>
        <v>#DIV/0!</v>
      </c>
    </row>
    <row r="157" spans="1:13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8"/>
        <v>#DIV/0!</v>
      </c>
      <c r="J157" s="36">
        <f t="shared" si="9"/>
        <v>149115.45600000001</v>
      </c>
      <c r="K157" s="44"/>
      <c r="L157" s="44"/>
      <c r="M157" s="14" t="e">
        <f t="shared" si="10"/>
        <v>#DIV/0!</v>
      </c>
    </row>
    <row r="158" spans="1:13" ht="15" hidden="1" customHeigh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8"/>
        <v>#DIV/0!</v>
      </c>
      <c r="J158" s="36">
        <f t="shared" si="9"/>
        <v>74557.728000000003</v>
      </c>
      <c r="K158" s="44"/>
      <c r="L158" s="44"/>
      <c r="M158" s="14" t="e">
        <f t="shared" si="10"/>
        <v>#DIV/0!</v>
      </c>
    </row>
    <row r="159" spans="1:13" ht="15" hidden="1" customHeight="1" thickBo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8"/>
        <v>#DIV/0!</v>
      </c>
      <c r="J159" s="36">
        <f t="shared" si="9"/>
        <v>74557.728000000003</v>
      </c>
      <c r="K159" s="44"/>
      <c r="L159" s="44"/>
      <c r="M159" s="14" t="e">
        <f t="shared" si="10"/>
        <v>#DIV/0!</v>
      </c>
    </row>
    <row r="160" spans="1:13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8"/>
        <v>#DIV/0!</v>
      </c>
      <c r="J160" s="36">
        <f t="shared" si="9"/>
        <v>149115.45600000001</v>
      </c>
      <c r="K160" s="44"/>
      <c r="L160" s="44"/>
      <c r="M160" s="14" t="e">
        <f t="shared" si="10"/>
        <v>#DIV/0!</v>
      </c>
    </row>
    <row r="161" spans="1:16" ht="15.75" hidden="1" customHeigh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8"/>
        <v>#DIV/0!</v>
      </c>
      <c r="J161" s="36">
        <f t="shared" si="9"/>
        <v>596461.82400000002</v>
      </c>
      <c r="K161" s="44"/>
      <c r="L161" s="44"/>
      <c r="M161" s="14" t="e">
        <f t="shared" si="10"/>
        <v>#DIV/0!</v>
      </c>
    </row>
    <row r="162" spans="1:16" ht="16.5" hidden="1" customHeigh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8"/>
        <v>#DIV/0!</v>
      </c>
      <c r="J162" s="36">
        <f t="shared" si="9"/>
        <v>149115.45600000001</v>
      </c>
      <c r="K162" s="44"/>
      <c r="L162" s="44"/>
      <c r="M162" s="14" t="e">
        <f t="shared" si="10"/>
        <v>#DIV/0!</v>
      </c>
    </row>
    <row r="163" spans="1:16" ht="16.5" hidden="1" customHeigh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8"/>
        <v>#DIV/0!</v>
      </c>
      <c r="J163" s="36">
        <f t="shared" si="9"/>
        <v>260952.04800000001</v>
      </c>
      <c r="K163" s="44"/>
      <c r="L163" s="44"/>
      <c r="M163" s="14" t="e">
        <f t="shared" si="10"/>
        <v>#DIV/0!</v>
      </c>
    </row>
    <row r="164" spans="1:16" ht="16.5" hidden="1" customHeight="1" thickBo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8"/>
        <v>#DIV/0!</v>
      </c>
      <c r="J164" s="36">
        <f t="shared" si="9"/>
        <v>0</v>
      </c>
      <c r="K164" s="44"/>
      <c r="L164" s="44"/>
      <c r="M164" s="14" t="e">
        <f t="shared" si="10"/>
        <v>#DIV/0!</v>
      </c>
    </row>
    <row r="165" spans="1:16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8"/>
        <v>#DIV/0!</v>
      </c>
      <c r="J165" s="36">
        <f t="shared" si="9"/>
        <v>74557.728000000003</v>
      </c>
      <c r="K165" s="44"/>
      <c r="L165" s="44"/>
      <c r="M165" s="14" t="e">
        <f t="shared" si="10"/>
        <v>#DIV/0!</v>
      </c>
    </row>
    <row r="166" spans="1:16" ht="15" hidden="1" customHeight="1" thickBo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14">
        <f t="shared" si="10"/>
        <v>0</v>
      </c>
    </row>
    <row r="167" spans="1:16" ht="15.75" hidden="1" customHeigh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14">
        <f t="shared" si="10"/>
        <v>0</v>
      </c>
    </row>
    <row r="168" spans="1:16" ht="14.25" hidden="1" customHeight="1" thickBo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30">
        <f t="shared" si="10"/>
        <v>0</v>
      </c>
    </row>
    <row r="169" spans="1:16" ht="15" thickBot="1">
      <c r="A169" s="258" t="s">
        <v>47</v>
      </c>
      <c r="B169" s="258"/>
      <c r="C169" s="258"/>
      <c r="D169" s="258"/>
      <c r="E169" s="61"/>
      <c r="F169" s="125"/>
      <c r="G169" s="125"/>
      <c r="H169" s="65">
        <f>H143</f>
        <v>861422.25</v>
      </c>
      <c r="I169" s="46"/>
      <c r="J169" s="62">
        <f>J143</f>
        <v>30765.080357142859</v>
      </c>
      <c r="K169" s="44"/>
      <c r="L169" s="44"/>
      <c r="M169" s="15"/>
      <c r="P169">
        <f>H169/48.5%</f>
        <v>1776128.3505154639</v>
      </c>
    </row>
    <row r="170" spans="1:16" ht="22.2" customHeight="1">
      <c r="A170" s="10"/>
      <c r="B170" s="10"/>
      <c r="C170" s="10"/>
      <c r="D170" s="10"/>
      <c r="E170" s="10"/>
      <c r="F170" s="10"/>
      <c r="G170" s="10"/>
      <c r="H170" s="12"/>
      <c r="I170" s="12"/>
      <c r="J170" s="12"/>
      <c r="K170" s="10"/>
      <c r="L170" s="10"/>
      <c r="M170" s="10"/>
    </row>
    <row r="171" spans="1:16">
      <c r="A171" s="226" t="s">
        <v>61</v>
      </c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126"/>
      <c r="M171" s="10"/>
    </row>
    <row r="172" spans="1:16" s="75" customFormat="1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73"/>
    </row>
    <row r="173" spans="1:16" ht="55.8">
      <c r="A173" s="206" t="s">
        <v>28</v>
      </c>
      <c r="B173" s="207"/>
      <c r="C173" s="207"/>
      <c r="D173" s="207"/>
      <c r="E173" s="8" t="s">
        <v>75</v>
      </c>
      <c r="F173" s="8" t="s">
        <v>48</v>
      </c>
      <c r="G173" s="8" t="s">
        <v>74</v>
      </c>
      <c r="H173" s="8" t="s">
        <v>69</v>
      </c>
      <c r="I173" s="10"/>
      <c r="J173" s="10"/>
      <c r="K173" s="10"/>
      <c r="L173" s="10"/>
    </row>
    <row r="174" spans="1:16" ht="15" thickBot="1">
      <c r="A174" s="198" t="s">
        <v>144</v>
      </c>
      <c r="B174" s="199"/>
      <c r="C174" s="199"/>
      <c r="D174" s="199"/>
      <c r="E174" s="49" t="s">
        <v>27</v>
      </c>
      <c r="F174" s="158">
        <f>1440*$O$4</f>
        <v>59.183999999999997</v>
      </c>
      <c r="G174" s="43">
        <v>28</v>
      </c>
      <c r="H174" s="189">
        <f t="shared" ref="H174" si="11">F174/G174</f>
        <v>2.1137142857142854</v>
      </c>
      <c r="I174" s="44"/>
      <c r="J174" s="44"/>
      <c r="K174" s="10"/>
      <c r="L174" s="10"/>
      <c r="M174" s="10"/>
    </row>
    <row r="175" spans="1:16" ht="20.25" customHeight="1" thickBot="1">
      <c r="A175" s="210" t="s">
        <v>53</v>
      </c>
      <c r="B175" s="211"/>
      <c r="C175" s="211"/>
      <c r="D175" s="211"/>
      <c r="E175" s="48"/>
      <c r="F175" s="65">
        <f>SUM(F174:F174)</f>
        <v>59.183999999999997</v>
      </c>
      <c r="G175" s="44"/>
      <c r="H175" s="50">
        <f>SUM(H174:H174)</f>
        <v>2.1137142857142854</v>
      </c>
      <c r="I175" s="44"/>
      <c r="J175" s="171"/>
      <c r="K175" s="10"/>
      <c r="L175" s="10"/>
      <c r="M175" s="10"/>
    </row>
    <row r="176" spans="1:16" s="75" customFormat="1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73"/>
    </row>
    <row r="177" spans="1:14" ht="55.8">
      <c r="A177" s="206" t="s">
        <v>28</v>
      </c>
      <c r="B177" s="207"/>
      <c r="C177" s="207"/>
      <c r="D177" s="207"/>
      <c r="E177" s="8" t="s">
        <v>75</v>
      </c>
      <c r="F177" s="8" t="s">
        <v>48</v>
      </c>
      <c r="G177" s="8" t="s">
        <v>74</v>
      </c>
      <c r="H177" s="8" t="s">
        <v>69</v>
      </c>
      <c r="I177" s="10"/>
      <c r="J177" s="10"/>
      <c r="K177" s="10"/>
      <c r="L177" s="10"/>
    </row>
    <row r="178" spans="1:14" ht="51" customHeight="1" thickBot="1">
      <c r="A178" s="198" t="s">
        <v>145</v>
      </c>
      <c r="B178" s="199"/>
      <c r="C178" s="199"/>
      <c r="D178" s="199"/>
      <c r="E178" s="49" t="s">
        <v>27</v>
      </c>
      <c r="F178" s="158">
        <f>501795*$O$4</f>
        <v>20623.7745</v>
      </c>
      <c r="G178" s="43">
        <v>28</v>
      </c>
      <c r="H178" s="189">
        <f t="shared" ref="H178" si="12">F178/G178</f>
        <v>736.56337499999995</v>
      </c>
      <c r="I178" s="44"/>
      <c r="J178" s="44"/>
      <c r="K178" s="10"/>
      <c r="L178" s="10"/>
      <c r="M178" s="10"/>
    </row>
    <row r="179" spans="1:14" ht="20.25" customHeight="1" thickBot="1">
      <c r="A179" s="210" t="s">
        <v>53</v>
      </c>
      <c r="B179" s="211"/>
      <c r="C179" s="211"/>
      <c r="D179" s="211"/>
      <c r="E179" s="48"/>
      <c r="F179" s="65">
        <f>SUM(F178:F178)</f>
        <v>20623.7745</v>
      </c>
      <c r="G179" s="44"/>
      <c r="H179" s="50">
        <f>SUM(H178:H178)</f>
        <v>736.56337499999995</v>
      </c>
      <c r="I179" s="44"/>
      <c r="J179" s="171"/>
      <c r="K179" s="10"/>
      <c r="L179" s="10"/>
      <c r="M179" s="10"/>
    </row>
    <row r="180" spans="1:14" s="75" customFormat="1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73"/>
    </row>
    <row r="181" spans="1:14" ht="55.8">
      <c r="A181" s="206" t="s">
        <v>62</v>
      </c>
      <c r="B181" s="207"/>
      <c r="C181" s="207"/>
      <c r="D181" s="217"/>
      <c r="E181" s="129" t="s">
        <v>7</v>
      </c>
      <c r="F181" s="129" t="s">
        <v>55</v>
      </c>
      <c r="G181" s="129" t="s">
        <v>42</v>
      </c>
      <c r="H181" s="129" t="s">
        <v>48</v>
      </c>
      <c r="I181" s="8" t="s">
        <v>63</v>
      </c>
      <c r="J181" s="8" t="s">
        <v>69</v>
      </c>
      <c r="K181" s="38"/>
      <c r="L181" s="27"/>
      <c r="M181" s="10"/>
    </row>
    <row r="182" spans="1:14" ht="44.4" customHeight="1">
      <c r="A182" s="198" t="s">
        <v>113</v>
      </c>
      <c r="B182" s="199"/>
      <c r="C182" s="199"/>
      <c r="D182" s="218"/>
      <c r="E182" s="166"/>
      <c r="F182" s="166"/>
      <c r="G182" s="166"/>
      <c r="H182" s="193">
        <f>350242.9*$O$4</f>
        <v>14394.983190000001</v>
      </c>
      <c r="I182" s="43">
        <v>28</v>
      </c>
      <c r="J182" s="194">
        <f>H182/I182</f>
        <v>514.10654250000005</v>
      </c>
      <c r="K182" s="38"/>
      <c r="L182" s="27"/>
      <c r="M182" s="27"/>
      <c r="N182" s="10"/>
    </row>
    <row r="183" spans="1:14" ht="44.4" customHeight="1" thickBot="1">
      <c r="A183" s="198" t="s">
        <v>114</v>
      </c>
      <c r="B183" s="199"/>
      <c r="C183" s="199"/>
      <c r="D183" s="218"/>
      <c r="E183" s="166"/>
      <c r="F183" s="166"/>
      <c r="G183" s="166"/>
      <c r="H183" s="193">
        <f>(39067+30300+25200+250000)*$O$4</f>
        <v>14161.7037</v>
      </c>
      <c r="I183" s="43">
        <v>28</v>
      </c>
      <c r="J183" s="194">
        <f t="shared" ref="J183" si="13">H183/I183</f>
        <v>505.77513214285716</v>
      </c>
      <c r="K183" s="38"/>
      <c r="L183" s="27"/>
      <c r="M183" s="27"/>
      <c r="N183" s="10"/>
    </row>
    <row r="184" spans="1:14" ht="15" thickBot="1">
      <c r="A184" s="229" t="s">
        <v>57</v>
      </c>
      <c r="B184" s="230"/>
      <c r="C184" s="230"/>
      <c r="D184" s="230"/>
      <c r="E184" s="230"/>
      <c r="F184" s="230"/>
      <c r="G184" s="231"/>
      <c r="H184" s="195">
        <f>H183+H182</f>
        <v>28556.686890000001</v>
      </c>
      <c r="I184" s="196"/>
      <c r="J184" s="187">
        <f>SUM(J182:J183)</f>
        <v>1019.8816746428572</v>
      </c>
      <c r="K184" s="10"/>
      <c r="L184" s="10"/>
      <c r="M184" s="10"/>
      <c r="N184" s="10"/>
    </row>
    <row r="185" spans="1:14" ht="32.4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14" ht="55.8">
      <c r="A186" s="206" t="s">
        <v>62</v>
      </c>
      <c r="B186" s="207"/>
      <c r="C186" s="207"/>
      <c r="D186" s="217"/>
      <c r="E186" s="129" t="s">
        <v>115</v>
      </c>
      <c r="F186" s="129" t="s">
        <v>55</v>
      </c>
      <c r="G186" s="129" t="s">
        <v>42</v>
      </c>
      <c r="H186" s="129" t="s">
        <v>48</v>
      </c>
      <c r="I186" s="8" t="s">
        <v>63</v>
      </c>
      <c r="J186" s="8" t="s">
        <v>69</v>
      </c>
      <c r="K186" s="38"/>
      <c r="L186" s="27"/>
      <c r="M186" s="10"/>
    </row>
    <row r="187" spans="1:14">
      <c r="A187" s="198" t="s">
        <v>78</v>
      </c>
      <c r="B187" s="199"/>
      <c r="C187" s="199"/>
      <c r="D187" s="218"/>
      <c r="E187" s="166">
        <v>120</v>
      </c>
      <c r="F187" s="166"/>
      <c r="G187" s="166"/>
      <c r="H187" s="193">
        <f>50000*$O$4</f>
        <v>2055</v>
      </c>
      <c r="I187" s="43">
        <v>28</v>
      </c>
      <c r="J187" s="194">
        <f>H187/I187</f>
        <v>73.392857142857139</v>
      </c>
      <c r="K187" s="38"/>
      <c r="L187" s="27"/>
      <c r="M187" s="27"/>
      <c r="N187" s="10"/>
    </row>
    <row r="188" spans="1:14">
      <c r="A188" s="198" t="s">
        <v>79</v>
      </c>
      <c r="B188" s="199"/>
      <c r="C188" s="199"/>
      <c r="D188" s="218"/>
      <c r="E188" s="166">
        <v>640</v>
      </c>
      <c r="F188" s="166"/>
      <c r="G188" s="166"/>
      <c r="H188" s="193">
        <f t="shared" ref="H188:H189" si="14">50000*$O$4</f>
        <v>2055</v>
      </c>
      <c r="I188" s="43">
        <v>28</v>
      </c>
      <c r="J188" s="194">
        <f t="shared" ref="J188:J189" si="15">H188/I188</f>
        <v>73.392857142857139</v>
      </c>
      <c r="K188" s="38"/>
      <c r="L188" s="27"/>
      <c r="M188" s="27"/>
      <c r="N188" s="10"/>
    </row>
    <row r="189" spans="1:14" ht="18" customHeight="1" thickBot="1">
      <c r="A189" s="198" t="s">
        <v>80</v>
      </c>
      <c r="B189" s="199"/>
      <c r="C189" s="199"/>
      <c r="D189" s="218"/>
      <c r="E189" s="166">
        <v>200</v>
      </c>
      <c r="F189" s="166"/>
      <c r="G189" s="166"/>
      <c r="H189" s="193">
        <f t="shared" si="14"/>
        <v>2055</v>
      </c>
      <c r="I189" s="43">
        <v>28</v>
      </c>
      <c r="J189" s="194">
        <f t="shared" si="15"/>
        <v>73.392857142857139</v>
      </c>
      <c r="K189" s="38"/>
      <c r="L189" s="27"/>
      <c r="M189" s="27"/>
      <c r="N189" s="10"/>
    </row>
    <row r="190" spans="1:14" ht="15" thickBot="1">
      <c r="A190" s="229" t="s">
        <v>57</v>
      </c>
      <c r="B190" s="230"/>
      <c r="C190" s="230"/>
      <c r="D190" s="230"/>
      <c r="E190" s="230"/>
      <c r="F190" s="230"/>
      <c r="G190" s="231"/>
      <c r="H190" s="195">
        <f>SUM(H187:H189)</f>
        <v>6165</v>
      </c>
      <c r="I190" s="196"/>
      <c r="J190" s="187">
        <f>SUM(J187:J189)</f>
        <v>220.17857142857142</v>
      </c>
      <c r="K190" s="10"/>
      <c r="L190" s="10"/>
      <c r="M190" s="10"/>
      <c r="N190" s="10"/>
    </row>
    <row r="191" spans="1:14" ht="25.2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1:14">
      <c r="A192" s="205" t="s">
        <v>29</v>
      </c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</row>
    <row r="193" spans="1:18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8" ht="60" customHeight="1">
      <c r="A194" s="233" t="s">
        <v>30</v>
      </c>
      <c r="B194" s="234"/>
      <c r="C194" s="235"/>
      <c r="D194" s="200" t="s">
        <v>31</v>
      </c>
      <c r="E194" s="201"/>
      <c r="F194" s="201"/>
      <c r="G194" s="201"/>
      <c r="H194" s="201"/>
      <c r="I194" s="201"/>
      <c r="J194" s="201"/>
      <c r="K194" s="201"/>
      <c r="L194" s="201"/>
      <c r="M194" s="202"/>
      <c r="N194" s="169" t="s">
        <v>35</v>
      </c>
      <c r="O194" s="111"/>
      <c r="R194" s="123"/>
    </row>
    <row r="195" spans="1:18" ht="24" customHeight="1">
      <c r="A195" s="9" t="s">
        <v>32</v>
      </c>
      <c r="B195" s="103" t="s">
        <v>33</v>
      </c>
      <c r="C195" s="9" t="s">
        <v>34</v>
      </c>
      <c r="D195" s="8" t="s">
        <v>119</v>
      </c>
      <c r="E195" s="8" t="s">
        <v>120</v>
      </c>
      <c r="F195" s="8" t="s">
        <v>121</v>
      </c>
      <c r="G195" s="8" t="s">
        <v>122</v>
      </c>
      <c r="H195" s="24" t="s">
        <v>139</v>
      </c>
      <c r="I195" s="24" t="s">
        <v>143</v>
      </c>
      <c r="J195" s="24" t="s">
        <v>123</v>
      </c>
      <c r="K195" s="33" t="s">
        <v>124</v>
      </c>
      <c r="L195" s="166" t="s">
        <v>122</v>
      </c>
      <c r="M195" s="166" t="s">
        <v>168</v>
      </c>
      <c r="N195" s="170"/>
      <c r="O195" s="111"/>
    </row>
    <row r="196" spans="1:18" ht="15" thickBot="1">
      <c r="A196" s="14">
        <f>J69</f>
        <v>16892.131071428572</v>
      </c>
      <c r="B196" s="14"/>
      <c r="C196" s="14"/>
      <c r="D196" s="14">
        <f>J78</f>
        <v>75.374464285714282</v>
      </c>
      <c r="E196" s="14">
        <f>J88</f>
        <v>3022.7582142857141</v>
      </c>
      <c r="F196" s="14">
        <f>I99</f>
        <v>462.90636428571423</v>
      </c>
      <c r="G196" s="14">
        <f>I110</f>
        <v>746.85764796428566</v>
      </c>
      <c r="H196" s="36">
        <f>H115</f>
        <v>10.201607142857142</v>
      </c>
      <c r="I196" s="36">
        <f>H138</f>
        <v>190.82142857142858</v>
      </c>
      <c r="J196" s="36">
        <f>H121</f>
        <v>134.42631310714285</v>
      </c>
      <c r="K196" s="93">
        <f>J169</f>
        <v>30765.080357142859</v>
      </c>
      <c r="L196" s="92">
        <f>J184+J190+H175+H179</f>
        <v>1978.7373353571427</v>
      </c>
      <c r="M196" s="92">
        <f>H126</f>
        <v>250.68064285714286</v>
      </c>
      <c r="N196" s="135">
        <f>SUM(D196:M196)+A196</f>
        <v>54529.975446428572</v>
      </c>
      <c r="O196" s="112"/>
    </row>
    <row r="197" spans="1:18" ht="15" thickBo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P197" s="88">
        <f>N196*28</f>
        <v>1526839.3125</v>
      </c>
    </row>
    <row r="198" spans="1:18" ht="15" thickBot="1">
      <c r="A198" s="13" t="s">
        <v>64</v>
      </c>
      <c r="B198" s="13"/>
      <c r="C198" s="13"/>
      <c r="D198" s="10"/>
      <c r="E198" s="10"/>
      <c r="F198" s="10"/>
      <c r="G198" s="10"/>
      <c r="H198" s="10"/>
      <c r="I198" s="10"/>
      <c r="J198" s="64">
        <f>H190+H184+F179+F175+H169+F138+F126+F121+F115+G110+G99+H88+H78+H70</f>
        <v>1526839.3125</v>
      </c>
      <c r="K198" s="10"/>
      <c r="L198" s="10"/>
      <c r="M198" s="10"/>
      <c r="P198" s="123"/>
    </row>
    <row r="199" spans="1:18" ht="26.25" customHeight="1">
      <c r="A199" s="10"/>
      <c r="B199" s="10"/>
      <c r="C199" s="10"/>
      <c r="D199" s="10"/>
      <c r="E199" s="10"/>
      <c r="F199" s="10"/>
      <c r="G199" s="10"/>
      <c r="H199" s="10"/>
      <c r="I199" s="10"/>
      <c r="K199" s="10"/>
      <c r="L199" s="10"/>
      <c r="N199" s="219"/>
      <c r="O199" s="219"/>
    </row>
    <row r="200" spans="1:18" ht="17.25" customHeight="1">
      <c r="A200" s="2" t="s">
        <v>116</v>
      </c>
      <c r="B200" s="2"/>
      <c r="C200" s="2"/>
      <c r="I200" s="2" t="s">
        <v>117</v>
      </c>
    </row>
    <row r="201" spans="1:18" ht="9.75" customHeight="1"/>
    <row r="202" spans="1:18" ht="15.6">
      <c r="A202" s="100" t="s">
        <v>43</v>
      </c>
      <c r="B202" s="6"/>
    </row>
    <row r="203" spans="1:18" ht="15.6">
      <c r="A203" s="100" t="s">
        <v>138</v>
      </c>
      <c r="B203" s="6"/>
    </row>
    <row r="204" spans="1:18" ht="15.6">
      <c r="A204" s="100" t="s">
        <v>81</v>
      </c>
      <c r="C204" s="6"/>
    </row>
    <row r="205" spans="1:18" ht="15.6">
      <c r="A205" s="1"/>
      <c r="B205" s="1"/>
      <c r="C205" s="1"/>
    </row>
    <row r="207" spans="1:18">
      <c r="J207" s="139">
        <f>J198/O4</f>
        <v>37149375</v>
      </c>
    </row>
    <row r="210" spans="10:10">
      <c r="J210" s="176">
        <v>37149375</v>
      </c>
    </row>
    <row r="213" spans="10:10">
      <c r="J213">
        <f>J207-J210</f>
        <v>0</v>
      </c>
    </row>
  </sheetData>
  <mergeCells count="199"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77:D77"/>
    <mergeCell ref="A78:D78"/>
    <mergeCell ref="A81:D81"/>
    <mergeCell ref="A75:D75"/>
    <mergeCell ref="A76:D76"/>
    <mergeCell ref="A84:D84"/>
    <mergeCell ref="A93:D93"/>
    <mergeCell ref="A85:D85"/>
    <mergeCell ref="A86:D86"/>
    <mergeCell ref="A87:D87"/>
    <mergeCell ref="A88:D88"/>
    <mergeCell ref="A80:M80"/>
    <mergeCell ref="A82:D82"/>
    <mergeCell ref="A83:D83"/>
    <mergeCell ref="A90:M90"/>
    <mergeCell ref="A91:D91"/>
    <mergeCell ref="A92:D92"/>
    <mergeCell ref="A162:D162"/>
    <mergeCell ref="A141:D141"/>
    <mergeCell ref="A142:D142"/>
    <mergeCell ref="A143:D143"/>
    <mergeCell ref="A144:D144"/>
    <mergeCell ref="A145:D145"/>
    <mergeCell ref="A120:D120"/>
    <mergeCell ref="A131:D131"/>
    <mergeCell ref="A132:D132"/>
    <mergeCell ref="A157:D157"/>
    <mergeCell ref="A158:D158"/>
    <mergeCell ref="A159:D159"/>
    <mergeCell ref="A146:D146"/>
    <mergeCell ref="A151:D151"/>
    <mergeCell ref="A149:D149"/>
    <mergeCell ref="A150:D150"/>
    <mergeCell ref="A147:D147"/>
    <mergeCell ref="A148:D148"/>
    <mergeCell ref="A152:D152"/>
    <mergeCell ref="A153:D153"/>
    <mergeCell ref="A154:D154"/>
    <mergeCell ref="A155:D155"/>
    <mergeCell ref="A156:D156"/>
    <mergeCell ref="A125:D125"/>
    <mergeCell ref="A192:M192"/>
    <mergeCell ref="A194:C194"/>
    <mergeCell ref="A163:D163"/>
    <mergeCell ref="A164:D164"/>
    <mergeCell ref="A165:D165"/>
    <mergeCell ref="A189:D189"/>
    <mergeCell ref="A183:D183"/>
    <mergeCell ref="A186:D186"/>
    <mergeCell ref="A174:D174"/>
    <mergeCell ref="A175:D175"/>
    <mergeCell ref="A181:D181"/>
    <mergeCell ref="A182:D182"/>
    <mergeCell ref="A177:D177"/>
    <mergeCell ref="A178:D178"/>
    <mergeCell ref="A179:D179"/>
    <mergeCell ref="D194:M194"/>
    <mergeCell ref="A97:D97"/>
    <mergeCell ref="A94:D94"/>
    <mergeCell ref="A95:D95"/>
    <mergeCell ref="A96:D96"/>
    <mergeCell ref="N199:O199"/>
    <mergeCell ref="A117:M117"/>
    <mergeCell ref="A118:D118"/>
    <mergeCell ref="A128:M128"/>
    <mergeCell ref="A140:M140"/>
    <mergeCell ref="A160:D160"/>
    <mergeCell ref="A161:D161"/>
    <mergeCell ref="A171:K171"/>
    <mergeCell ref="A184:G184"/>
    <mergeCell ref="A119:D119"/>
    <mergeCell ref="A129:D129"/>
    <mergeCell ref="A130:D130"/>
    <mergeCell ref="A166:D166"/>
    <mergeCell ref="A167:D167"/>
    <mergeCell ref="A168:D168"/>
    <mergeCell ref="A169:D169"/>
    <mergeCell ref="A173:D173"/>
    <mergeCell ref="A187:D187"/>
    <mergeCell ref="A188:D188"/>
    <mergeCell ref="A190:G190"/>
    <mergeCell ref="A98:D98"/>
    <mergeCell ref="A110:D110"/>
    <mergeCell ref="H114:I114"/>
    <mergeCell ref="H115:I115"/>
    <mergeCell ref="H113:I113"/>
    <mergeCell ref="A121:D121"/>
    <mergeCell ref="A123:N123"/>
    <mergeCell ref="A124:D124"/>
    <mergeCell ref="H124:I124"/>
    <mergeCell ref="A101:M101"/>
    <mergeCell ref="A102:D102"/>
    <mergeCell ref="A103:D103"/>
    <mergeCell ref="A104:D104"/>
    <mergeCell ref="A105:D105"/>
    <mergeCell ref="A106:D106"/>
    <mergeCell ref="A109:D109"/>
    <mergeCell ref="A114:D114"/>
    <mergeCell ref="A115:D115"/>
    <mergeCell ref="A107:D107"/>
    <mergeCell ref="A108:D108"/>
    <mergeCell ref="A112:M112"/>
    <mergeCell ref="A113:D113"/>
    <mergeCell ref="H125:I125"/>
    <mergeCell ref="A126:D126"/>
    <mergeCell ref="H126:I126"/>
    <mergeCell ref="A133:D133"/>
    <mergeCell ref="A134:D134"/>
    <mergeCell ref="A135:D135"/>
    <mergeCell ref="A136:D136"/>
    <mergeCell ref="A137:D137"/>
    <mergeCell ref="A138:D138"/>
  </mergeCells>
  <pageMargins left="0.70866141732283472" right="0.70866141732283472" top="0.15748031496062992" bottom="0.39370078740157483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3"/>
  <sheetViews>
    <sheetView view="pageBreakPreview" topLeftCell="A4" zoomScale="60" zoomScaleNormal="70" workbookViewId="0">
      <selection activeCell="A66" sqref="A66:XFD214"/>
    </sheetView>
  </sheetViews>
  <sheetFormatPr defaultRowHeight="14.4"/>
  <cols>
    <col min="1" max="1" width="10.6640625" customWidth="1"/>
    <col min="2" max="3" width="3.44140625" customWidth="1"/>
    <col min="4" max="4" width="12.109375" customWidth="1"/>
    <col min="5" max="5" width="13" customWidth="1"/>
    <col min="6" max="6" width="11.88671875" customWidth="1"/>
    <col min="7" max="7" width="14.5546875" customWidth="1"/>
    <col min="8" max="8" width="14.33203125" customWidth="1"/>
    <col min="9" max="9" width="11.5546875" customWidth="1"/>
    <col min="10" max="10" width="13.44140625" customWidth="1"/>
    <col min="11" max="11" width="11.109375" customWidth="1"/>
    <col min="12" max="12" width="12.44140625" customWidth="1"/>
    <col min="13" max="13" width="13.109375" customWidth="1"/>
    <col min="14" max="14" width="12.5546875" customWidth="1"/>
    <col min="16" max="16" width="17.44140625" customWidth="1"/>
    <col min="17" max="17" width="14.5546875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85"/>
      <c r="F3" s="40"/>
      <c r="G3" s="40"/>
    </row>
    <row r="4" spans="1:15" ht="27.75" customHeight="1">
      <c r="A4" s="290"/>
      <c r="B4" s="290"/>
      <c r="C4" s="290"/>
      <c r="D4" s="101"/>
      <c r="E4" s="290"/>
      <c r="F4" s="290"/>
      <c r="G4" s="42"/>
      <c r="H4" s="301"/>
      <c r="I4" s="288"/>
      <c r="J4" s="288"/>
      <c r="K4" s="288"/>
      <c r="L4" s="105"/>
      <c r="O4" s="156">
        <v>1.4E-3</v>
      </c>
    </row>
    <row r="5" spans="1:15" ht="8.25" customHeight="1">
      <c r="A5" s="3"/>
      <c r="B5" s="3"/>
      <c r="C5" s="3"/>
      <c r="D5" s="84"/>
      <c r="E5" s="3"/>
      <c r="F5" s="3"/>
      <c r="G5" s="84"/>
    </row>
    <row r="6" spans="1:15" ht="7.5" customHeight="1">
      <c r="A6" s="86"/>
      <c r="B6" s="86"/>
      <c r="C6" s="86"/>
      <c r="D6" s="86"/>
      <c r="E6" s="86"/>
      <c r="F6" s="86"/>
      <c r="G6" s="86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</row>
    <row r="8" spans="1:15" ht="15.6">
      <c r="A8" s="286" t="s">
        <v>152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</row>
    <row r="9" spans="1:15" ht="8.25" customHeight="1"/>
    <row r="10" spans="1:15" ht="8.2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17.25" customHeight="1">
      <c r="A12" s="281" t="s">
        <v>101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15.6">
      <c r="A14" s="7" t="s">
        <v>102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N16" s="115"/>
    </row>
    <row r="17" spans="1:12">
      <c r="A17" s="273" t="s">
        <v>86</v>
      </c>
      <c r="B17" s="273"/>
      <c r="C17" s="273"/>
      <c r="D17" s="273"/>
      <c r="E17" s="273"/>
      <c r="F17" s="107">
        <f>5*0.14%</f>
        <v>7.000000000000001E-3</v>
      </c>
      <c r="G17" s="278" t="s">
        <v>1</v>
      </c>
      <c r="H17" s="278"/>
      <c r="I17" s="278"/>
      <c r="J17" s="278"/>
      <c r="K17" s="278"/>
      <c r="L17" s="107">
        <f>1*0.14%</f>
        <v>1.4000000000000002E-3</v>
      </c>
    </row>
    <row r="18" spans="1:12">
      <c r="A18" s="273" t="s">
        <v>87</v>
      </c>
      <c r="B18" s="273"/>
      <c r="C18" s="273"/>
      <c r="D18" s="273"/>
      <c r="E18" s="273"/>
      <c r="F18" s="107">
        <f>10.6*0.14%</f>
        <v>1.4840000000000002E-2</v>
      </c>
      <c r="G18" s="239" t="s">
        <v>88</v>
      </c>
      <c r="H18" s="240"/>
      <c r="I18" s="240"/>
      <c r="J18" s="240"/>
      <c r="K18" s="241"/>
      <c r="L18" s="107">
        <f>3*0.14%</f>
        <v>4.2000000000000006E-3</v>
      </c>
    </row>
    <row r="19" spans="1:12">
      <c r="A19" s="239" t="s">
        <v>100</v>
      </c>
      <c r="B19" s="240"/>
      <c r="C19" s="240"/>
      <c r="D19" s="240"/>
      <c r="E19" s="255"/>
      <c r="F19" s="107">
        <f>6.5*0.14%</f>
        <v>9.1000000000000004E-3</v>
      </c>
      <c r="G19" s="273" t="s">
        <v>89</v>
      </c>
      <c r="H19" s="273"/>
      <c r="I19" s="273"/>
      <c r="J19" s="273"/>
      <c r="K19" s="273"/>
      <c r="L19" s="107">
        <f>1*0.14%</f>
        <v>1.4000000000000002E-3</v>
      </c>
    </row>
    <row r="20" spans="1:12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07">
        <f>1*0.14%</f>
        <v>1.4000000000000002E-3</v>
      </c>
    </row>
    <row r="21" spans="1:12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07">
        <f>1*0.14%</f>
        <v>1.4000000000000002E-3</v>
      </c>
    </row>
    <row r="22" spans="1:12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07">
        <f>0.5*0.14%</f>
        <v>7.000000000000001E-4</v>
      </c>
    </row>
    <row r="23" spans="1:12" ht="14.4" customHeight="1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07">
        <f>1*0.14%</f>
        <v>1.4000000000000002E-3</v>
      </c>
    </row>
    <row r="24" spans="1:12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07">
        <f>1*0.14%</f>
        <v>1.4000000000000002E-3</v>
      </c>
    </row>
    <row r="25" spans="1:12" ht="14.4" customHeight="1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07">
        <f>1*0.14%</f>
        <v>1.4000000000000002E-3</v>
      </c>
    </row>
    <row r="26" spans="1:12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07">
        <f>2*0.14%</f>
        <v>2.8000000000000004E-3</v>
      </c>
    </row>
    <row r="27" spans="1:12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07">
        <f>1*0.14%</f>
        <v>1.4000000000000002E-3</v>
      </c>
    </row>
    <row r="28" spans="1:12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07">
        <f>4.75*0.14%</f>
        <v>6.6500000000000014E-3</v>
      </c>
    </row>
    <row r="29" spans="1:12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07">
        <f>3.5*0.14%</f>
        <v>4.9000000000000007E-3</v>
      </c>
    </row>
    <row r="30" spans="1:12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07">
        <f>2*0.14%</f>
        <v>2.8000000000000004E-3</v>
      </c>
    </row>
    <row r="31" spans="1:12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07">
        <f>0.5*0.14%</f>
        <v>7.000000000000001E-4</v>
      </c>
    </row>
    <row r="32" spans="1:12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07">
        <f>0.5*0.14%</f>
        <v>7.000000000000001E-4</v>
      </c>
    </row>
    <row r="33" spans="1:14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07">
        <f>11*0.14%</f>
        <v>1.5400000000000002E-2</v>
      </c>
    </row>
    <row r="34" spans="1:14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07">
        <f>2*0.14%</f>
        <v>2.8000000000000004E-3</v>
      </c>
    </row>
    <row r="35" spans="1:14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07">
        <f>1*0.14%</f>
        <v>1.4000000000000002E-3</v>
      </c>
    </row>
    <row r="36" spans="1:14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07">
        <f>1*0.14%</f>
        <v>1.4000000000000002E-3</v>
      </c>
    </row>
    <row r="37" spans="1:14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07">
        <f>0.5*0.14%</f>
        <v>7.000000000000001E-4</v>
      </c>
      <c r="M37" s="116"/>
    </row>
    <row r="38" spans="1:14" ht="15" customHeight="1">
      <c r="A38" s="264" t="s">
        <v>2</v>
      </c>
      <c r="B38" s="264"/>
      <c r="C38" s="264"/>
      <c r="D38" s="264"/>
      <c r="E38" s="264"/>
      <c r="F38" s="114">
        <f>SUM(F17:F37)</f>
        <v>3.0940000000000006E-2</v>
      </c>
      <c r="G38" s="242" t="s">
        <v>2</v>
      </c>
      <c r="H38" s="242"/>
      <c r="I38" s="242"/>
      <c r="J38" s="242"/>
      <c r="K38" s="242"/>
      <c r="L38" s="113">
        <f>SUM(L17:L37)</f>
        <v>5.6350000000000004E-2</v>
      </c>
      <c r="N38" s="115">
        <f>L38+F38+'Услуга №2'!F40+'Услуга №2'!M40+'Работа №1'!F40+'Работа №1'!M40+'Работа №2'!F40+'Работа №2'!M40+'Работа №3'!F40+'Работа №3'!M40+'Работа №4'!F40+'Работа №4'!M40</f>
        <v>8.7290000000000006E-2</v>
      </c>
    </row>
    <row r="39" spans="1:14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127"/>
      <c r="G39" s="274" t="s">
        <v>2</v>
      </c>
      <c r="H39" s="274"/>
      <c r="I39" s="274"/>
      <c r="J39" s="274"/>
      <c r="K39" s="274"/>
      <c r="L39" s="274"/>
      <c r="M39" s="274"/>
    </row>
    <row r="40" spans="1:14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48" t="s">
        <v>59</v>
      </c>
      <c r="B62" s="248"/>
      <c r="C62" s="248"/>
      <c r="D62" s="24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28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</row>
    <row r="67" spans="1:14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33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4">
        <v>7</v>
      </c>
      <c r="K68" s="35">
        <v>8</v>
      </c>
      <c r="L68" s="108"/>
      <c r="M68" s="27"/>
    </row>
    <row r="69" spans="1:14" ht="40.200000000000003" customHeight="1" thickBot="1">
      <c r="A69" s="223" t="s">
        <v>66</v>
      </c>
      <c r="B69" s="223"/>
      <c r="C69" s="223"/>
      <c r="D69" s="223"/>
      <c r="E69" s="36">
        <f>G69/12/F69</f>
        <v>34372.833333333336</v>
      </c>
      <c r="F69" s="36">
        <v>0.03</v>
      </c>
      <c r="G69" s="124">
        <v>12374.22</v>
      </c>
      <c r="H69" s="36">
        <v>16111.23</v>
      </c>
      <c r="I69" s="43">
        <v>1</v>
      </c>
      <c r="J69" s="36">
        <f>H69/I69</f>
        <v>16111.23</v>
      </c>
      <c r="K69" s="146">
        <f>H69/11508021.17*100</f>
        <v>0.14000000314563202</v>
      </c>
      <c r="L69" s="109"/>
      <c r="M69" s="15"/>
    </row>
    <row r="70" spans="1:14" ht="15" thickBot="1">
      <c r="A70" s="258" t="s">
        <v>47</v>
      </c>
      <c r="B70" s="258"/>
      <c r="C70" s="258"/>
      <c r="D70" s="258"/>
      <c r="E70" s="61"/>
      <c r="F70" s="125"/>
      <c r="G70" s="125"/>
      <c r="H70" s="65">
        <f>H69</f>
        <v>16111.23</v>
      </c>
      <c r="I70" s="46"/>
      <c r="J70" s="62">
        <f>J69</f>
        <v>16111.23</v>
      </c>
      <c r="K70" s="44"/>
      <c r="L70" s="44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</row>
    <row r="74" spans="1:14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5"/>
    </row>
    <row r="75" spans="1:14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1.2133333333333334</v>
      </c>
      <c r="H76" s="124">
        <f>10400*O4</f>
        <v>14.56</v>
      </c>
      <c r="I76" s="43">
        <v>1</v>
      </c>
      <c r="J76" s="36">
        <f>H76/I76</f>
        <v>14.56</v>
      </c>
      <c r="K76" s="10"/>
      <c r="L76" s="10"/>
      <c r="M76" s="10"/>
      <c r="N76" s="16"/>
    </row>
    <row r="77" spans="1:14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4.7774999999999999</v>
      </c>
      <c r="H77" s="124">
        <f>40950*O4</f>
        <v>57.33</v>
      </c>
      <c r="I77" s="43">
        <v>1</v>
      </c>
      <c r="J77" s="36">
        <f>H77/I77</f>
        <v>57.33</v>
      </c>
      <c r="K77" s="10"/>
      <c r="L77" s="10"/>
      <c r="M77" s="10"/>
      <c r="N77" s="10"/>
    </row>
    <row r="78" spans="1:14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71.89</v>
      </c>
      <c r="I78" s="46"/>
      <c r="J78" s="53">
        <f>SUM(J76:J77)</f>
        <v>71.89</v>
      </c>
      <c r="K78" s="10"/>
      <c r="L78" s="10"/>
      <c r="M78" s="10"/>
      <c r="N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9.9090830216766901E-2</v>
      </c>
      <c r="G83" s="153">
        <v>6569.73</v>
      </c>
      <c r="H83" s="124">
        <f>465000*O4</f>
        <v>651</v>
      </c>
      <c r="I83" s="43">
        <v>1</v>
      </c>
      <c r="J83" s="36">
        <f t="shared" ref="J83:J87" si="2">H83/I83</f>
        <v>651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0.94697572587121515</v>
      </c>
      <c r="G84" s="153">
        <v>1768.22</v>
      </c>
      <c r="H84" s="124">
        <f>1196043.87*O4</f>
        <v>1674.4614180000001</v>
      </c>
      <c r="I84" s="43">
        <v>1</v>
      </c>
      <c r="J84" s="36">
        <f t="shared" si="2"/>
        <v>1674.4614180000001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24">
        <f>147291.76*O4</f>
        <v>206.20846400000002</v>
      </c>
      <c r="I85" s="43">
        <v>1</v>
      </c>
      <c r="J85" s="36">
        <f t="shared" si="2"/>
        <v>206.20846400000002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24">
        <f>214508.24*O4</f>
        <v>300.31153599999999</v>
      </c>
      <c r="I86" s="43">
        <v>1</v>
      </c>
      <c r="J86" s="45">
        <f t="shared" si="2"/>
        <v>300.31153599999999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24">
        <f>36456.13*O4</f>
        <v>51.038581999999998</v>
      </c>
      <c r="I87" s="43">
        <v>1</v>
      </c>
      <c r="J87" s="45">
        <f t="shared" si="2"/>
        <v>51.038581999999998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2883.02</v>
      </c>
      <c r="I88" s="46"/>
      <c r="J88" s="53">
        <f>SUM(J83:J87)</f>
        <v>2883.02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10"/>
      <c r="L89" s="10"/>
      <c r="M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</row>
    <row r="91" spans="1:17" ht="69.599999999999994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8" t="s">
        <v>74</v>
      </c>
      <c r="I91" s="8" t="s">
        <v>69</v>
      </c>
      <c r="J91" s="10"/>
      <c r="K91" s="10"/>
      <c r="L91" s="10"/>
    </row>
    <row r="92" spans="1:17" ht="31.2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207.11599999999999</v>
      </c>
      <c r="H92" s="43">
        <v>1</v>
      </c>
      <c r="I92" s="186">
        <f>G92/H92</f>
        <v>207.11599999999999</v>
      </c>
      <c r="J92" s="44"/>
      <c r="K92" s="10"/>
      <c r="L92" s="10"/>
      <c r="M92" s="10"/>
    </row>
    <row r="93" spans="1:17" ht="31.2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150.15</v>
      </c>
      <c r="H93" s="43">
        <v>1</v>
      </c>
      <c r="I93" s="186">
        <f t="shared" ref="I93:I98" si="3">G93/H93</f>
        <v>150.15</v>
      </c>
      <c r="J93" s="44"/>
      <c r="K93" s="10"/>
      <c r="L93" s="10"/>
      <c r="M93" s="10"/>
    </row>
    <row r="94" spans="1:17" ht="31.2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14.56</v>
      </c>
      <c r="H94" s="43">
        <v>1</v>
      </c>
      <c r="I94" s="186">
        <f t="shared" si="3"/>
        <v>14.56</v>
      </c>
      <c r="J94" s="44"/>
      <c r="K94" s="10"/>
      <c r="L94" s="10"/>
      <c r="M94" s="10"/>
    </row>
    <row r="95" spans="1:17" ht="31.2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56</v>
      </c>
      <c r="H95" s="43">
        <v>1</v>
      </c>
      <c r="I95" s="186">
        <f t="shared" si="3"/>
        <v>56</v>
      </c>
      <c r="J95" s="44"/>
      <c r="K95" s="10"/>
      <c r="L95" s="10"/>
      <c r="M95" s="10"/>
    </row>
    <row r="96" spans="1:17" ht="31.2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4.2</v>
      </c>
      <c r="H96" s="43">
        <v>1</v>
      </c>
      <c r="I96" s="186">
        <f>G96/H96</f>
        <v>4.2</v>
      </c>
      <c r="J96" s="44"/>
      <c r="K96" s="15"/>
      <c r="L96" s="15"/>
      <c r="M96" s="15"/>
    </row>
    <row r="97" spans="1:14" ht="31.2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5.2808000000000002</v>
      </c>
      <c r="H97" s="43">
        <v>1</v>
      </c>
      <c r="I97" s="186">
        <f t="shared" si="3"/>
        <v>5.2808000000000002</v>
      </c>
      <c r="J97" s="44"/>
      <c r="K97" s="10"/>
      <c r="L97" s="10"/>
      <c r="M97" s="10"/>
    </row>
    <row r="98" spans="1:14" ht="31.2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4.2</v>
      </c>
      <c r="H98" s="43">
        <v>1</v>
      </c>
      <c r="I98" s="186">
        <f t="shared" si="3"/>
        <v>4.2</v>
      </c>
      <c r="J98" s="44"/>
      <c r="K98" s="10"/>
      <c r="L98" s="10"/>
      <c r="M98" s="10"/>
    </row>
    <row r="99" spans="1:14" ht="16.2" customHeight="1" thickBot="1">
      <c r="A99" s="132" t="s">
        <v>54</v>
      </c>
      <c r="B99" s="133"/>
      <c r="C99" s="133"/>
      <c r="D99" s="133"/>
      <c r="E99" s="133"/>
      <c r="F99" s="133"/>
      <c r="G99" s="66">
        <f>SUM(G92:G98)</f>
        <v>441.50679999999994</v>
      </c>
      <c r="H99" s="176"/>
      <c r="I99" s="187">
        <f>SUM(I92:I98)</f>
        <v>441.50679999999994</v>
      </c>
      <c r="J99" s="176"/>
      <c r="K99" s="10"/>
      <c r="L99" s="10"/>
      <c r="M99" s="10"/>
      <c r="N99" s="10"/>
    </row>
    <row r="100" spans="1:14" s="75" customFormat="1" ht="16.2" customHeight="1">
      <c r="A100" s="74"/>
      <c r="B100" s="74"/>
      <c r="C100" s="74"/>
      <c r="D100" s="74"/>
      <c r="E100" s="74"/>
      <c r="F100" s="74"/>
      <c r="G100" s="174"/>
      <c r="H100" s="188"/>
      <c r="I100" s="70"/>
      <c r="J100" s="188"/>
      <c r="K100" s="73"/>
      <c r="L100" s="73"/>
      <c r="M100" s="73"/>
      <c r="N100" s="73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</row>
    <row r="102" spans="1:14" ht="69.599999999999994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40.11</v>
      </c>
      <c r="H103" s="43">
        <v>1</v>
      </c>
      <c r="I103" s="189">
        <f>G103/H103</f>
        <v>40.11</v>
      </c>
      <c r="J103" s="44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48.375599999999999</v>
      </c>
      <c r="H104" s="43">
        <v>1</v>
      </c>
      <c r="I104" s="189">
        <f t="shared" ref="I104:I109" si="4">G104/H104</f>
        <v>48.375599999999999</v>
      </c>
      <c r="J104" s="44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207.86920000000001</v>
      </c>
      <c r="H105" s="43">
        <v>1</v>
      </c>
      <c r="I105" s="189">
        <f t="shared" si="4"/>
        <v>207.86920000000001</v>
      </c>
      <c r="J105" s="44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373.56009600000004</v>
      </c>
      <c r="H106" s="43">
        <v>1</v>
      </c>
      <c r="I106" s="189">
        <f t="shared" si="4"/>
        <v>373.56009600000004</v>
      </c>
      <c r="J106" s="44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20.786486</v>
      </c>
      <c r="H107" s="43">
        <v>1</v>
      </c>
      <c r="I107" s="189">
        <f t="shared" si="4"/>
        <v>20.786486</v>
      </c>
      <c r="J107" s="44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9.8000000000000007</v>
      </c>
      <c r="H108" s="43">
        <v>1</v>
      </c>
      <c r="I108" s="189">
        <f t="shared" si="4"/>
        <v>9.8000000000000007</v>
      </c>
      <c r="J108" s="44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11.83</v>
      </c>
      <c r="H109" s="43">
        <v>1</v>
      </c>
      <c r="I109" s="189">
        <f t="shared" si="4"/>
        <v>11.83</v>
      </c>
      <c r="J109" s="44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712.33138199999996</v>
      </c>
      <c r="H110" s="44"/>
      <c r="I110" s="187">
        <f>SUM(I103:I109)</f>
        <v>712.33138199999996</v>
      </c>
      <c r="J110" s="44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122"/>
      <c r="G111" s="70"/>
      <c r="H111" s="71"/>
      <c r="I111" s="70"/>
      <c r="J111" s="71"/>
      <c r="K111" s="74"/>
      <c r="L111" s="74"/>
      <c r="M111" s="74"/>
      <c r="N111" s="73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8" t="s">
        <v>74</v>
      </c>
      <c r="H113" s="311" t="s">
        <v>69</v>
      </c>
      <c r="I113" s="312"/>
      <c r="J113" s="10"/>
      <c r="K113" s="10"/>
      <c r="L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9.73</v>
      </c>
      <c r="G114" s="43">
        <v>1</v>
      </c>
      <c r="H114" s="302">
        <f t="shared" ref="H114" si="5">F114/G114</f>
        <v>9.73</v>
      </c>
      <c r="I114" s="302"/>
      <c r="J114" s="44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9.73</v>
      </c>
      <c r="G115" s="44"/>
      <c r="H115" s="303">
        <f>SUM(H114:H114)</f>
        <v>9.73</v>
      </c>
      <c r="I115" s="304"/>
      <c r="J115" s="171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3"/>
      <c r="J116" s="74"/>
      <c r="K116" s="73"/>
      <c r="L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8" t="s">
        <v>69</v>
      </c>
      <c r="I118" s="10"/>
      <c r="J118" s="10"/>
      <c r="K118" s="10"/>
      <c r="L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117.24995800000001</v>
      </c>
      <c r="G119" s="43">
        <v>1</v>
      </c>
      <c r="H119" s="189">
        <f t="shared" ref="H119:H120" si="6">F119/G119</f>
        <v>117.24995800000001</v>
      </c>
      <c r="I119" s="44"/>
      <c r="J119" s="44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10.962</v>
      </c>
      <c r="G120" s="43">
        <v>1</v>
      </c>
      <c r="H120" s="189">
        <f t="shared" si="6"/>
        <v>10.962</v>
      </c>
      <c r="I120" s="44"/>
      <c r="J120" s="44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128.21195800000001</v>
      </c>
      <c r="G121" s="44"/>
      <c r="H121" s="50">
        <f>SUM(H119:H120)</f>
        <v>128.21195800000001</v>
      </c>
      <c r="I121" s="44"/>
      <c r="J121" s="171"/>
      <c r="K121" s="10"/>
      <c r="L121" s="10"/>
      <c r="M121" s="10"/>
    </row>
    <row r="122" spans="1:14" ht="25.2" customHeight="1">
      <c r="A122" s="78"/>
      <c r="B122" s="78"/>
      <c r="C122" s="78"/>
      <c r="D122" s="78"/>
      <c r="E122" s="79"/>
      <c r="F122" s="80"/>
      <c r="G122" s="81"/>
      <c r="H122" s="80"/>
      <c r="I122" s="82"/>
      <c r="J122" s="63"/>
      <c r="K122" s="83"/>
      <c r="L122" s="83"/>
      <c r="M122" s="47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305" t="s">
        <v>69</v>
      </c>
      <c r="I124" s="305"/>
      <c r="J124" s="44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239.09199999999998</v>
      </c>
      <c r="G125" s="43">
        <v>1</v>
      </c>
      <c r="H125" s="302">
        <f>F125/G125</f>
        <v>239.09199999999998</v>
      </c>
      <c r="I125" s="302"/>
      <c r="J125" s="44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239.09199999999998</v>
      </c>
      <c r="G126" s="44"/>
      <c r="H126" s="303">
        <f>SUM(H125:H125)</f>
        <v>239.09199999999998</v>
      </c>
      <c r="I126" s="304"/>
      <c r="J126" s="171"/>
      <c r="K126" s="10"/>
      <c r="L126" s="10"/>
      <c r="M126" s="10"/>
    </row>
    <row r="127" spans="1:14" ht="25.2" customHeight="1">
      <c r="A127" s="78"/>
      <c r="B127" s="78"/>
      <c r="C127" s="78"/>
      <c r="D127" s="78"/>
      <c r="E127" s="79"/>
      <c r="F127" s="80"/>
      <c r="G127" s="81"/>
      <c r="H127" s="80"/>
      <c r="I127" s="82"/>
      <c r="J127" s="63"/>
      <c r="K127" s="83"/>
      <c r="L127" s="83"/>
      <c r="M127" s="47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</row>
    <row r="129" spans="1:16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8" t="s">
        <v>69</v>
      </c>
      <c r="I129" s="10"/>
      <c r="J129" s="10"/>
      <c r="K129" s="10"/>
      <c r="L129" s="10"/>
    </row>
    <row r="130" spans="1:16">
      <c r="A130" s="198" t="s">
        <v>140</v>
      </c>
      <c r="B130" s="199"/>
      <c r="C130" s="199"/>
      <c r="D130" s="199"/>
      <c r="E130" s="49" t="s">
        <v>27</v>
      </c>
      <c r="F130" s="158">
        <f>9000*$O$4</f>
        <v>12.6</v>
      </c>
      <c r="G130" s="43">
        <v>1</v>
      </c>
      <c r="H130" s="189">
        <f t="shared" ref="H130:H137" si="7">F130/G130</f>
        <v>12.6</v>
      </c>
      <c r="I130" s="44"/>
      <c r="J130" s="44"/>
      <c r="K130" s="10"/>
      <c r="L130" s="10"/>
      <c r="M130" s="10"/>
    </row>
    <row r="131" spans="1:16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90.44</v>
      </c>
      <c r="G131" s="43">
        <v>1</v>
      </c>
      <c r="H131" s="189">
        <f t="shared" si="7"/>
        <v>90.44</v>
      </c>
      <c r="I131" s="44"/>
      <c r="J131" s="44"/>
      <c r="K131" s="10"/>
      <c r="L131" s="10"/>
      <c r="M131" s="10"/>
    </row>
    <row r="132" spans="1:16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28</v>
      </c>
      <c r="G132" s="43">
        <v>1</v>
      </c>
      <c r="H132" s="189">
        <f t="shared" si="7"/>
        <v>28</v>
      </c>
      <c r="I132" s="44"/>
      <c r="J132" s="44"/>
      <c r="K132" s="10"/>
      <c r="L132" s="10"/>
      <c r="M132" s="10"/>
    </row>
    <row r="133" spans="1:16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27.44</v>
      </c>
      <c r="G133" s="43">
        <v>1</v>
      </c>
      <c r="H133" s="189">
        <f t="shared" si="7"/>
        <v>27.44</v>
      </c>
      <c r="I133" s="44"/>
      <c r="J133" s="44"/>
      <c r="K133" s="10"/>
      <c r="L133" s="10"/>
      <c r="M133" s="10"/>
    </row>
    <row r="134" spans="1:16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1.1199999999999999</v>
      </c>
      <c r="G134" s="43">
        <v>1</v>
      </c>
      <c r="H134" s="189">
        <f t="shared" si="7"/>
        <v>1.1199999999999999</v>
      </c>
      <c r="I134" s="44"/>
      <c r="J134" s="44"/>
      <c r="K134" s="10"/>
      <c r="L134" s="10"/>
      <c r="M134" s="10"/>
    </row>
    <row r="135" spans="1:16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2.2399999999999998</v>
      </c>
      <c r="G135" s="43">
        <v>1</v>
      </c>
      <c r="H135" s="189">
        <f t="shared" si="7"/>
        <v>2.2399999999999998</v>
      </c>
      <c r="I135" s="44"/>
      <c r="J135" s="44"/>
      <c r="K135" s="10"/>
      <c r="L135" s="10"/>
      <c r="M135" s="10"/>
    </row>
    <row r="136" spans="1:16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6.72</v>
      </c>
      <c r="G136" s="43">
        <v>1</v>
      </c>
      <c r="H136" s="189">
        <f t="shared" si="7"/>
        <v>6.72</v>
      </c>
      <c r="I136" s="44"/>
      <c r="J136" s="44"/>
      <c r="K136" s="10"/>
      <c r="L136" s="10"/>
      <c r="M136" s="10"/>
    </row>
    <row r="137" spans="1:16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13.44</v>
      </c>
      <c r="G137" s="43">
        <v>1</v>
      </c>
      <c r="H137" s="189">
        <f t="shared" si="7"/>
        <v>13.44</v>
      </c>
      <c r="I137" s="44"/>
      <c r="J137" s="44"/>
      <c r="K137" s="10"/>
      <c r="L137" s="10"/>
      <c r="M137" s="10"/>
    </row>
    <row r="138" spans="1:16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182</v>
      </c>
      <c r="G138" s="44"/>
      <c r="H138" s="50">
        <f>SUM(H130:H137)</f>
        <v>182</v>
      </c>
      <c r="I138" s="44"/>
      <c r="J138" s="171"/>
      <c r="K138" s="10"/>
      <c r="L138" s="10"/>
      <c r="M138" s="10"/>
    </row>
    <row r="139" spans="1:16" ht="25.2" customHeight="1">
      <c r="A139" s="78"/>
      <c r="B139" s="78"/>
      <c r="C139" s="78"/>
      <c r="D139" s="78"/>
      <c r="E139" s="79"/>
      <c r="F139" s="80"/>
      <c r="G139" s="81"/>
      <c r="H139" s="80"/>
      <c r="I139" s="82"/>
      <c r="J139" s="63"/>
      <c r="K139" s="83"/>
      <c r="L139" s="83"/>
      <c r="M139" s="47"/>
    </row>
    <row r="140" spans="1:16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</row>
    <row r="141" spans="1:16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33" t="s">
        <v>44</v>
      </c>
      <c r="I141" s="8" t="s">
        <v>63</v>
      </c>
      <c r="J141" s="8" t="s">
        <v>69</v>
      </c>
      <c r="K141" s="8" t="s">
        <v>46</v>
      </c>
      <c r="L141" s="27"/>
      <c r="M141" s="27"/>
      <c r="N141" s="123">
        <v>21290323</v>
      </c>
      <c r="O141">
        <v>62.83</v>
      </c>
    </row>
    <row r="142" spans="1:16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25">
        <v>5</v>
      </c>
      <c r="I142" s="26">
        <v>6</v>
      </c>
      <c r="J142" s="34">
        <v>7</v>
      </c>
      <c r="K142" s="35">
        <v>8</v>
      </c>
      <c r="L142" s="108"/>
      <c r="M142" s="27"/>
      <c r="N142">
        <f>11540394-1482000</f>
        <v>10058394</v>
      </c>
      <c r="O142">
        <v>21.58</v>
      </c>
      <c r="P142">
        <f>N142*1.302</f>
        <v>13096028.988</v>
      </c>
    </row>
    <row r="143" spans="1:16" ht="31.2" customHeight="1" thickBot="1">
      <c r="A143" s="223" t="s">
        <v>67</v>
      </c>
      <c r="B143" s="223"/>
      <c r="C143" s="223"/>
      <c r="D143" s="223"/>
      <c r="E143" s="36">
        <f>G143/12/F143</f>
        <v>31301.041666666668</v>
      </c>
      <c r="F143" s="36">
        <v>0.06</v>
      </c>
      <c r="G143" s="124">
        <v>22536.75</v>
      </c>
      <c r="H143" s="36">
        <v>29342.85</v>
      </c>
      <c r="I143" s="43">
        <v>1</v>
      </c>
      <c r="J143" s="36">
        <f>H143/I143</f>
        <v>29342.85</v>
      </c>
      <c r="K143" s="146">
        <f>H143/20959178.83*100</f>
        <v>0.1399999982728331</v>
      </c>
      <c r="L143" s="109"/>
      <c r="M143" s="15"/>
      <c r="N143" s="123">
        <f>N141-N142</f>
        <v>11231929</v>
      </c>
      <c r="O143">
        <v>41.25</v>
      </c>
      <c r="P143">
        <f>N143*1.302</f>
        <v>14623971.558</v>
      </c>
    </row>
    <row r="144" spans="1:16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8">F144/G144*H144</f>
        <v>#DIV/0!</v>
      </c>
      <c r="J144" s="36">
        <f t="shared" ref="J144:J165" si="9">E144*F144*12*1.302</f>
        <v>1116552.28608</v>
      </c>
      <c r="K144" s="58" t="s">
        <v>38</v>
      </c>
      <c r="L144" s="110"/>
      <c r="M144" s="31" t="e">
        <f t="shared" ref="M144:M168" si="10">I144*J144</f>
        <v>#DIV/0!</v>
      </c>
    </row>
    <row r="145" spans="1:13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8"/>
        <v>#DIV/0!</v>
      </c>
      <c r="J145" s="36">
        <f t="shared" si="9"/>
        <v>149115.45600000001</v>
      </c>
      <c r="K145" s="37">
        <f>H145/11277167.39*100</f>
        <v>0</v>
      </c>
      <c r="L145" s="37"/>
      <c r="M145" s="14" t="e">
        <f t="shared" si="10"/>
        <v>#DIV/0!</v>
      </c>
    </row>
    <row r="146" spans="1:13" ht="15" hidden="1" customHeight="1" thickBo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8"/>
        <v>#DIV/0!</v>
      </c>
      <c r="J146" s="36">
        <f t="shared" si="9"/>
        <v>180613.44</v>
      </c>
      <c r="K146" s="29"/>
      <c r="L146" s="29"/>
      <c r="M146" s="14" t="e">
        <f t="shared" si="10"/>
        <v>#DIV/0!</v>
      </c>
    </row>
    <row r="147" spans="1:13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8"/>
        <v>#DIV/0!</v>
      </c>
      <c r="J147" s="36">
        <f t="shared" si="9"/>
        <v>74557.728000000003</v>
      </c>
      <c r="K147" s="29"/>
      <c r="L147" s="29"/>
      <c r="M147" s="14" t="e">
        <f t="shared" si="10"/>
        <v>#DIV/0!</v>
      </c>
    </row>
    <row r="148" spans="1:13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8"/>
        <v>#DIV/0!</v>
      </c>
      <c r="J148" s="36">
        <f t="shared" si="9"/>
        <v>149115.45600000001</v>
      </c>
      <c r="K148" s="36"/>
      <c r="L148" s="36"/>
      <c r="M148" s="14" t="e">
        <f t="shared" si="10"/>
        <v>#DIV/0!</v>
      </c>
    </row>
    <row r="149" spans="1:13" ht="14.25" hidden="1" customHeigh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8"/>
        <v>#DIV/0!</v>
      </c>
      <c r="J149" s="36">
        <f t="shared" si="9"/>
        <v>149115.45600000001</v>
      </c>
      <c r="K149" s="44"/>
      <c r="L149" s="44"/>
      <c r="M149" s="14" t="e">
        <f t="shared" si="10"/>
        <v>#DIV/0!</v>
      </c>
    </row>
    <row r="150" spans="1:13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8"/>
        <v>#DIV/0!</v>
      </c>
      <c r="J150" s="36">
        <f t="shared" si="9"/>
        <v>0</v>
      </c>
      <c r="K150" s="44"/>
      <c r="L150" s="44"/>
      <c r="M150" s="14" t="e">
        <f t="shared" si="10"/>
        <v>#DIV/0!</v>
      </c>
    </row>
    <row r="151" spans="1:13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8"/>
        <v>#DIV/0!</v>
      </c>
      <c r="J151" s="36">
        <f t="shared" si="9"/>
        <v>37278.864000000001</v>
      </c>
      <c r="K151" s="44"/>
      <c r="L151" s="44"/>
      <c r="M151" s="14" t="e">
        <f t="shared" si="10"/>
        <v>#DIV/0!</v>
      </c>
    </row>
    <row r="152" spans="1:13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8"/>
        <v>#DIV/0!</v>
      </c>
      <c r="J152" s="36">
        <f t="shared" si="9"/>
        <v>0</v>
      </c>
      <c r="K152" s="44"/>
      <c r="L152" s="44"/>
      <c r="M152" s="14" t="e">
        <f t="shared" si="10"/>
        <v>#DIV/0!</v>
      </c>
    </row>
    <row r="153" spans="1:13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8"/>
        <v>#DIV/0!</v>
      </c>
      <c r="J153" s="36">
        <f t="shared" si="9"/>
        <v>74557.728000000003</v>
      </c>
      <c r="K153" s="44"/>
      <c r="L153" s="44"/>
      <c r="M153" s="14" t="e">
        <f t="shared" si="10"/>
        <v>#DIV/0!</v>
      </c>
    </row>
    <row r="154" spans="1:13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8"/>
        <v>#DIV/0!</v>
      </c>
      <c r="J154" s="36">
        <f t="shared" si="9"/>
        <v>149115.45600000001</v>
      </c>
      <c r="K154" s="44"/>
      <c r="L154" s="44"/>
      <c r="M154" s="14" t="e">
        <f t="shared" si="10"/>
        <v>#DIV/0!</v>
      </c>
    </row>
    <row r="155" spans="1:13" ht="15" hidden="1" customHeight="1" thickBo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8"/>
        <v>#DIV/0!</v>
      </c>
      <c r="J155" s="36">
        <f t="shared" si="9"/>
        <v>149115.45600000001</v>
      </c>
      <c r="K155" s="44"/>
      <c r="L155" s="44"/>
      <c r="M155" s="14" t="e">
        <f t="shared" si="10"/>
        <v>#DIV/0!</v>
      </c>
    </row>
    <row r="156" spans="1:13" ht="15" hidden="1" customHeigh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8"/>
        <v>#DIV/0!</v>
      </c>
      <c r="J156" s="36">
        <f t="shared" si="9"/>
        <v>820135.00800000003</v>
      </c>
      <c r="K156" s="44"/>
      <c r="L156" s="44"/>
      <c r="M156" s="14" t="e">
        <f t="shared" si="10"/>
        <v>#DIV/0!</v>
      </c>
    </row>
    <row r="157" spans="1:13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8"/>
        <v>#DIV/0!</v>
      </c>
      <c r="J157" s="36">
        <f t="shared" si="9"/>
        <v>149115.45600000001</v>
      </c>
      <c r="K157" s="44"/>
      <c r="L157" s="44"/>
      <c r="M157" s="14" t="e">
        <f t="shared" si="10"/>
        <v>#DIV/0!</v>
      </c>
    </row>
    <row r="158" spans="1:13" ht="15" hidden="1" customHeight="1" thickBo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8"/>
        <v>#DIV/0!</v>
      </c>
      <c r="J158" s="36">
        <f t="shared" si="9"/>
        <v>74557.728000000003</v>
      </c>
      <c r="K158" s="44"/>
      <c r="L158" s="44"/>
      <c r="M158" s="14" t="e">
        <f t="shared" si="10"/>
        <v>#DIV/0!</v>
      </c>
    </row>
    <row r="159" spans="1:13" ht="15" hidden="1" customHeight="1" thickBo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8"/>
        <v>#DIV/0!</v>
      </c>
      <c r="J159" s="36">
        <f t="shared" si="9"/>
        <v>74557.728000000003</v>
      </c>
      <c r="K159" s="44"/>
      <c r="L159" s="44"/>
      <c r="M159" s="14" t="e">
        <f t="shared" si="10"/>
        <v>#DIV/0!</v>
      </c>
    </row>
    <row r="160" spans="1:13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8"/>
        <v>#DIV/0!</v>
      </c>
      <c r="J160" s="36">
        <f t="shared" si="9"/>
        <v>149115.45600000001</v>
      </c>
      <c r="K160" s="44"/>
      <c r="L160" s="44"/>
      <c r="M160" s="14" t="e">
        <f t="shared" si="10"/>
        <v>#DIV/0!</v>
      </c>
    </row>
    <row r="161" spans="1:16" ht="15.75" hidden="1" customHeigh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8"/>
        <v>#DIV/0!</v>
      </c>
      <c r="J161" s="36">
        <f t="shared" si="9"/>
        <v>596461.82400000002</v>
      </c>
      <c r="K161" s="44"/>
      <c r="L161" s="44"/>
      <c r="M161" s="14" t="e">
        <f t="shared" si="10"/>
        <v>#DIV/0!</v>
      </c>
    </row>
    <row r="162" spans="1:16" ht="16.5" hidden="1" customHeigh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8"/>
        <v>#DIV/0!</v>
      </c>
      <c r="J162" s="36">
        <f t="shared" si="9"/>
        <v>149115.45600000001</v>
      </c>
      <c r="K162" s="44"/>
      <c r="L162" s="44"/>
      <c r="M162" s="14" t="e">
        <f t="shared" si="10"/>
        <v>#DIV/0!</v>
      </c>
    </row>
    <row r="163" spans="1:16" ht="16.5" hidden="1" customHeigh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8"/>
        <v>#DIV/0!</v>
      </c>
      <c r="J163" s="36">
        <f t="shared" si="9"/>
        <v>260952.04800000001</v>
      </c>
      <c r="K163" s="44"/>
      <c r="L163" s="44"/>
      <c r="M163" s="14" t="e">
        <f t="shared" si="10"/>
        <v>#DIV/0!</v>
      </c>
    </row>
    <row r="164" spans="1:16" ht="16.5" hidden="1" customHeight="1" thickBo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8"/>
        <v>#DIV/0!</v>
      </c>
      <c r="J164" s="36">
        <f t="shared" si="9"/>
        <v>0</v>
      </c>
      <c r="K164" s="44"/>
      <c r="L164" s="44"/>
      <c r="M164" s="14" t="e">
        <f t="shared" si="10"/>
        <v>#DIV/0!</v>
      </c>
    </row>
    <row r="165" spans="1:16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8"/>
        <v>#DIV/0!</v>
      </c>
      <c r="J165" s="36">
        <f t="shared" si="9"/>
        <v>74557.728000000003</v>
      </c>
      <c r="K165" s="44"/>
      <c r="L165" s="44"/>
      <c r="M165" s="14" t="e">
        <f t="shared" si="10"/>
        <v>#DIV/0!</v>
      </c>
    </row>
    <row r="166" spans="1:16" ht="15" hidden="1" customHeight="1" thickBo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14">
        <f t="shared" si="10"/>
        <v>0</v>
      </c>
    </row>
    <row r="167" spans="1:16" ht="15.75" hidden="1" customHeigh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14">
        <f t="shared" si="10"/>
        <v>0</v>
      </c>
    </row>
    <row r="168" spans="1:16" ht="14.25" hidden="1" customHeight="1" thickBo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30">
        <f t="shared" si="10"/>
        <v>0</v>
      </c>
    </row>
    <row r="169" spans="1:16" ht="15" thickBot="1">
      <c r="A169" s="258" t="s">
        <v>47</v>
      </c>
      <c r="B169" s="258"/>
      <c r="C169" s="258"/>
      <c r="D169" s="258"/>
      <c r="E169" s="61"/>
      <c r="F169" s="125"/>
      <c r="G169" s="125"/>
      <c r="H169" s="65">
        <f>H143</f>
        <v>29342.85</v>
      </c>
      <c r="I169" s="46"/>
      <c r="J169" s="62">
        <f>J143</f>
        <v>29342.85</v>
      </c>
      <c r="K169" s="44"/>
      <c r="L169" s="44"/>
      <c r="M169" s="15"/>
      <c r="P169">
        <f>H169/48.5%</f>
        <v>60500.721649484534</v>
      </c>
    </row>
    <row r="170" spans="1:16" ht="22.2" customHeight="1">
      <c r="A170" s="10"/>
      <c r="B170" s="10"/>
      <c r="C170" s="10"/>
      <c r="D170" s="10"/>
      <c r="E170" s="10"/>
      <c r="F170" s="10"/>
      <c r="G170" s="10"/>
      <c r="H170" s="12"/>
      <c r="I170" s="12"/>
      <c r="J170" s="12"/>
      <c r="K170" s="10"/>
      <c r="L170" s="10"/>
      <c r="M170" s="10"/>
    </row>
    <row r="171" spans="1:16">
      <c r="A171" s="226" t="s">
        <v>61</v>
      </c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126"/>
      <c r="M171" s="10"/>
    </row>
    <row r="172" spans="1:16" s="75" customFormat="1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73"/>
    </row>
    <row r="173" spans="1:16" ht="55.8">
      <c r="A173" s="206" t="s">
        <v>28</v>
      </c>
      <c r="B173" s="207"/>
      <c r="C173" s="207"/>
      <c r="D173" s="207"/>
      <c r="E173" s="8" t="s">
        <v>75</v>
      </c>
      <c r="F173" s="8" t="s">
        <v>48</v>
      </c>
      <c r="G173" s="8" t="s">
        <v>74</v>
      </c>
      <c r="H173" s="8" t="s">
        <v>69</v>
      </c>
      <c r="I173" s="10"/>
      <c r="J173" s="10"/>
      <c r="K173" s="10"/>
      <c r="L173" s="10"/>
    </row>
    <row r="174" spans="1:16" ht="15" thickBot="1">
      <c r="A174" s="198" t="s">
        <v>144</v>
      </c>
      <c r="B174" s="199"/>
      <c r="C174" s="199"/>
      <c r="D174" s="199"/>
      <c r="E174" s="49" t="s">
        <v>27</v>
      </c>
      <c r="F174" s="158">
        <f>1440*$O$4</f>
        <v>2.016</v>
      </c>
      <c r="G174" s="43">
        <v>1</v>
      </c>
      <c r="H174" s="189">
        <f t="shared" ref="H174" si="11">F174/G174</f>
        <v>2.016</v>
      </c>
      <c r="I174" s="44"/>
      <c r="J174" s="44"/>
      <c r="K174" s="10"/>
      <c r="L174" s="10"/>
      <c r="M174" s="10"/>
    </row>
    <row r="175" spans="1:16" ht="20.25" customHeight="1" thickBot="1">
      <c r="A175" s="210" t="s">
        <v>53</v>
      </c>
      <c r="B175" s="211"/>
      <c r="C175" s="211"/>
      <c r="D175" s="211"/>
      <c r="E175" s="48"/>
      <c r="F175" s="65">
        <f>SUM(F174:F174)</f>
        <v>2.016</v>
      </c>
      <c r="G175" s="44"/>
      <c r="H175" s="50">
        <f>SUM(H174:H174)</f>
        <v>2.016</v>
      </c>
      <c r="I175" s="44"/>
      <c r="J175" s="171"/>
      <c r="K175" s="10"/>
      <c r="L175" s="10"/>
      <c r="M175" s="10"/>
    </row>
    <row r="176" spans="1:16" s="75" customFormat="1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73"/>
    </row>
    <row r="177" spans="1:14" ht="55.8">
      <c r="A177" s="206" t="s">
        <v>28</v>
      </c>
      <c r="B177" s="207"/>
      <c r="C177" s="207"/>
      <c r="D177" s="207"/>
      <c r="E177" s="8" t="s">
        <v>75</v>
      </c>
      <c r="F177" s="8" t="s">
        <v>48</v>
      </c>
      <c r="G177" s="8" t="s">
        <v>74</v>
      </c>
      <c r="H177" s="8" t="s">
        <v>69</v>
      </c>
      <c r="I177" s="10"/>
      <c r="J177" s="10"/>
      <c r="K177" s="10"/>
      <c r="L177" s="10"/>
    </row>
    <row r="178" spans="1:14" ht="51" customHeight="1" thickBot="1">
      <c r="A178" s="198" t="s">
        <v>145</v>
      </c>
      <c r="B178" s="199"/>
      <c r="C178" s="199"/>
      <c r="D178" s="199"/>
      <c r="E178" s="49" t="s">
        <v>27</v>
      </c>
      <c r="F178" s="158">
        <f>501795*$O$4</f>
        <v>702.51300000000003</v>
      </c>
      <c r="G178" s="43">
        <v>1</v>
      </c>
      <c r="H178" s="189">
        <f t="shared" ref="H178" si="12">F178/G178</f>
        <v>702.51300000000003</v>
      </c>
      <c r="I178" s="44"/>
      <c r="J178" s="44"/>
      <c r="K178" s="10"/>
      <c r="L178" s="10"/>
      <c r="M178" s="10"/>
    </row>
    <row r="179" spans="1:14" ht="20.25" customHeight="1" thickBot="1">
      <c r="A179" s="210" t="s">
        <v>53</v>
      </c>
      <c r="B179" s="211"/>
      <c r="C179" s="211"/>
      <c r="D179" s="211"/>
      <c r="E179" s="48"/>
      <c r="F179" s="65">
        <f>SUM(F178:F178)</f>
        <v>702.51300000000003</v>
      </c>
      <c r="G179" s="44"/>
      <c r="H179" s="50">
        <f>SUM(H178:H178)</f>
        <v>702.51300000000003</v>
      </c>
      <c r="I179" s="44"/>
      <c r="J179" s="171"/>
      <c r="K179" s="10"/>
      <c r="L179" s="10"/>
      <c r="M179" s="10"/>
    </row>
    <row r="180" spans="1:14" s="75" customFormat="1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73"/>
    </row>
    <row r="181" spans="1:14" ht="55.8">
      <c r="A181" s="206" t="s">
        <v>62</v>
      </c>
      <c r="B181" s="207"/>
      <c r="C181" s="207"/>
      <c r="D181" s="217"/>
      <c r="E181" s="129" t="s">
        <v>7</v>
      </c>
      <c r="F181" s="129" t="s">
        <v>55</v>
      </c>
      <c r="G181" s="129" t="s">
        <v>42</v>
      </c>
      <c r="H181" s="129" t="s">
        <v>48</v>
      </c>
      <c r="I181" s="8" t="s">
        <v>63</v>
      </c>
      <c r="J181" s="8" t="s">
        <v>69</v>
      </c>
      <c r="K181" s="38"/>
      <c r="L181" s="27"/>
      <c r="M181" s="10"/>
    </row>
    <row r="182" spans="1:14" ht="44.4" customHeight="1">
      <c r="A182" s="198" t="s">
        <v>113</v>
      </c>
      <c r="B182" s="199"/>
      <c r="C182" s="199"/>
      <c r="D182" s="218"/>
      <c r="E182" s="166"/>
      <c r="F182" s="166"/>
      <c r="G182" s="166"/>
      <c r="H182" s="193">
        <f>350242.9*$O$4</f>
        <v>490.34006000000005</v>
      </c>
      <c r="I182" s="43">
        <v>1</v>
      </c>
      <c r="J182" s="194">
        <f>H182/I182</f>
        <v>490.34006000000005</v>
      </c>
      <c r="K182" s="38"/>
      <c r="L182" s="27"/>
      <c r="M182" s="27"/>
      <c r="N182" s="10"/>
    </row>
    <row r="183" spans="1:14" ht="44.4" customHeight="1" thickBot="1">
      <c r="A183" s="198" t="s">
        <v>114</v>
      </c>
      <c r="B183" s="199"/>
      <c r="C183" s="199"/>
      <c r="D183" s="218"/>
      <c r="E183" s="166"/>
      <c r="F183" s="166"/>
      <c r="G183" s="166"/>
      <c r="H183" s="193">
        <f>(39067+30300+25200+250000)*$O$4</f>
        <v>482.3938</v>
      </c>
      <c r="I183" s="43">
        <v>1</v>
      </c>
      <c r="J183" s="194">
        <f t="shared" ref="J183" si="13">H183/I183</f>
        <v>482.3938</v>
      </c>
      <c r="K183" s="38"/>
      <c r="L183" s="27"/>
      <c r="M183" s="27"/>
      <c r="N183" s="10"/>
    </row>
    <row r="184" spans="1:14" ht="15" thickBot="1">
      <c r="A184" s="229" t="s">
        <v>57</v>
      </c>
      <c r="B184" s="230"/>
      <c r="C184" s="230"/>
      <c r="D184" s="230"/>
      <c r="E184" s="230"/>
      <c r="F184" s="230"/>
      <c r="G184" s="231"/>
      <c r="H184" s="195">
        <f>H183+H182</f>
        <v>972.73386000000005</v>
      </c>
      <c r="I184" s="196"/>
      <c r="J184" s="187">
        <f>SUM(J182:J183)</f>
        <v>972.73386000000005</v>
      </c>
      <c r="K184" s="10"/>
      <c r="L184" s="10"/>
      <c r="M184" s="10"/>
      <c r="N184" s="10"/>
    </row>
    <row r="185" spans="1:14" ht="32.4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14" ht="55.8">
      <c r="A186" s="206" t="s">
        <v>62</v>
      </c>
      <c r="B186" s="207"/>
      <c r="C186" s="207"/>
      <c r="D186" s="217"/>
      <c r="E186" s="129" t="s">
        <v>115</v>
      </c>
      <c r="F186" s="129" t="s">
        <v>55</v>
      </c>
      <c r="G186" s="129" t="s">
        <v>42</v>
      </c>
      <c r="H186" s="129" t="s">
        <v>48</v>
      </c>
      <c r="I186" s="8" t="s">
        <v>63</v>
      </c>
      <c r="J186" s="8" t="s">
        <v>69</v>
      </c>
      <c r="K186" s="38"/>
      <c r="L186" s="27"/>
      <c r="M186" s="10"/>
    </row>
    <row r="187" spans="1:14">
      <c r="A187" s="198" t="s">
        <v>78</v>
      </c>
      <c r="B187" s="199"/>
      <c r="C187" s="199"/>
      <c r="D187" s="218"/>
      <c r="E187" s="166">
        <v>120</v>
      </c>
      <c r="F187" s="166"/>
      <c r="G187" s="166"/>
      <c r="H187" s="193">
        <f>50000*$O$4</f>
        <v>70</v>
      </c>
      <c r="I187" s="43">
        <v>1</v>
      </c>
      <c r="J187" s="194">
        <f>H187/I187</f>
        <v>70</v>
      </c>
      <c r="K187" s="38"/>
      <c r="L187" s="27"/>
      <c r="M187" s="27"/>
      <c r="N187" s="10"/>
    </row>
    <row r="188" spans="1:14">
      <c r="A188" s="198" t="s">
        <v>79</v>
      </c>
      <c r="B188" s="199"/>
      <c r="C188" s="199"/>
      <c r="D188" s="218"/>
      <c r="E188" s="166">
        <v>640</v>
      </c>
      <c r="F188" s="166"/>
      <c r="G188" s="166"/>
      <c r="H188" s="193">
        <f t="shared" ref="H188:H189" si="14">50000*$O$4</f>
        <v>70</v>
      </c>
      <c r="I188" s="43">
        <v>1</v>
      </c>
      <c r="J188" s="194">
        <f t="shared" ref="J188:J189" si="15">H188/I188</f>
        <v>70</v>
      </c>
      <c r="K188" s="38"/>
      <c r="L188" s="27"/>
      <c r="M188" s="27"/>
      <c r="N188" s="10"/>
    </row>
    <row r="189" spans="1:14" ht="18" customHeight="1" thickBot="1">
      <c r="A189" s="198" t="s">
        <v>80</v>
      </c>
      <c r="B189" s="199"/>
      <c r="C189" s="199"/>
      <c r="D189" s="218"/>
      <c r="E189" s="166">
        <v>200</v>
      </c>
      <c r="F189" s="166"/>
      <c r="G189" s="166"/>
      <c r="H189" s="193">
        <f t="shared" si="14"/>
        <v>70</v>
      </c>
      <c r="I189" s="43">
        <v>1</v>
      </c>
      <c r="J189" s="194">
        <f t="shared" si="15"/>
        <v>70</v>
      </c>
      <c r="K189" s="38"/>
      <c r="L189" s="27"/>
      <c r="M189" s="27"/>
      <c r="N189" s="10"/>
    </row>
    <row r="190" spans="1:14" ht="15" thickBot="1">
      <c r="A190" s="229" t="s">
        <v>57</v>
      </c>
      <c r="B190" s="230"/>
      <c r="C190" s="230"/>
      <c r="D190" s="230"/>
      <c r="E190" s="230"/>
      <c r="F190" s="230"/>
      <c r="G190" s="231"/>
      <c r="H190" s="195">
        <f>SUM(H187:H189)</f>
        <v>210</v>
      </c>
      <c r="I190" s="196"/>
      <c r="J190" s="187">
        <f>SUM(J187:J189)</f>
        <v>210</v>
      </c>
      <c r="K190" s="10"/>
      <c r="L190" s="10"/>
      <c r="M190" s="10"/>
      <c r="N190" s="10"/>
    </row>
    <row r="191" spans="1:14" ht="25.2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1:14">
      <c r="A192" s="205" t="s">
        <v>29</v>
      </c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</row>
    <row r="193" spans="1:18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8" ht="60" customHeight="1">
      <c r="A194" s="233" t="s">
        <v>30</v>
      </c>
      <c r="B194" s="234"/>
      <c r="C194" s="235"/>
      <c r="D194" s="200" t="s">
        <v>31</v>
      </c>
      <c r="E194" s="201"/>
      <c r="F194" s="201"/>
      <c r="G194" s="201"/>
      <c r="H194" s="201"/>
      <c r="I194" s="201"/>
      <c r="J194" s="201"/>
      <c r="K194" s="201"/>
      <c r="L194" s="201"/>
      <c r="M194" s="202"/>
      <c r="N194" s="169" t="s">
        <v>35</v>
      </c>
      <c r="O194" s="111"/>
      <c r="R194" s="123"/>
    </row>
    <row r="195" spans="1:18" ht="24" customHeight="1">
      <c r="A195" s="9" t="s">
        <v>32</v>
      </c>
      <c r="B195" s="103" t="s">
        <v>33</v>
      </c>
      <c r="C195" s="9" t="s">
        <v>34</v>
      </c>
      <c r="D195" s="8" t="s">
        <v>119</v>
      </c>
      <c r="E195" s="8" t="s">
        <v>120</v>
      </c>
      <c r="F195" s="8" t="s">
        <v>121</v>
      </c>
      <c r="G195" s="8" t="s">
        <v>122</v>
      </c>
      <c r="H195" s="24" t="s">
        <v>139</v>
      </c>
      <c r="I195" s="24" t="s">
        <v>143</v>
      </c>
      <c r="J195" s="24" t="s">
        <v>123</v>
      </c>
      <c r="K195" s="33" t="s">
        <v>124</v>
      </c>
      <c r="L195" s="166" t="s">
        <v>122</v>
      </c>
      <c r="M195" s="166" t="s">
        <v>168</v>
      </c>
      <c r="N195" s="170"/>
      <c r="O195" s="111"/>
    </row>
    <row r="196" spans="1:18" ht="15" thickBot="1">
      <c r="A196" s="14">
        <f>J69</f>
        <v>16111.23</v>
      </c>
      <c r="B196" s="14"/>
      <c r="C196" s="14"/>
      <c r="D196" s="14">
        <f>J78</f>
        <v>71.89</v>
      </c>
      <c r="E196" s="14">
        <f>J88</f>
        <v>2883.02</v>
      </c>
      <c r="F196" s="14">
        <f>I99</f>
        <v>441.50679999999994</v>
      </c>
      <c r="G196" s="14">
        <f>I110</f>
        <v>712.33138199999996</v>
      </c>
      <c r="H196" s="36">
        <f>H115</f>
        <v>9.73</v>
      </c>
      <c r="I196" s="36">
        <f>H138</f>
        <v>182</v>
      </c>
      <c r="J196" s="36">
        <f>H121</f>
        <v>128.21195800000001</v>
      </c>
      <c r="K196" s="93">
        <f>J169</f>
        <v>29342.85</v>
      </c>
      <c r="L196" s="92">
        <f>J184+J190+H175+H179</f>
        <v>1887.2628600000003</v>
      </c>
      <c r="M196" s="92">
        <f>H126</f>
        <v>239.09199999999998</v>
      </c>
      <c r="N196" s="135">
        <f>SUM(D196:M196)+A196</f>
        <v>52009.125</v>
      </c>
      <c r="O196" s="112"/>
    </row>
    <row r="197" spans="1:18" ht="15" thickBo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P197" s="88">
        <f>N196*1</f>
        <v>52009.125</v>
      </c>
    </row>
    <row r="198" spans="1:18" ht="15" thickBot="1">
      <c r="A198" s="13" t="s">
        <v>64</v>
      </c>
      <c r="B198" s="13"/>
      <c r="C198" s="13"/>
      <c r="D198" s="10"/>
      <c r="E198" s="10"/>
      <c r="F198" s="10"/>
      <c r="G198" s="10"/>
      <c r="H198" s="10"/>
      <c r="I198" s="10"/>
      <c r="J198" s="64">
        <f>H190+H184+F179+F175+H169+F138+F126+F121+F115+G110+G99+H88+H78+H70</f>
        <v>52009.125</v>
      </c>
      <c r="K198" s="10"/>
      <c r="L198" s="10"/>
      <c r="M198" s="10"/>
      <c r="P198" s="123"/>
    </row>
    <row r="199" spans="1:18" ht="26.25" customHeight="1">
      <c r="A199" s="10"/>
      <c r="B199" s="10"/>
      <c r="C199" s="10"/>
      <c r="D199" s="10"/>
      <c r="E199" s="10"/>
      <c r="F199" s="10"/>
      <c r="G199" s="10"/>
      <c r="H199" s="10"/>
      <c r="I199" s="10"/>
      <c r="K199" s="10"/>
      <c r="L199" s="10"/>
      <c r="N199" s="219"/>
      <c r="O199" s="219"/>
    </row>
    <row r="200" spans="1:18" ht="17.25" customHeight="1">
      <c r="A200" s="2" t="s">
        <v>116</v>
      </c>
      <c r="B200" s="2"/>
      <c r="C200" s="2"/>
      <c r="I200" s="2" t="s">
        <v>117</v>
      </c>
    </row>
    <row r="201" spans="1:18" ht="9.75" customHeight="1"/>
    <row r="202" spans="1:18" ht="15.6">
      <c r="A202" s="100" t="s">
        <v>43</v>
      </c>
      <c r="B202" s="6"/>
    </row>
    <row r="203" spans="1:18" ht="15.6">
      <c r="A203" s="100" t="s">
        <v>138</v>
      </c>
      <c r="B203" s="6"/>
    </row>
    <row r="204" spans="1:18" ht="15.6">
      <c r="A204" s="100" t="s">
        <v>81</v>
      </c>
      <c r="C204" s="6"/>
    </row>
    <row r="205" spans="1:18" ht="15.6">
      <c r="A205" s="1"/>
      <c r="B205" s="1"/>
      <c r="C205" s="1"/>
    </row>
    <row r="207" spans="1:18">
      <c r="J207" s="139">
        <f>J198/O4</f>
        <v>37149375</v>
      </c>
    </row>
    <row r="210" spans="10:10">
      <c r="J210" s="176">
        <v>37149375</v>
      </c>
    </row>
    <row r="213" spans="10:10">
      <c r="J213">
        <f>J207-J210</f>
        <v>0</v>
      </c>
    </row>
  </sheetData>
  <mergeCells count="199"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77:D77"/>
    <mergeCell ref="A78:D78"/>
    <mergeCell ref="A81:D81"/>
    <mergeCell ref="A75:D75"/>
    <mergeCell ref="A76:D76"/>
    <mergeCell ref="A84:D84"/>
    <mergeCell ref="A93:D93"/>
    <mergeCell ref="A85:D85"/>
    <mergeCell ref="A86:D86"/>
    <mergeCell ref="A87:D87"/>
    <mergeCell ref="A88:D88"/>
    <mergeCell ref="A80:M80"/>
    <mergeCell ref="A82:D82"/>
    <mergeCell ref="A83:D83"/>
    <mergeCell ref="A90:M90"/>
    <mergeCell ref="A91:D91"/>
    <mergeCell ref="A92:D92"/>
    <mergeCell ref="A141:D141"/>
    <mergeCell ref="A142:D142"/>
    <mergeCell ref="A143:D143"/>
    <mergeCell ref="A144:D144"/>
    <mergeCell ref="A119:D119"/>
    <mergeCell ref="A120:D120"/>
    <mergeCell ref="A130:D130"/>
    <mergeCell ref="A131:D131"/>
    <mergeCell ref="A132:D132"/>
    <mergeCell ref="A125:D125"/>
    <mergeCell ref="A156:D156"/>
    <mergeCell ref="A157:D157"/>
    <mergeCell ref="A158:D158"/>
    <mergeCell ref="A159:D159"/>
    <mergeCell ref="A145:D145"/>
    <mergeCell ref="A150:D150"/>
    <mergeCell ref="A148:D148"/>
    <mergeCell ref="A149:D149"/>
    <mergeCell ref="A146:D146"/>
    <mergeCell ref="A147:D147"/>
    <mergeCell ref="A151:D151"/>
    <mergeCell ref="A152:D152"/>
    <mergeCell ref="A153:D153"/>
    <mergeCell ref="A154:D154"/>
    <mergeCell ref="A155:D155"/>
    <mergeCell ref="A194:C194"/>
    <mergeCell ref="A162:D162"/>
    <mergeCell ref="A163:D163"/>
    <mergeCell ref="A164:D164"/>
    <mergeCell ref="A181:D181"/>
    <mergeCell ref="A182:D182"/>
    <mergeCell ref="A183:D183"/>
    <mergeCell ref="A167:D167"/>
    <mergeCell ref="A173:D173"/>
    <mergeCell ref="A174:D174"/>
    <mergeCell ref="A175:D175"/>
    <mergeCell ref="A177:D177"/>
    <mergeCell ref="A178:D178"/>
    <mergeCell ref="A179:D179"/>
    <mergeCell ref="D194:M194"/>
    <mergeCell ref="A97:D97"/>
    <mergeCell ref="A94:D94"/>
    <mergeCell ref="A95:D95"/>
    <mergeCell ref="A96:D96"/>
    <mergeCell ref="N199:O199"/>
    <mergeCell ref="A117:M117"/>
    <mergeCell ref="A118:D118"/>
    <mergeCell ref="A128:M128"/>
    <mergeCell ref="A140:M140"/>
    <mergeCell ref="A160:D160"/>
    <mergeCell ref="A161:D161"/>
    <mergeCell ref="A171:K171"/>
    <mergeCell ref="A184:G184"/>
    <mergeCell ref="A129:D129"/>
    <mergeCell ref="A165:D165"/>
    <mergeCell ref="A166:D166"/>
    <mergeCell ref="A187:D187"/>
    <mergeCell ref="A188:D188"/>
    <mergeCell ref="A189:D189"/>
    <mergeCell ref="A168:D168"/>
    <mergeCell ref="A169:D169"/>
    <mergeCell ref="A186:D186"/>
    <mergeCell ref="A190:G190"/>
    <mergeCell ref="A192:M192"/>
    <mergeCell ref="A98:D98"/>
    <mergeCell ref="A110:D110"/>
    <mergeCell ref="H114:I114"/>
    <mergeCell ref="H115:I115"/>
    <mergeCell ref="H113:I113"/>
    <mergeCell ref="A121:D121"/>
    <mergeCell ref="A123:N123"/>
    <mergeCell ref="A124:D124"/>
    <mergeCell ref="H124:I124"/>
    <mergeCell ref="A101:M101"/>
    <mergeCell ref="A102:D102"/>
    <mergeCell ref="A103:D103"/>
    <mergeCell ref="A115:D115"/>
    <mergeCell ref="A104:D104"/>
    <mergeCell ref="A105:D105"/>
    <mergeCell ref="A106:D106"/>
    <mergeCell ref="A109:D109"/>
    <mergeCell ref="A114:D114"/>
    <mergeCell ref="A107:D107"/>
    <mergeCell ref="A108:D108"/>
    <mergeCell ref="A112:M112"/>
    <mergeCell ref="A113:D113"/>
    <mergeCell ref="H125:I125"/>
    <mergeCell ref="A126:D126"/>
    <mergeCell ref="H126:I126"/>
    <mergeCell ref="A133:D133"/>
    <mergeCell ref="A134:D134"/>
    <mergeCell ref="A135:D135"/>
    <mergeCell ref="A136:D136"/>
    <mergeCell ref="A137:D137"/>
    <mergeCell ref="A138:D138"/>
  </mergeCells>
  <pageMargins left="0.51181102362204722" right="0.31496062992125984" top="0.15748031496062992" bottom="0.3937007874015748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C00000"/>
  </sheetPr>
  <dimension ref="A1:R213"/>
  <sheetViews>
    <sheetView view="pageBreakPreview" topLeftCell="A4" zoomScale="60" zoomScaleNormal="80" workbookViewId="0">
      <selection activeCell="L212" sqref="L212"/>
    </sheetView>
  </sheetViews>
  <sheetFormatPr defaultRowHeight="14.4"/>
  <cols>
    <col min="1" max="1" width="10.44140625" customWidth="1"/>
    <col min="2" max="3" width="4.88671875" customWidth="1"/>
    <col min="4" max="4" width="11.33203125" customWidth="1"/>
    <col min="5" max="5" width="11.44140625" customWidth="1"/>
    <col min="6" max="6" width="11.109375" customWidth="1"/>
    <col min="7" max="7" width="12.33203125" customWidth="1"/>
    <col min="8" max="8" width="13" customWidth="1"/>
    <col min="9" max="9" width="10.109375" customWidth="1"/>
    <col min="10" max="10" width="11.6640625" customWidth="1"/>
    <col min="11" max="11" width="12.33203125" customWidth="1"/>
    <col min="12" max="12" width="12.5546875" customWidth="1"/>
    <col min="13" max="13" width="11.109375" customWidth="1"/>
    <col min="14" max="14" width="10.109375" bestFit="1" customWidth="1"/>
    <col min="16" max="16" width="11.33203125" customWidth="1"/>
  </cols>
  <sheetData>
    <row r="1" spans="1:15" hidden="1"/>
    <row r="2" spans="1:15" ht="15.6" hidden="1">
      <c r="A2" s="289"/>
      <c r="B2" s="289"/>
      <c r="C2" s="289"/>
      <c r="D2" s="289"/>
      <c r="E2" s="289"/>
      <c r="F2" s="289"/>
      <c r="G2" s="289"/>
    </row>
    <row r="3" spans="1:15" ht="15.75" hidden="1" customHeight="1">
      <c r="A3" s="289"/>
      <c r="B3" s="289"/>
      <c r="C3" s="40"/>
      <c r="D3" s="40"/>
      <c r="E3" s="85"/>
      <c r="F3" s="40"/>
      <c r="G3" s="40"/>
    </row>
    <row r="4" spans="1:15" ht="27.75" customHeight="1">
      <c r="A4" s="290"/>
      <c r="B4" s="290"/>
      <c r="C4" s="290"/>
      <c r="D4" s="101"/>
      <c r="E4" s="290"/>
      <c r="F4" s="290"/>
      <c r="G4" s="42"/>
      <c r="H4" s="301"/>
      <c r="I4" s="288"/>
      <c r="J4" s="288"/>
      <c r="K4" s="288"/>
      <c r="L4" s="105"/>
      <c r="O4" s="156">
        <v>1.4E-3</v>
      </c>
    </row>
    <row r="5" spans="1:15" ht="7.5" customHeight="1">
      <c r="A5" s="3"/>
      <c r="B5" s="3"/>
      <c r="C5" s="3"/>
      <c r="D5" s="84"/>
      <c r="E5" s="3"/>
      <c r="F5" s="3"/>
      <c r="G5" s="84"/>
    </row>
    <row r="6" spans="1:15">
      <c r="A6" s="86"/>
      <c r="B6" s="86"/>
      <c r="C6" s="86"/>
      <c r="D6" s="86"/>
      <c r="E6" s="86"/>
      <c r="F6" s="86"/>
      <c r="G6" s="86"/>
    </row>
    <row r="7" spans="1:15" ht="15.6">
      <c r="A7" s="286" t="s">
        <v>118</v>
      </c>
      <c r="B7" s="287"/>
      <c r="C7" s="287"/>
      <c r="D7" s="287"/>
      <c r="E7" s="287"/>
      <c r="F7" s="287"/>
      <c r="G7" s="288"/>
      <c r="H7" s="288"/>
      <c r="I7" s="288"/>
      <c r="J7" s="288"/>
      <c r="K7" s="288"/>
      <c r="L7" s="288"/>
      <c r="M7" s="288"/>
    </row>
    <row r="8" spans="1:15" ht="15.6">
      <c r="A8" s="286" t="s">
        <v>152</v>
      </c>
      <c r="B8" s="287"/>
      <c r="C8" s="287"/>
      <c r="D8" s="287"/>
      <c r="E8" s="287"/>
      <c r="F8" s="287"/>
      <c r="G8" s="288"/>
      <c r="H8" s="288"/>
      <c r="I8" s="288"/>
      <c r="J8" s="288"/>
      <c r="K8" s="288"/>
      <c r="L8" s="288"/>
      <c r="M8" s="288"/>
    </row>
    <row r="9" spans="1:15" ht="12" customHeight="1"/>
    <row r="10" spans="1:15" ht="7.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5" ht="15.6">
      <c r="A11" s="7" t="s">
        <v>125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5" ht="17.25" customHeight="1">
      <c r="A12" s="281" t="s">
        <v>103</v>
      </c>
      <c r="B12" s="282"/>
      <c r="C12" s="282"/>
      <c r="D12" s="282"/>
      <c r="E12" s="282"/>
      <c r="F12" s="282"/>
      <c r="G12" s="282"/>
      <c r="H12" s="282"/>
      <c r="I12" s="282"/>
      <c r="J12" s="282"/>
      <c r="K12" s="282"/>
      <c r="L12" s="282"/>
      <c r="M12" s="282"/>
    </row>
    <row r="13" spans="1:15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5" ht="15.6">
      <c r="A14" s="7" t="s">
        <v>102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5" ht="15.6">
      <c r="A15" s="7" t="s">
        <v>148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5" ht="51.75" customHeight="1">
      <c r="A16" s="208" t="s">
        <v>66</v>
      </c>
      <c r="B16" s="208"/>
      <c r="C16" s="208"/>
      <c r="D16" s="208"/>
      <c r="E16" s="208"/>
      <c r="F16" s="8" t="s">
        <v>65</v>
      </c>
      <c r="G16" s="208" t="s">
        <v>67</v>
      </c>
      <c r="H16" s="208"/>
      <c r="I16" s="208"/>
      <c r="J16" s="208"/>
      <c r="K16" s="208"/>
      <c r="L16" s="8" t="s">
        <v>65</v>
      </c>
      <c r="N16" s="115"/>
    </row>
    <row r="17" spans="1:12">
      <c r="A17" s="273" t="s">
        <v>86</v>
      </c>
      <c r="B17" s="273"/>
      <c r="C17" s="273"/>
      <c r="D17" s="273"/>
      <c r="E17" s="273"/>
      <c r="F17" s="107">
        <f>5*0.14%</f>
        <v>7.000000000000001E-3</v>
      </c>
      <c r="G17" s="278" t="s">
        <v>1</v>
      </c>
      <c r="H17" s="278"/>
      <c r="I17" s="278"/>
      <c r="J17" s="278"/>
      <c r="K17" s="278"/>
      <c r="L17" s="148">
        <f>1*0.14%</f>
        <v>1.4000000000000002E-3</v>
      </c>
    </row>
    <row r="18" spans="1:12">
      <c r="A18" s="273" t="s">
        <v>87</v>
      </c>
      <c r="B18" s="273"/>
      <c r="C18" s="273"/>
      <c r="D18" s="273"/>
      <c r="E18" s="273"/>
      <c r="F18" s="107">
        <f>10.6*0.14%</f>
        <v>1.4840000000000002E-2</v>
      </c>
      <c r="G18" s="239" t="s">
        <v>88</v>
      </c>
      <c r="H18" s="240"/>
      <c r="I18" s="240"/>
      <c r="J18" s="240"/>
      <c r="K18" s="241"/>
      <c r="L18" s="148">
        <f>3*0.14%</f>
        <v>4.2000000000000006E-3</v>
      </c>
    </row>
    <row r="19" spans="1:12">
      <c r="A19" s="239" t="s">
        <v>100</v>
      </c>
      <c r="B19" s="240"/>
      <c r="C19" s="240"/>
      <c r="D19" s="240"/>
      <c r="E19" s="255"/>
      <c r="F19" s="107">
        <f>6.5*0.14%</f>
        <v>9.1000000000000004E-3</v>
      </c>
      <c r="G19" s="273" t="s">
        <v>89</v>
      </c>
      <c r="H19" s="273"/>
      <c r="I19" s="273"/>
      <c r="J19" s="273"/>
      <c r="K19" s="273"/>
      <c r="L19" s="148">
        <f>1*0.14%</f>
        <v>1.4000000000000002E-3</v>
      </c>
    </row>
    <row r="20" spans="1:12">
      <c r="A20" s="273"/>
      <c r="B20" s="273"/>
      <c r="C20" s="273"/>
      <c r="D20" s="273"/>
      <c r="E20" s="273"/>
      <c r="F20" s="98"/>
      <c r="G20" s="270" t="s">
        <v>72</v>
      </c>
      <c r="H20" s="271"/>
      <c r="I20" s="271"/>
      <c r="J20" s="271"/>
      <c r="K20" s="272"/>
      <c r="L20" s="148">
        <f>1*0.14%</f>
        <v>1.4000000000000002E-3</v>
      </c>
    </row>
    <row r="21" spans="1:12" ht="15" customHeight="1">
      <c r="A21" s="273"/>
      <c r="B21" s="273"/>
      <c r="C21" s="273"/>
      <c r="D21" s="273"/>
      <c r="E21" s="273"/>
      <c r="F21" s="98"/>
      <c r="G21" s="283" t="s">
        <v>70</v>
      </c>
      <c r="H21" s="284"/>
      <c r="I21" s="284"/>
      <c r="J21" s="284"/>
      <c r="K21" s="285"/>
      <c r="L21" s="148">
        <f>1*0.14%</f>
        <v>1.4000000000000002E-3</v>
      </c>
    </row>
    <row r="22" spans="1:12" ht="15" customHeight="1">
      <c r="A22" s="273"/>
      <c r="B22" s="273"/>
      <c r="C22" s="273"/>
      <c r="D22" s="273"/>
      <c r="E22" s="273"/>
      <c r="F22" s="98"/>
      <c r="G22" s="198" t="s">
        <v>90</v>
      </c>
      <c r="H22" s="199"/>
      <c r="I22" s="199"/>
      <c r="J22" s="199"/>
      <c r="K22" s="218"/>
      <c r="L22" s="148">
        <f>0.5*0.14%</f>
        <v>7.000000000000001E-4</v>
      </c>
    </row>
    <row r="23" spans="1:12" ht="14.4" customHeight="1">
      <c r="A23" s="273"/>
      <c r="B23" s="273"/>
      <c r="C23" s="273"/>
      <c r="D23" s="273"/>
      <c r="E23" s="273"/>
      <c r="F23" s="98"/>
      <c r="G23" s="283" t="s">
        <v>91</v>
      </c>
      <c r="H23" s="284"/>
      <c r="I23" s="284"/>
      <c r="J23" s="284"/>
      <c r="K23" s="285"/>
      <c r="L23" s="148">
        <f>1*0.14%</f>
        <v>1.4000000000000002E-3</v>
      </c>
    </row>
    <row r="24" spans="1:12" ht="28.2" customHeight="1">
      <c r="A24" s="239"/>
      <c r="B24" s="240"/>
      <c r="C24" s="240"/>
      <c r="D24" s="240"/>
      <c r="E24" s="241"/>
      <c r="F24" s="98"/>
      <c r="G24" s="283" t="s">
        <v>129</v>
      </c>
      <c r="H24" s="284"/>
      <c r="I24" s="284"/>
      <c r="J24" s="284"/>
      <c r="K24" s="285"/>
      <c r="L24" s="148">
        <f>1*0.14%</f>
        <v>1.4000000000000002E-3</v>
      </c>
    </row>
    <row r="25" spans="1:12" ht="14.4" customHeight="1">
      <c r="A25" s="239"/>
      <c r="B25" s="240"/>
      <c r="C25" s="240"/>
      <c r="D25" s="240"/>
      <c r="E25" s="241"/>
      <c r="F25" s="99"/>
      <c r="G25" s="283" t="s">
        <v>130</v>
      </c>
      <c r="H25" s="284"/>
      <c r="I25" s="284"/>
      <c r="J25" s="284"/>
      <c r="K25" s="285"/>
      <c r="L25" s="148">
        <f>1*0.14%</f>
        <v>1.4000000000000002E-3</v>
      </c>
    </row>
    <row r="26" spans="1:12" ht="15.75" customHeight="1">
      <c r="A26" s="239"/>
      <c r="B26" s="240"/>
      <c r="C26" s="240"/>
      <c r="D26" s="240"/>
      <c r="E26" s="241"/>
      <c r="F26" s="99"/>
      <c r="G26" s="292" t="s">
        <v>92</v>
      </c>
      <c r="H26" s="293"/>
      <c r="I26" s="293"/>
      <c r="J26" s="293"/>
      <c r="K26" s="294"/>
      <c r="L26" s="148">
        <f>2*0.14%</f>
        <v>2.8000000000000004E-3</v>
      </c>
    </row>
    <row r="27" spans="1:12" ht="15.75" customHeight="1">
      <c r="A27" s="239"/>
      <c r="B27" s="240"/>
      <c r="C27" s="240"/>
      <c r="D27" s="240"/>
      <c r="E27" s="241"/>
      <c r="F27" s="99"/>
      <c r="G27" s="283" t="s">
        <v>71</v>
      </c>
      <c r="H27" s="284"/>
      <c r="I27" s="284"/>
      <c r="J27" s="284"/>
      <c r="K27" s="285"/>
      <c r="L27" s="148">
        <f>1*0.14%</f>
        <v>1.4000000000000002E-3</v>
      </c>
    </row>
    <row r="28" spans="1:12" ht="15" customHeight="1">
      <c r="A28" s="291"/>
      <c r="B28" s="291"/>
      <c r="C28" s="291"/>
      <c r="D28" s="291"/>
      <c r="E28" s="291"/>
      <c r="F28" s="99"/>
      <c r="G28" s="198" t="s">
        <v>93</v>
      </c>
      <c r="H28" s="199"/>
      <c r="I28" s="199"/>
      <c r="J28" s="199"/>
      <c r="K28" s="218"/>
      <c r="L28" s="148">
        <f>4.75*0.14%</f>
        <v>6.6500000000000014E-3</v>
      </c>
    </row>
    <row r="29" spans="1:12" ht="15.75" customHeight="1">
      <c r="A29" s="291"/>
      <c r="B29" s="291"/>
      <c r="C29" s="291"/>
      <c r="D29" s="291"/>
      <c r="E29" s="291"/>
      <c r="F29" s="99"/>
      <c r="G29" s="198" t="s">
        <v>127</v>
      </c>
      <c r="H29" s="199"/>
      <c r="I29" s="199"/>
      <c r="J29" s="199"/>
      <c r="K29" s="218"/>
      <c r="L29" s="148">
        <f>3.5*0.14%</f>
        <v>4.9000000000000007E-3</v>
      </c>
    </row>
    <row r="30" spans="1:12">
      <c r="A30" s="244"/>
      <c r="B30" s="244"/>
      <c r="C30" s="244"/>
      <c r="D30" s="244"/>
      <c r="E30" s="244"/>
      <c r="F30" s="39"/>
      <c r="G30" s="198" t="s">
        <v>94</v>
      </c>
      <c r="H30" s="199"/>
      <c r="I30" s="199"/>
      <c r="J30" s="199"/>
      <c r="K30" s="218"/>
      <c r="L30" s="148">
        <f>2*0.14%</f>
        <v>2.8000000000000004E-3</v>
      </c>
    </row>
    <row r="31" spans="1:12" ht="14.4" customHeight="1">
      <c r="A31" s="244"/>
      <c r="B31" s="244"/>
      <c r="C31" s="244"/>
      <c r="D31" s="244"/>
      <c r="E31" s="244"/>
      <c r="F31" s="39"/>
      <c r="G31" s="198" t="s">
        <v>95</v>
      </c>
      <c r="H31" s="199"/>
      <c r="I31" s="199"/>
      <c r="J31" s="199"/>
      <c r="K31" s="218"/>
      <c r="L31" s="148">
        <f>0.5*0.14%</f>
        <v>7.000000000000001E-4</v>
      </c>
    </row>
    <row r="32" spans="1:12" ht="12.75" customHeight="1">
      <c r="A32" s="244"/>
      <c r="B32" s="244"/>
      <c r="C32" s="244"/>
      <c r="D32" s="244"/>
      <c r="E32" s="244"/>
      <c r="F32" s="39"/>
      <c r="G32" s="198" t="s">
        <v>96</v>
      </c>
      <c r="H32" s="199"/>
      <c r="I32" s="199"/>
      <c r="J32" s="199"/>
      <c r="K32" s="218"/>
      <c r="L32" s="148">
        <f>0.5*0.14%</f>
        <v>7.000000000000001E-4</v>
      </c>
    </row>
    <row r="33" spans="1:14" ht="15" customHeight="1">
      <c r="A33" s="244"/>
      <c r="B33" s="244"/>
      <c r="C33" s="244"/>
      <c r="D33" s="244"/>
      <c r="E33" s="244"/>
      <c r="F33" s="39"/>
      <c r="G33" s="198" t="s">
        <v>97</v>
      </c>
      <c r="H33" s="199"/>
      <c r="I33" s="199"/>
      <c r="J33" s="199"/>
      <c r="K33" s="218"/>
      <c r="L33" s="148">
        <f>11*0.14%</f>
        <v>1.5400000000000002E-2</v>
      </c>
    </row>
    <row r="34" spans="1:14">
      <c r="A34" s="245"/>
      <c r="B34" s="246"/>
      <c r="C34" s="246"/>
      <c r="D34" s="246"/>
      <c r="E34" s="247"/>
      <c r="F34" s="39"/>
      <c r="G34" s="239" t="s">
        <v>128</v>
      </c>
      <c r="H34" s="240"/>
      <c r="I34" s="240"/>
      <c r="J34" s="240"/>
      <c r="K34" s="241"/>
      <c r="L34" s="148">
        <f>2*0.14%</f>
        <v>2.8000000000000004E-3</v>
      </c>
    </row>
    <row r="35" spans="1:14" ht="15" customHeight="1">
      <c r="A35" s="245"/>
      <c r="B35" s="246"/>
      <c r="C35" s="246"/>
      <c r="D35" s="246"/>
      <c r="E35" s="247"/>
      <c r="F35" s="39"/>
      <c r="G35" s="239" t="s">
        <v>98</v>
      </c>
      <c r="H35" s="240"/>
      <c r="I35" s="240"/>
      <c r="J35" s="240"/>
      <c r="K35" s="241"/>
      <c r="L35" s="148">
        <f>1*0.14%</f>
        <v>1.4000000000000002E-3</v>
      </c>
    </row>
    <row r="36" spans="1:14" ht="15" customHeight="1">
      <c r="A36" s="245"/>
      <c r="B36" s="246"/>
      <c r="C36" s="246"/>
      <c r="D36" s="246"/>
      <c r="E36" s="247"/>
      <c r="F36" s="39"/>
      <c r="G36" s="239" t="s">
        <v>99</v>
      </c>
      <c r="H36" s="240"/>
      <c r="I36" s="240"/>
      <c r="J36" s="240"/>
      <c r="K36" s="254"/>
      <c r="L36" s="148">
        <f>1*0.14%</f>
        <v>1.4000000000000002E-3</v>
      </c>
    </row>
    <row r="37" spans="1:14" ht="15" customHeight="1">
      <c r="A37" s="245"/>
      <c r="B37" s="246"/>
      <c r="C37" s="246"/>
      <c r="D37" s="246"/>
      <c r="E37" s="247"/>
      <c r="F37" s="39"/>
      <c r="G37" s="239" t="s">
        <v>146</v>
      </c>
      <c r="H37" s="240"/>
      <c r="I37" s="240"/>
      <c r="J37" s="240"/>
      <c r="K37" s="255"/>
      <c r="L37" s="148">
        <f>0.5*0.14%</f>
        <v>7.000000000000001E-4</v>
      </c>
      <c r="M37" s="116"/>
    </row>
    <row r="38" spans="1:14" ht="15" customHeight="1">
      <c r="A38" s="264" t="s">
        <v>2</v>
      </c>
      <c r="B38" s="264"/>
      <c r="C38" s="264"/>
      <c r="D38" s="264"/>
      <c r="E38" s="264"/>
      <c r="F38" s="114">
        <f>SUM(F17:F37)</f>
        <v>3.0940000000000006E-2</v>
      </c>
      <c r="G38" s="242" t="s">
        <v>2</v>
      </c>
      <c r="H38" s="242"/>
      <c r="I38" s="242"/>
      <c r="J38" s="242"/>
      <c r="K38" s="242"/>
      <c r="L38" s="113">
        <f>SUM(L17:L37)</f>
        <v>5.6350000000000004E-2</v>
      </c>
      <c r="N38" s="115">
        <f>L38+F38+'Услуга №2'!F40+'Услуга №2'!M40+'Работа №1'!F40+'Работа №1'!M40+'Работа №2'!F40+'Работа №2'!M40+'Работа №3'!F40+'Работа №3'!M40+'Работа №4'!F40+'Работа №4'!M40</f>
        <v>8.7290000000000006E-2</v>
      </c>
    </row>
    <row r="39" spans="1:14" ht="98.25" hidden="1" customHeight="1">
      <c r="A39" s="264" t="s">
        <v>2</v>
      </c>
      <c r="B39" s="264"/>
      <c r="C39" s="264"/>
      <c r="D39" s="264"/>
      <c r="E39" s="68">
        <f>SUM(E17:E28)</f>
        <v>0</v>
      </c>
      <c r="F39" s="138"/>
      <c r="G39" s="274" t="s">
        <v>2</v>
      </c>
      <c r="H39" s="274"/>
      <c r="I39" s="274"/>
      <c r="J39" s="274"/>
      <c r="K39" s="274"/>
      <c r="L39" s="274"/>
      <c r="M39" s="274"/>
    </row>
    <row r="40" spans="1:14" hidden="1">
      <c r="A40" s="226" t="s">
        <v>15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295" t="s">
        <v>6</v>
      </c>
      <c r="B42" s="295"/>
      <c r="C42" s="295"/>
      <c r="D42" s="295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296">
        <v>1</v>
      </c>
      <c r="B43" s="297"/>
      <c r="C43" s="297"/>
      <c r="D43" s="297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279" t="s">
        <v>39</v>
      </c>
      <c r="B44" s="279"/>
      <c r="C44" s="279"/>
      <c r="D44" s="279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279" t="s">
        <v>40</v>
      </c>
      <c r="B45" s="279"/>
      <c r="C45" s="279"/>
      <c r="D45" s="279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279" t="s">
        <v>41</v>
      </c>
      <c r="B46" s="279"/>
      <c r="C46" s="279"/>
      <c r="D46" s="279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279"/>
      <c r="B47" s="279"/>
      <c r="C47" s="279"/>
      <c r="D47" s="279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279"/>
      <c r="B48" s="279"/>
      <c r="C48" s="279"/>
      <c r="D48" s="279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249"/>
      <c r="B49" s="250"/>
      <c r="C49" s="250"/>
      <c r="D49" s="250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249"/>
      <c r="B50" s="250"/>
      <c r="C50" s="250"/>
      <c r="D50" s="250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249"/>
      <c r="B51" s="250"/>
      <c r="C51" s="250"/>
      <c r="D51" s="250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249"/>
      <c r="B52" s="250"/>
      <c r="C52" s="250"/>
      <c r="D52" s="250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249"/>
      <c r="B53" s="250"/>
      <c r="C53" s="250"/>
      <c r="D53" s="250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256"/>
      <c r="B54" s="257"/>
      <c r="C54" s="257"/>
      <c r="D54" s="257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256"/>
      <c r="B55" s="257"/>
      <c r="C55" s="257"/>
      <c r="D55" s="257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256"/>
      <c r="B56" s="257"/>
      <c r="C56" s="257"/>
      <c r="D56" s="257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256"/>
      <c r="B57" s="257"/>
      <c r="C57" s="257"/>
      <c r="D57" s="257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256"/>
      <c r="B58" s="257"/>
      <c r="C58" s="257"/>
      <c r="D58" s="257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256"/>
      <c r="B59" s="257"/>
      <c r="C59" s="257"/>
      <c r="D59" s="257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256"/>
      <c r="B60" s="257"/>
      <c r="C60" s="257"/>
      <c r="D60" s="257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256"/>
      <c r="B61" s="257"/>
      <c r="C61" s="257"/>
      <c r="D61" s="257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48" t="s">
        <v>59</v>
      </c>
      <c r="B62" s="248"/>
      <c r="C62" s="248"/>
      <c r="D62" s="24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61" t="s">
        <v>14</v>
      </c>
      <c r="B63" s="262"/>
      <c r="C63" s="262"/>
      <c r="D63" s="262"/>
      <c r="E63" s="262"/>
      <c r="F63" s="262"/>
      <c r="G63" s="262"/>
      <c r="H63" s="262"/>
      <c r="I63" s="262"/>
      <c r="J63" s="262"/>
      <c r="K63" s="263"/>
      <c r="L63" s="137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14" t="s">
        <v>76</v>
      </c>
      <c r="B66" s="214"/>
      <c r="C66" s="214"/>
      <c r="D66" s="214"/>
      <c r="E66" s="214"/>
      <c r="F66" s="214"/>
      <c r="G66" s="214"/>
      <c r="H66" s="214"/>
      <c r="I66" s="214"/>
      <c r="J66" s="214"/>
      <c r="K66" s="214"/>
      <c r="L66" s="214"/>
      <c r="M66" s="214"/>
    </row>
    <row r="67" spans="1:14" ht="69.599999999999994">
      <c r="A67" s="220" t="s">
        <v>3</v>
      </c>
      <c r="B67" s="220"/>
      <c r="C67" s="220"/>
      <c r="D67" s="220"/>
      <c r="E67" s="8" t="s">
        <v>4</v>
      </c>
      <c r="F67" s="9" t="s">
        <v>0</v>
      </c>
      <c r="G67" s="33" t="s">
        <v>52</v>
      </c>
      <c r="H67" s="33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21">
        <v>1</v>
      </c>
      <c r="B68" s="222"/>
      <c r="C68" s="222"/>
      <c r="D68" s="222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4">
        <v>7</v>
      </c>
      <c r="K68" s="35">
        <v>8</v>
      </c>
      <c r="L68" s="108"/>
      <c r="M68" s="27"/>
    </row>
    <row r="69" spans="1:14" ht="40.200000000000003" customHeight="1" thickBot="1">
      <c r="A69" s="223" t="s">
        <v>66</v>
      </c>
      <c r="B69" s="223"/>
      <c r="C69" s="223"/>
      <c r="D69" s="223"/>
      <c r="E69" s="36">
        <f>G69/12/F69</f>
        <v>34372.833333333336</v>
      </c>
      <c r="F69" s="36">
        <v>0.03</v>
      </c>
      <c r="G69" s="124">
        <v>12374.22</v>
      </c>
      <c r="H69" s="36">
        <v>16111.23</v>
      </c>
      <c r="I69" s="43">
        <v>1</v>
      </c>
      <c r="J69" s="36">
        <f>H69/I69</f>
        <v>16111.23</v>
      </c>
      <c r="K69" s="146">
        <f>H69/11508021.17*100</f>
        <v>0.14000000314563202</v>
      </c>
      <c r="L69" s="109"/>
      <c r="M69" s="15"/>
    </row>
    <row r="70" spans="1:14" ht="15" thickBot="1">
      <c r="A70" s="258" t="s">
        <v>47</v>
      </c>
      <c r="B70" s="258"/>
      <c r="C70" s="258"/>
      <c r="D70" s="258"/>
      <c r="E70" s="61"/>
      <c r="F70" s="168"/>
      <c r="G70" s="168"/>
      <c r="H70" s="65">
        <f>H69</f>
        <v>16111.23</v>
      </c>
      <c r="I70" s="46"/>
      <c r="J70" s="62">
        <f>J69</f>
        <v>16111.23</v>
      </c>
      <c r="K70" s="44"/>
      <c r="L70" s="44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205" t="s">
        <v>85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</row>
    <row r="74" spans="1:14" ht="73.5" customHeight="1">
      <c r="A74" s="220" t="s">
        <v>17</v>
      </c>
      <c r="B74" s="220"/>
      <c r="C74" s="220"/>
      <c r="D74" s="220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5"/>
    </row>
    <row r="75" spans="1:14" ht="18.75" customHeight="1">
      <c r="A75" s="259">
        <v>1</v>
      </c>
      <c r="B75" s="260"/>
      <c r="C75" s="260"/>
      <c r="D75" s="260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243" t="s">
        <v>51</v>
      </c>
      <c r="B76" s="243"/>
      <c r="C76" s="243"/>
      <c r="D76" s="243"/>
      <c r="E76" s="29">
        <v>5</v>
      </c>
      <c r="F76" s="28">
        <f>12</f>
        <v>12</v>
      </c>
      <c r="G76" s="36">
        <f>H76/F76</f>
        <v>1.2133333333333334</v>
      </c>
      <c r="H76" s="124">
        <f>10400*O4</f>
        <v>14.56</v>
      </c>
      <c r="I76" s="43">
        <v>1</v>
      </c>
      <c r="J76" s="36">
        <f>H76/I76</f>
        <v>14.56</v>
      </c>
      <c r="K76" s="10"/>
      <c r="L76" s="10"/>
      <c r="M76" s="10"/>
      <c r="N76" s="16"/>
    </row>
    <row r="77" spans="1:14" ht="15" thickBot="1">
      <c r="A77" s="243" t="s">
        <v>60</v>
      </c>
      <c r="B77" s="243"/>
      <c r="C77" s="243"/>
      <c r="D77" s="243"/>
      <c r="E77" s="29">
        <v>1</v>
      </c>
      <c r="F77" s="28">
        <f>12</f>
        <v>12</v>
      </c>
      <c r="G77" s="36">
        <f>H77/F77</f>
        <v>4.7774999999999999</v>
      </c>
      <c r="H77" s="124">
        <f>40950*O4</f>
        <v>57.33</v>
      </c>
      <c r="I77" s="43">
        <v>1</v>
      </c>
      <c r="J77" s="36">
        <f>H77/I77</f>
        <v>57.33</v>
      </c>
      <c r="K77" s="10"/>
      <c r="L77" s="10"/>
      <c r="M77" s="10"/>
      <c r="N77" s="10"/>
    </row>
    <row r="78" spans="1:14" ht="15" thickBot="1">
      <c r="A78" s="252" t="s">
        <v>25</v>
      </c>
      <c r="B78" s="253"/>
      <c r="C78" s="253"/>
      <c r="D78" s="253"/>
      <c r="E78" s="52"/>
      <c r="F78" s="52"/>
      <c r="G78" s="52"/>
      <c r="H78" s="65">
        <f>SUM(H76:H77)</f>
        <v>71.89</v>
      </c>
      <c r="I78" s="46"/>
      <c r="J78" s="53">
        <f>SUM(J76:J77)</f>
        <v>71.89</v>
      </c>
      <c r="K78" s="10"/>
      <c r="L78" s="10"/>
      <c r="M78" s="10"/>
      <c r="N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205" t="s">
        <v>16</v>
      </c>
      <c r="B80" s="205"/>
      <c r="C80" s="205"/>
      <c r="D80" s="205"/>
      <c r="E80" s="205"/>
      <c r="F80" s="205"/>
      <c r="G80" s="205"/>
      <c r="H80" s="205"/>
      <c r="I80" s="205"/>
      <c r="J80" s="205"/>
      <c r="K80" s="205"/>
      <c r="L80" s="205"/>
      <c r="M80" s="205"/>
    </row>
    <row r="81" spans="1:17" ht="73.5" customHeight="1">
      <c r="A81" s="220" t="s">
        <v>17</v>
      </c>
      <c r="B81" s="220"/>
      <c r="C81" s="220"/>
      <c r="D81" s="220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7" ht="18.75" customHeight="1">
      <c r="A82" s="259">
        <v>1</v>
      </c>
      <c r="B82" s="260"/>
      <c r="C82" s="260"/>
      <c r="D82" s="260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7">
      <c r="A83" s="243" t="s">
        <v>19</v>
      </c>
      <c r="B83" s="243"/>
      <c r="C83" s="243"/>
      <c r="D83" s="243"/>
      <c r="E83" s="29" t="s">
        <v>22</v>
      </c>
      <c r="F83" s="28">
        <f>H83/G83</f>
        <v>9.9090830216766901E-2</v>
      </c>
      <c r="G83" s="153">
        <v>6569.73</v>
      </c>
      <c r="H83" s="124">
        <f>465000*O4</f>
        <v>651</v>
      </c>
      <c r="I83" s="43">
        <v>1</v>
      </c>
      <c r="J83" s="36">
        <f t="shared" ref="J83:J87" si="2">H83/I83</f>
        <v>651</v>
      </c>
      <c r="K83" s="10"/>
      <c r="L83" s="10"/>
      <c r="M83" s="10"/>
      <c r="N83" s="16"/>
    </row>
    <row r="84" spans="1:17">
      <c r="A84" s="243" t="s">
        <v>20</v>
      </c>
      <c r="B84" s="243"/>
      <c r="C84" s="243"/>
      <c r="D84" s="243"/>
      <c r="E84" s="29" t="s">
        <v>23</v>
      </c>
      <c r="F84" s="29">
        <f>H84/G84</f>
        <v>0.94697572587121515</v>
      </c>
      <c r="G84" s="153">
        <v>1768.22</v>
      </c>
      <c r="H84" s="124">
        <f>1196043.87*O4</f>
        <v>1674.4614180000001</v>
      </c>
      <c r="I84" s="43">
        <v>1</v>
      </c>
      <c r="J84" s="36">
        <f t="shared" si="2"/>
        <v>1674.4614180000001</v>
      </c>
      <c r="K84" s="10"/>
      <c r="L84" s="10"/>
      <c r="M84" s="10"/>
      <c r="N84" s="10"/>
    </row>
    <row r="85" spans="1:17">
      <c r="A85" s="243" t="s">
        <v>49</v>
      </c>
      <c r="B85" s="243"/>
      <c r="C85" s="243"/>
      <c r="D85" s="243"/>
      <c r="E85" s="29" t="s">
        <v>24</v>
      </c>
      <c r="F85" s="29">
        <v>3000</v>
      </c>
      <c r="G85" s="153">
        <v>42.84</v>
      </c>
      <c r="H85" s="124">
        <f>147291.76*O4</f>
        <v>206.20846400000002</v>
      </c>
      <c r="I85" s="43">
        <v>1</v>
      </c>
      <c r="J85" s="36">
        <f t="shared" si="2"/>
        <v>206.20846400000002</v>
      </c>
      <c r="K85" s="10"/>
      <c r="L85" s="10"/>
      <c r="M85" s="10"/>
      <c r="N85" s="10"/>
      <c r="P85">
        <f>361800</f>
        <v>361800</v>
      </c>
      <c r="Q85">
        <f>42.84+62.39</f>
        <v>105.23</v>
      </c>
    </row>
    <row r="86" spans="1:17">
      <c r="A86" s="251" t="s">
        <v>21</v>
      </c>
      <c r="B86" s="251"/>
      <c r="C86" s="251"/>
      <c r="D86" s="251"/>
      <c r="E86" s="51" t="s">
        <v>24</v>
      </c>
      <c r="F86" s="29">
        <v>3500</v>
      </c>
      <c r="G86" s="154">
        <v>62.39</v>
      </c>
      <c r="H86" s="124">
        <f>214508.24*O4</f>
        <v>300.31153599999999</v>
      </c>
      <c r="I86" s="43">
        <v>1</v>
      </c>
      <c r="J86" s="45">
        <f t="shared" si="2"/>
        <v>300.31153599999999</v>
      </c>
      <c r="K86" s="10"/>
      <c r="L86" s="10"/>
      <c r="M86" s="10"/>
      <c r="N86" s="10"/>
      <c r="Q86">
        <f>P85/Q85*42.84</f>
        <v>147291.76090468498</v>
      </c>
    </row>
    <row r="87" spans="1:17" ht="15" thickBot="1">
      <c r="A87" s="236" t="s">
        <v>104</v>
      </c>
      <c r="B87" s="237"/>
      <c r="C87" s="237"/>
      <c r="D87" s="238"/>
      <c r="E87" s="49" t="s">
        <v>27</v>
      </c>
      <c r="F87" s="25">
        <v>1</v>
      </c>
      <c r="G87" s="155">
        <v>2625.76</v>
      </c>
      <c r="H87" s="124">
        <f>36456.13*O4</f>
        <v>51.038581999999998</v>
      </c>
      <c r="I87" s="43">
        <v>1</v>
      </c>
      <c r="J87" s="45">
        <f t="shared" si="2"/>
        <v>51.038581999999998</v>
      </c>
      <c r="K87" s="10"/>
      <c r="L87" s="10"/>
      <c r="M87" s="10"/>
      <c r="N87" s="10"/>
    </row>
    <row r="88" spans="1:17" ht="15" thickBot="1">
      <c r="A88" s="252" t="s">
        <v>25</v>
      </c>
      <c r="B88" s="253"/>
      <c r="C88" s="253"/>
      <c r="D88" s="253"/>
      <c r="E88" s="52"/>
      <c r="F88" s="52"/>
      <c r="G88" s="52"/>
      <c r="H88" s="65">
        <f>SUM(H83:H87)</f>
        <v>2883.02</v>
      </c>
      <c r="I88" s="46"/>
      <c r="J88" s="53">
        <f>SUM(J83:J87)</f>
        <v>2883.02</v>
      </c>
      <c r="K88" s="10"/>
      <c r="L88" s="10"/>
      <c r="M88" s="10"/>
      <c r="N88" s="10"/>
    </row>
    <row r="89" spans="1:17" ht="15.75" customHeight="1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10"/>
      <c r="L89" s="10"/>
      <c r="M89" s="10"/>
    </row>
    <row r="90" spans="1:17">
      <c r="A90" s="205" t="s">
        <v>26</v>
      </c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205"/>
    </row>
    <row r="91" spans="1:17" ht="83.4">
      <c r="A91" s="268" t="s">
        <v>28</v>
      </c>
      <c r="B91" s="268"/>
      <c r="C91" s="268"/>
      <c r="D91" s="268"/>
      <c r="E91" s="25" t="s">
        <v>7</v>
      </c>
      <c r="F91" s="25" t="s">
        <v>18</v>
      </c>
      <c r="G91" s="8" t="s">
        <v>48</v>
      </c>
      <c r="H91" s="8" t="s">
        <v>74</v>
      </c>
      <c r="I91" s="8" t="s">
        <v>69</v>
      </c>
      <c r="J91" s="10"/>
      <c r="K91" s="10"/>
      <c r="L91" s="10"/>
    </row>
    <row r="92" spans="1:17" ht="31.2" customHeight="1">
      <c r="A92" s="236" t="s">
        <v>105</v>
      </c>
      <c r="B92" s="237"/>
      <c r="C92" s="237"/>
      <c r="D92" s="238"/>
      <c r="E92" s="49" t="s">
        <v>27</v>
      </c>
      <c r="F92" s="49">
        <v>1</v>
      </c>
      <c r="G92" s="158">
        <f>147940*$O$4</f>
        <v>207.11599999999999</v>
      </c>
      <c r="H92" s="43">
        <v>1</v>
      </c>
      <c r="I92" s="186">
        <f>G92/H92</f>
        <v>207.11599999999999</v>
      </c>
      <c r="J92" s="44"/>
      <c r="K92" s="10"/>
      <c r="L92" s="10"/>
      <c r="M92" s="10"/>
    </row>
    <row r="93" spans="1:17" ht="31.2" customHeight="1">
      <c r="A93" s="236" t="s">
        <v>106</v>
      </c>
      <c r="B93" s="237"/>
      <c r="C93" s="237"/>
      <c r="D93" s="238"/>
      <c r="E93" s="49" t="s">
        <v>27</v>
      </c>
      <c r="F93" s="49">
        <v>1</v>
      </c>
      <c r="G93" s="158">
        <f>107250*$O$4</f>
        <v>150.15</v>
      </c>
      <c r="H93" s="43">
        <v>1</v>
      </c>
      <c r="I93" s="186">
        <f t="shared" ref="I93:I98" si="3">G93/H93</f>
        <v>150.15</v>
      </c>
      <c r="J93" s="44"/>
      <c r="K93" s="10"/>
      <c r="L93" s="10"/>
      <c r="M93" s="10"/>
    </row>
    <row r="94" spans="1:17" ht="31.2" customHeight="1">
      <c r="A94" s="236" t="s">
        <v>107</v>
      </c>
      <c r="B94" s="237"/>
      <c r="C94" s="237"/>
      <c r="D94" s="238"/>
      <c r="E94" s="49" t="s">
        <v>27</v>
      </c>
      <c r="F94" s="49">
        <v>1</v>
      </c>
      <c r="G94" s="158">
        <f>10400*$O$4</f>
        <v>14.56</v>
      </c>
      <c r="H94" s="43">
        <v>1</v>
      </c>
      <c r="I94" s="186">
        <f t="shared" si="3"/>
        <v>14.56</v>
      </c>
      <c r="J94" s="44"/>
      <c r="K94" s="10"/>
      <c r="L94" s="10"/>
      <c r="M94" s="10"/>
    </row>
    <row r="95" spans="1:17" ht="31.2" customHeight="1">
      <c r="A95" s="227" t="s">
        <v>108</v>
      </c>
      <c r="B95" s="228"/>
      <c r="C95" s="228"/>
      <c r="D95" s="269"/>
      <c r="E95" s="49" t="s">
        <v>27</v>
      </c>
      <c r="F95" s="49">
        <v>1</v>
      </c>
      <c r="G95" s="158">
        <f>40000*$O$4</f>
        <v>56</v>
      </c>
      <c r="H95" s="43">
        <v>1</v>
      </c>
      <c r="I95" s="186">
        <f t="shared" si="3"/>
        <v>56</v>
      </c>
      <c r="J95" s="44"/>
      <c r="K95" s="10"/>
      <c r="L95" s="10"/>
      <c r="M95" s="10"/>
    </row>
    <row r="96" spans="1:17" ht="31.2" customHeight="1">
      <c r="A96" s="236" t="s">
        <v>155</v>
      </c>
      <c r="B96" s="237"/>
      <c r="C96" s="237"/>
      <c r="D96" s="238"/>
      <c r="E96" s="49" t="s">
        <v>27</v>
      </c>
      <c r="F96" s="49">
        <v>1</v>
      </c>
      <c r="G96" s="158">
        <f>3000*$O$4</f>
        <v>4.2</v>
      </c>
      <c r="H96" s="43">
        <v>1</v>
      </c>
      <c r="I96" s="186">
        <f>G96/H96</f>
        <v>4.2</v>
      </c>
      <c r="J96" s="44"/>
      <c r="K96" s="15"/>
      <c r="L96" s="15"/>
      <c r="M96" s="15"/>
    </row>
    <row r="97" spans="1:14" ht="31.2" customHeight="1">
      <c r="A97" s="275" t="s">
        <v>131</v>
      </c>
      <c r="B97" s="276"/>
      <c r="C97" s="276"/>
      <c r="D97" s="277"/>
      <c r="E97" s="49" t="s">
        <v>27</v>
      </c>
      <c r="F97" s="49">
        <v>1</v>
      </c>
      <c r="G97" s="158">
        <f>3772*$O$4</f>
        <v>5.2808000000000002</v>
      </c>
      <c r="H97" s="43">
        <v>1</v>
      </c>
      <c r="I97" s="186">
        <f t="shared" si="3"/>
        <v>5.2808000000000002</v>
      </c>
      <c r="J97" s="44"/>
      <c r="K97" s="10"/>
      <c r="L97" s="10"/>
      <c r="M97" s="10"/>
    </row>
    <row r="98" spans="1:14" ht="31.2" customHeight="1" thickBot="1">
      <c r="A98" s="265" t="s">
        <v>156</v>
      </c>
      <c r="B98" s="266"/>
      <c r="C98" s="266"/>
      <c r="D98" s="267"/>
      <c r="E98" s="49" t="s">
        <v>27</v>
      </c>
      <c r="F98" s="49">
        <v>1</v>
      </c>
      <c r="G98" s="158">
        <f>3000*$O$4</f>
        <v>4.2</v>
      </c>
      <c r="H98" s="43">
        <v>1</v>
      </c>
      <c r="I98" s="186">
        <f t="shared" si="3"/>
        <v>4.2</v>
      </c>
      <c r="J98" s="44"/>
      <c r="K98" s="10"/>
      <c r="L98" s="10"/>
      <c r="M98" s="10"/>
    </row>
    <row r="99" spans="1:14" ht="16.2" customHeight="1" thickBot="1">
      <c r="A99" s="132" t="s">
        <v>54</v>
      </c>
      <c r="B99" s="133"/>
      <c r="C99" s="133"/>
      <c r="D99" s="133"/>
      <c r="E99" s="133"/>
      <c r="F99" s="133"/>
      <c r="G99" s="66">
        <f>SUM(G92:G98)</f>
        <v>441.50679999999994</v>
      </c>
      <c r="H99" s="176"/>
      <c r="I99" s="187">
        <f>SUM(I92:I98)</f>
        <v>441.50679999999994</v>
      </c>
      <c r="J99" s="176"/>
      <c r="K99" s="10"/>
      <c r="L99" s="10"/>
      <c r="M99" s="10"/>
      <c r="N99" s="10"/>
    </row>
    <row r="100" spans="1:14" s="75" customFormat="1" ht="16.2" customHeight="1">
      <c r="A100" s="74"/>
      <c r="B100" s="74"/>
      <c r="C100" s="74"/>
      <c r="D100" s="74"/>
      <c r="E100" s="74"/>
      <c r="F100" s="74"/>
      <c r="G100" s="174"/>
      <c r="H100" s="188"/>
      <c r="I100" s="70"/>
      <c r="J100" s="188"/>
      <c r="K100" s="73"/>
      <c r="L100" s="73"/>
      <c r="M100" s="73"/>
      <c r="N100" s="73"/>
    </row>
    <row r="101" spans="1:14" ht="15" customHeight="1">
      <c r="A101" s="205" t="s">
        <v>50</v>
      </c>
      <c r="B101" s="205"/>
      <c r="C101" s="205"/>
      <c r="D101" s="205"/>
      <c r="E101" s="205"/>
      <c r="F101" s="205"/>
      <c r="G101" s="205"/>
      <c r="H101" s="205"/>
      <c r="I101" s="205"/>
      <c r="J101" s="205"/>
      <c r="K101" s="205"/>
      <c r="L101" s="205"/>
      <c r="M101" s="205"/>
    </row>
    <row r="102" spans="1:14" ht="83.4">
      <c r="A102" s="206" t="s">
        <v>28</v>
      </c>
      <c r="B102" s="207"/>
      <c r="C102" s="207"/>
      <c r="D102" s="207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4" ht="44.4" customHeight="1">
      <c r="A103" s="198" t="s">
        <v>157</v>
      </c>
      <c r="B103" s="199"/>
      <c r="C103" s="199"/>
      <c r="D103" s="199"/>
      <c r="E103" s="49" t="s">
        <v>27</v>
      </c>
      <c r="F103" s="49">
        <v>1</v>
      </c>
      <c r="G103" s="158">
        <f>28650*$O$4</f>
        <v>40.11</v>
      </c>
      <c r="H103" s="43">
        <v>1</v>
      </c>
      <c r="I103" s="189">
        <f>G103/H103</f>
        <v>40.11</v>
      </c>
      <c r="J103" s="44"/>
      <c r="K103" s="10"/>
      <c r="L103" s="10"/>
      <c r="M103" s="10"/>
      <c r="N103" s="10"/>
    </row>
    <row r="104" spans="1:14" ht="15" customHeight="1">
      <c r="A104" s="198" t="s">
        <v>109</v>
      </c>
      <c r="B104" s="199"/>
      <c r="C104" s="199"/>
      <c r="D104" s="199"/>
      <c r="E104" s="49" t="s">
        <v>27</v>
      </c>
      <c r="F104" s="49">
        <v>1</v>
      </c>
      <c r="G104" s="158">
        <f>34554*$O$4</f>
        <v>48.375599999999999</v>
      </c>
      <c r="H104" s="43">
        <v>1</v>
      </c>
      <c r="I104" s="189">
        <f t="shared" ref="I104:I109" si="4">G104/H104</f>
        <v>48.375599999999999</v>
      </c>
      <c r="J104" s="44"/>
      <c r="K104" s="10"/>
      <c r="L104" s="10"/>
      <c r="M104" s="10"/>
      <c r="N104" s="10"/>
    </row>
    <row r="105" spans="1:14" ht="29.4" customHeight="1">
      <c r="A105" s="198" t="s">
        <v>110</v>
      </c>
      <c r="B105" s="199"/>
      <c r="C105" s="199"/>
      <c r="D105" s="199"/>
      <c r="E105" s="49" t="s">
        <v>27</v>
      </c>
      <c r="F105" s="49">
        <v>1</v>
      </c>
      <c r="G105" s="158">
        <f>148478*$O$4</f>
        <v>207.86920000000001</v>
      </c>
      <c r="H105" s="43">
        <v>1</v>
      </c>
      <c r="I105" s="189">
        <f t="shared" si="4"/>
        <v>207.86920000000001</v>
      </c>
      <c r="J105" s="44"/>
      <c r="K105" s="10"/>
      <c r="L105" s="10"/>
      <c r="M105" s="10"/>
      <c r="N105" s="10"/>
    </row>
    <row r="106" spans="1:14" ht="27" customHeight="1">
      <c r="A106" s="198" t="s">
        <v>111</v>
      </c>
      <c r="B106" s="199"/>
      <c r="C106" s="199"/>
      <c r="D106" s="199"/>
      <c r="E106" s="49" t="s">
        <v>27</v>
      </c>
      <c r="F106" s="49">
        <v>1</v>
      </c>
      <c r="G106" s="158">
        <f>266828.64*$O$4</f>
        <v>373.56009600000004</v>
      </c>
      <c r="H106" s="43">
        <v>1</v>
      </c>
      <c r="I106" s="189">
        <f t="shared" si="4"/>
        <v>373.56009600000004</v>
      </c>
      <c r="J106" s="44"/>
      <c r="K106" s="10"/>
      <c r="L106" s="10"/>
      <c r="M106" s="10"/>
      <c r="N106" s="10"/>
    </row>
    <row r="107" spans="1:14" ht="18" customHeight="1">
      <c r="A107" s="198" t="s">
        <v>132</v>
      </c>
      <c r="B107" s="199"/>
      <c r="C107" s="199"/>
      <c r="D107" s="199"/>
      <c r="E107" s="49" t="s">
        <v>27</v>
      </c>
      <c r="F107" s="49">
        <v>1</v>
      </c>
      <c r="G107" s="158">
        <f>14847.49*$O$4</f>
        <v>20.786486</v>
      </c>
      <c r="H107" s="43">
        <v>1</v>
      </c>
      <c r="I107" s="189">
        <f t="shared" si="4"/>
        <v>20.786486</v>
      </c>
      <c r="J107" s="44"/>
      <c r="K107" s="10"/>
      <c r="L107" s="10"/>
      <c r="M107" s="10"/>
      <c r="N107" s="10"/>
    </row>
    <row r="108" spans="1:14" ht="18" customHeight="1">
      <c r="A108" s="198" t="s">
        <v>158</v>
      </c>
      <c r="B108" s="199"/>
      <c r="C108" s="199"/>
      <c r="D108" s="199"/>
      <c r="E108" s="49" t="s">
        <v>27</v>
      </c>
      <c r="F108" s="49">
        <v>1</v>
      </c>
      <c r="G108" s="158">
        <f>7000*$O$4</f>
        <v>9.8000000000000007</v>
      </c>
      <c r="H108" s="43">
        <v>1</v>
      </c>
      <c r="I108" s="189">
        <f t="shared" si="4"/>
        <v>9.8000000000000007</v>
      </c>
      <c r="J108" s="44"/>
      <c r="K108" s="10"/>
      <c r="L108" s="10"/>
      <c r="M108" s="10"/>
      <c r="N108" s="10"/>
    </row>
    <row r="109" spans="1:14" ht="42" customHeight="1" thickBot="1">
      <c r="A109" s="198" t="s">
        <v>112</v>
      </c>
      <c r="B109" s="199"/>
      <c r="C109" s="199"/>
      <c r="D109" s="199"/>
      <c r="E109" s="49" t="s">
        <v>27</v>
      </c>
      <c r="F109" s="49">
        <v>1</v>
      </c>
      <c r="G109" s="158">
        <f>8450*$O$4</f>
        <v>11.83</v>
      </c>
      <c r="H109" s="43">
        <v>1</v>
      </c>
      <c r="I109" s="189">
        <f t="shared" si="4"/>
        <v>11.83</v>
      </c>
      <c r="J109" s="44"/>
      <c r="K109" s="10"/>
      <c r="L109" s="10"/>
      <c r="M109" s="10"/>
      <c r="N109" s="10"/>
    </row>
    <row r="110" spans="1:14" ht="20.25" customHeight="1" thickBot="1">
      <c r="A110" s="210" t="s">
        <v>53</v>
      </c>
      <c r="B110" s="211"/>
      <c r="C110" s="211"/>
      <c r="D110" s="211"/>
      <c r="E110" s="87"/>
      <c r="F110" s="48"/>
      <c r="G110" s="65">
        <f>SUM(G103:G109)</f>
        <v>712.33138199999996</v>
      </c>
      <c r="H110" s="44"/>
      <c r="I110" s="187">
        <f>SUM(I103:I109)</f>
        <v>712.33138199999996</v>
      </c>
      <c r="J110" s="44"/>
      <c r="K110" s="32"/>
      <c r="L110" s="32"/>
      <c r="M110" s="32"/>
      <c r="N110" s="10"/>
    </row>
    <row r="111" spans="1:14" s="75" customFormat="1" ht="20.25" customHeight="1">
      <c r="A111" s="76"/>
      <c r="B111" s="76"/>
      <c r="C111" s="76"/>
      <c r="D111" s="76"/>
      <c r="E111" s="76"/>
      <c r="F111" s="122"/>
      <c r="G111" s="70"/>
      <c r="H111" s="71"/>
      <c r="I111" s="70"/>
      <c r="J111" s="71"/>
      <c r="K111" s="74"/>
      <c r="L111" s="74"/>
      <c r="M111" s="74"/>
      <c r="N111" s="73"/>
    </row>
    <row r="112" spans="1:14" ht="15" customHeight="1">
      <c r="A112" s="205" t="s">
        <v>133</v>
      </c>
      <c r="B112" s="205"/>
      <c r="C112" s="205"/>
      <c r="D112" s="205"/>
      <c r="E112" s="205"/>
      <c r="F112" s="205"/>
      <c r="G112" s="205"/>
      <c r="H112" s="205"/>
      <c r="I112" s="205"/>
      <c r="J112" s="205"/>
      <c r="K112" s="205"/>
      <c r="L112" s="205"/>
      <c r="M112" s="205"/>
    </row>
    <row r="113" spans="1:14" ht="55.8" customHeight="1">
      <c r="A113" s="206" t="s">
        <v>28</v>
      </c>
      <c r="B113" s="207"/>
      <c r="C113" s="207"/>
      <c r="D113" s="207"/>
      <c r="E113" s="8" t="s">
        <v>75</v>
      </c>
      <c r="F113" s="8" t="s">
        <v>48</v>
      </c>
      <c r="G113" s="8" t="s">
        <v>74</v>
      </c>
      <c r="H113" s="311" t="s">
        <v>69</v>
      </c>
      <c r="I113" s="312"/>
      <c r="J113" s="10"/>
      <c r="K113" s="10"/>
      <c r="L113" s="10"/>
    </row>
    <row r="114" spans="1:14" ht="43.8" customHeight="1" thickBot="1">
      <c r="A114" s="198" t="s">
        <v>134</v>
      </c>
      <c r="B114" s="199"/>
      <c r="C114" s="199"/>
      <c r="D114" s="199"/>
      <c r="E114" s="49" t="s">
        <v>27</v>
      </c>
      <c r="F114" s="158">
        <f>6950*O4</f>
        <v>9.73</v>
      </c>
      <c r="G114" s="43">
        <v>1</v>
      </c>
      <c r="H114" s="302">
        <f t="shared" ref="H114" si="5">F114/G114</f>
        <v>9.73</v>
      </c>
      <c r="I114" s="302"/>
      <c r="J114" s="44"/>
      <c r="K114" s="10"/>
      <c r="L114" s="10"/>
      <c r="M114" s="10"/>
    </row>
    <row r="115" spans="1:14" ht="20.25" customHeight="1" thickBot="1">
      <c r="A115" s="210" t="s">
        <v>135</v>
      </c>
      <c r="B115" s="211"/>
      <c r="C115" s="211"/>
      <c r="D115" s="211"/>
      <c r="E115" s="48"/>
      <c r="F115" s="65">
        <f>SUM(F114:F114)</f>
        <v>9.73</v>
      </c>
      <c r="G115" s="44"/>
      <c r="H115" s="303">
        <f>SUM(H114:H114)</f>
        <v>9.73</v>
      </c>
      <c r="I115" s="304"/>
      <c r="J115" s="171"/>
      <c r="K115" s="10"/>
      <c r="L115" s="10"/>
      <c r="M115" s="10"/>
    </row>
    <row r="116" spans="1:14" s="75" customFormat="1" ht="20.25" customHeight="1">
      <c r="A116" s="76"/>
      <c r="B116" s="76"/>
      <c r="C116" s="76"/>
      <c r="D116" s="76"/>
      <c r="E116" s="122"/>
      <c r="F116" s="70"/>
      <c r="G116" s="71"/>
      <c r="H116" s="72"/>
      <c r="I116" s="73"/>
      <c r="J116" s="74"/>
      <c r="K116" s="73"/>
      <c r="L116" s="73"/>
    </row>
    <row r="117" spans="1:14" ht="15" customHeight="1">
      <c r="A117" s="205" t="s">
        <v>136</v>
      </c>
      <c r="B117" s="205"/>
      <c r="C117" s="205"/>
      <c r="D117" s="205"/>
      <c r="E117" s="205"/>
      <c r="F117" s="205"/>
      <c r="G117" s="205"/>
      <c r="H117" s="205"/>
      <c r="I117" s="205"/>
      <c r="J117" s="205"/>
      <c r="K117" s="205"/>
      <c r="L117" s="205"/>
      <c r="M117" s="205"/>
    </row>
    <row r="118" spans="1:14" ht="55.8">
      <c r="A118" s="206" t="s">
        <v>28</v>
      </c>
      <c r="B118" s="207"/>
      <c r="C118" s="207"/>
      <c r="D118" s="207"/>
      <c r="E118" s="8" t="s">
        <v>75</v>
      </c>
      <c r="F118" s="8" t="s">
        <v>48</v>
      </c>
      <c r="G118" s="8" t="s">
        <v>74</v>
      </c>
      <c r="H118" s="8" t="s">
        <v>69</v>
      </c>
      <c r="I118" s="10"/>
      <c r="J118" s="10"/>
      <c r="K118" s="10"/>
      <c r="L118" s="10"/>
    </row>
    <row r="119" spans="1:14">
      <c r="A119" s="198" t="s">
        <v>137</v>
      </c>
      <c r="B119" s="199"/>
      <c r="C119" s="199"/>
      <c r="D119" s="199"/>
      <c r="E119" s="49" t="s">
        <v>27</v>
      </c>
      <c r="F119" s="158">
        <f>(54559.87+29190.1)*O4</f>
        <v>117.24995800000001</v>
      </c>
      <c r="G119" s="43">
        <v>1</v>
      </c>
      <c r="H119" s="189">
        <f t="shared" ref="H119:H120" si="6">F119/G119</f>
        <v>117.24995800000001</v>
      </c>
      <c r="I119" s="44"/>
      <c r="J119" s="44"/>
      <c r="K119" s="10"/>
      <c r="L119" s="10"/>
      <c r="M119" s="10"/>
    </row>
    <row r="120" spans="1:14" ht="15" thickBot="1">
      <c r="A120" s="198" t="s">
        <v>159</v>
      </c>
      <c r="B120" s="199"/>
      <c r="C120" s="199"/>
      <c r="D120" s="199"/>
      <c r="E120" s="49" t="s">
        <v>27</v>
      </c>
      <c r="F120" s="158">
        <f>7830*O4</f>
        <v>10.962</v>
      </c>
      <c r="G120" s="43">
        <v>1</v>
      </c>
      <c r="H120" s="189">
        <f t="shared" si="6"/>
        <v>10.962</v>
      </c>
      <c r="I120" s="44"/>
      <c r="J120" s="44"/>
      <c r="K120" s="10"/>
      <c r="L120" s="10"/>
      <c r="M120" s="10"/>
    </row>
    <row r="121" spans="1:14" ht="20.25" customHeight="1" thickBot="1">
      <c r="A121" s="210" t="s">
        <v>53</v>
      </c>
      <c r="B121" s="211"/>
      <c r="C121" s="211"/>
      <c r="D121" s="211"/>
      <c r="E121" s="48"/>
      <c r="F121" s="65">
        <f>SUM(F119:F120)</f>
        <v>128.21195800000001</v>
      </c>
      <c r="G121" s="44"/>
      <c r="H121" s="50">
        <f>SUM(H119:H120)</f>
        <v>128.21195800000001</v>
      </c>
      <c r="I121" s="44"/>
      <c r="J121" s="171"/>
      <c r="K121" s="10"/>
      <c r="L121" s="10"/>
      <c r="M121" s="10"/>
    </row>
    <row r="122" spans="1:14" ht="25.2" customHeight="1">
      <c r="A122" s="78"/>
      <c r="B122" s="78"/>
      <c r="C122" s="78"/>
      <c r="D122" s="78"/>
      <c r="E122" s="79"/>
      <c r="F122" s="80"/>
      <c r="G122" s="81"/>
      <c r="H122" s="80"/>
      <c r="I122" s="82"/>
      <c r="J122" s="63"/>
      <c r="K122" s="83"/>
      <c r="L122" s="83"/>
      <c r="M122" s="47"/>
    </row>
    <row r="123" spans="1:14" ht="15" customHeight="1">
      <c r="A123" s="205" t="s">
        <v>160</v>
      </c>
      <c r="B123" s="205"/>
      <c r="C123" s="205"/>
      <c r="D123" s="205"/>
      <c r="E123" s="205"/>
      <c r="F123" s="205"/>
      <c r="G123" s="205"/>
      <c r="H123" s="205"/>
      <c r="I123" s="205"/>
      <c r="J123" s="205"/>
      <c r="K123" s="205"/>
      <c r="L123" s="205"/>
      <c r="M123" s="205"/>
      <c r="N123" s="205"/>
    </row>
    <row r="124" spans="1:14" ht="55.8" customHeight="1">
      <c r="A124" s="206" t="s">
        <v>28</v>
      </c>
      <c r="B124" s="207"/>
      <c r="C124" s="207"/>
      <c r="D124" s="207"/>
      <c r="E124" s="8" t="s">
        <v>75</v>
      </c>
      <c r="F124" s="8" t="s">
        <v>48</v>
      </c>
      <c r="G124" s="136" t="s">
        <v>74</v>
      </c>
      <c r="H124" s="305" t="s">
        <v>69</v>
      </c>
      <c r="I124" s="305"/>
      <c r="J124" s="44"/>
      <c r="K124" s="10"/>
      <c r="L124" s="10"/>
      <c r="M124" s="10"/>
    </row>
    <row r="125" spans="1:14" ht="43.8" customHeight="1" thickBot="1">
      <c r="A125" s="198" t="s">
        <v>167</v>
      </c>
      <c r="B125" s="199"/>
      <c r="C125" s="199"/>
      <c r="D125" s="199"/>
      <c r="E125" s="49" t="s">
        <v>27</v>
      </c>
      <c r="F125" s="158">
        <f>(150000+20780)*O4</f>
        <v>239.09199999999998</v>
      </c>
      <c r="G125" s="43">
        <v>1</v>
      </c>
      <c r="H125" s="302">
        <f>F125/G125</f>
        <v>239.09199999999998</v>
      </c>
      <c r="I125" s="302"/>
      <c r="J125" s="44"/>
      <c r="K125" s="10"/>
      <c r="L125" s="10"/>
      <c r="M125" s="10"/>
    </row>
    <row r="126" spans="1:14" ht="20.25" customHeight="1" thickBot="1">
      <c r="A126" s="210" t="s">
        <v>135</v>
      </c>
      <c r="B126" s="211"/>
      <c r="C126" s="211"/>
      <c r="D126" s="211"/>
      <c r="E126" s="48"/>
      <c r="F126" s="65">
        <f>SUM(F125:F125)</f>
        <v>239.09199999999998</v>
      </c>
      <c r="G126" s="44"/>
      <c r="H126" s="303">
        <f>SUM(H125:H125)</f>
        <v>239.09199999999998</v>
      </c>
      <c r="I126" s="304"/>
      <c r="J126" s="171"/>
      <c r="K126" s="10"/>
      <c r="L126" s="10"/>
      <c r="M126" s="10"/>
    </row>
    <row r="127" spans="1:14" ht="25.2" customHeight="1">
      <c r="A127" s="78"/>
      <c r="B127" s="78"/>
      <c r="C127" s="78"/>
      <c r="D127" s="78"/>
      <c r="E127" s="79"/>
      <c r="F127" s="80"/>
      <c r="G127" s="81"/>
      <c r="H127" s="80"/>
      <c r="I127" s="82"/>
      <c r="J127" s="63"/>
      <c r="K127" s="83"/>
      <c r="L127" s="83"/>
      <c r="M127" s="47"/>
    </row>
    <row r="128" spans="1:14" ht="15" customHeight="1">
      <c r="A128" s="205" t="s">
        <v>141</v>
      </c>
      <c r="B128" s="205"/>
      <c r="C128" s="205"/>
      <c r="D128" s="205"/>
      <c r="E128" s="205"/>
      <c r="F128" s="205"/>
      <c r="G128" s="205"/>
      <c r="H128" s="205"/>
      <c r="I128" s="205"/>
      <c r="J128" s="205"/>
      <c r="K128" s="205"/>
      <c r="L128" s="205"/>
      <c r="M128" s="205"/>
    </row>
    <row r="129" spans="1:16" ht="55.8">
      <c r="A129" s="206" t="s">
        <v>28</v>
      </c>
      <c r="B129" s="207"/>
      <c r="C129" s="207"/>
      <c r="D129" s="207"/>
      <c r="E129" s="8" t="s">
        <v>75</v>
      </c>
      <c r="F129" s="8" t="s">
        <v>48</v>
      </c>
      <c r="G129" s="8" t="s">
        <v>74</v>
      </c>
      <c r="H129" s="8" t="s">
        <v>69</v>
      </c>
      <c r="I129" s="10"/>
      <c r="J129" s="10"/>
      <c r="K129" s="10"/>
      <c r="L129" s="10"/>
    </row>
    <row r="130" spans="1:16">
      <c r="A130" s="198" t="s">
        <v>140</v>
      </c>
      <c r="B130" s="199"/>
      <c r="C130" s="199"/>
      <c r="D130" s="199"/>
      <c r="E130" s="49" t="s">
        <v>27</v>
      </c>
      <c r="F130" s="158">
        <f>9000*$O$4</f>
        <v>12.6</v>
      </c>
      <c r="G130" s="43">
        <v>1</v>
      </c>
      <c r="H130" s="189">
        <f t="shared" ref="H130:H137" si="7">F130/G130</f>
        <v>12.6</v>
      </c>
      <c r="I130" s="44"/>
      <c r="J130" s="44"/>
      <c r="K130" s="10"/>
      <c r="L130" s="10"/>
      <c r="M130" s="10"/>
    </row>
    <row r="131" spans="1:16" ht="14.4" customHeight="1">
      <c r="A131" s="198" t="s">
        <v>142</v>
      </c>
      <c r="B131" s="199"/>
      <c r="C131" s="199"/>
      <c r="D131" s="199"/>
      <c r="E131" s="49" t="s">
        <v>27</v>
      </c>
      <c r="F131" s="158">
        <f>64600*$O$4</f>
        <v>90.44</v>
      </c>
      <c r="G131" s="43">
        <v>1</v>
      </c>
      <c r="H131" s="189">
        <f t="shared" si="7"/>
        <v>90.44</v>
      </c>
      <c r="I131" s="44"/>
      <c r="J131" s="44"/>
      <c r="K131" s="10"/>
      <c r="L131" s="10"/>
      <c r="M131" s="10"/>
    </row>
    <row r="132" spans="1:16" ht="15.75" customHeight="1">
      <c r="A132" s="198" t="s">
        <v>161</v>
      </c>
      <c r="B132" s="199"/>
      <c r="C132" s="199"/>
      <c r="D132" s="199"/>
      <c r="E132" s="49" t="s">
        <v>27</v>
      </c>
      <c r="F132" s="158">
        <f>20000*$O$4</f>
        <v>28</v>
      </c>
      <c r="G132" s="43">
        <v>1</v>
      </c>
      <c r="H132" s="189">
        <f t="shared" si="7"/>
        <v>28</v>
      </c>
      <c r="I132" s="44"/>
      <c r="J132" s="44"/>
      <c r="K132" s="10"/>
      <c r="L132" s="10"/>
      <c r="M132" s="10"/>
    </row>
    <row r="133" spans="1:16" ht="15.75" customHeight="1">
      <c r="A133" s="198" t="s">
        <v>162</v>
      </c>
      <c r="B133" s="199"/>
      <c r="C133" s="199"/>
      <c r="D133" s="199"/>
      <c r="E133" s="49" t="s">
        <v>27</v>
      </c>
      <c r="F133" s="158">
        <f>19600*$O$4</f>
        <v>27.44</v>
      </c>
      <c r="G133" s="43">
        <v>1</v>
      </c>
      <c r="H133" s="189">
        <f t="shared" si="7"/>
        <v>27.44</v>
      </c>
      <c r="I133" s="44"/>
      <c r="J133" s="44"/>
      <c r="K133" s="10"/>
      <c r="L133" s="10"/>
      <c r="M133" s="10"/>
    </row>
    <row r="134" spans="1:16" ht="15.75" customHeight="1">
      <c r="A134" s="198" t="s">
        <v>163</v>
      </c>
      <c r="B134" s="199"/>
      <c r="C134" s="199"/>
      <c r="D134" s="199"/>
      <c r="E134" s="49" t="s">
        <v>27</v>
      </c>
      <c r="F134" s="158">
        <f>800*$O$4</f>
        <v>1.1199999999999999</v>
      </c>
      <c r="G134" s="43">
        <v>1</v>
      </c>
      <c r="H134" s="189">
        <f t="shared" si="7"/>
        <v>1.1199999999999999</v>
      </c>
      <c r="I134" s="44"/>
      <c r="J134" s="44"/>
      <c r="K134" s="10"/>
      <c r="L134" s="10"/>
      <c r="M134" s="10"/>
    </row>
    <row r="135" spans="1:16" ht="15.75" customHeight="1">
      <c r="A135" s="198" t="s">
        <v>164</v>
      </c>
      <c r="B135" s="199"/>
      <c r="C135" s="199"/>
      <c r="D135" s="199"/>
      <c r="E135" s="49" t="s">
        <v>27</v>
      </c>
      <c r="F135" s="158">
        <f>1600*$O$4</f>
        <v>2.2399999999999998</v>
      </c>
      <c r="G135" s="43">
        <v>1</v>
      </c>
      <c r="H135" s="189">
        <f t="shared" si="7"/>
        <v>2.2399999999999998</v>
      </c>
      <c r="I135" s="44"/>
      <c r="J135" s="44"/>
      <c r="K135" s="10"/>
      <c r="L135" s="10"/>
      <c r="M135" s="10"/>
    </row>
    <row r="136" spans="1:16" ht="15.75" customHeight="1">
      <c r="A136" s="198" t="s">
        <v>165</v>
      </c>
      <c r="B136" s="199"/>
      <c r="C136" s="199"/>
      <c r="D136" s="199"/>
      <c r="E136" s="49" t="s">
        <v>27</v>
      </c>
      <c r="F136" s="158">
        <f>4800*$O$4</f>
        <v>6.72</v>
      </c>
      <c r="G136" s="43">
        <v>1</v>
      </c>
      <c r="H136" s="189">
        <f t="shared" si="7"/>
        <v>6.72</v>
      </c>
      <c r="I136" s="44"/>
      <c r="J136" s="44"/>
      <c r="K136" s="10"/>
      <c r="L136" s="10"/>
      <c r="M136" s="10"/>
    </row>
    <row r="137" spans="1:16" ht="15.75" customHeight="1" thickBot="1">
      <c r="A137" s="198" t="s">
        <v>166</v>
      </c>
      <c r="B137" s="199"/>
      <c r="C137" s="199"/>
      <c r="D137" s="199"/>
      <c r="E137" s="49" t="s">
        <v>27</v>
      </c>
      <c r="F137" s="158">
        <f>9600*$O$4</f>
        <v>13.44</v>
      </c>
      <c r="G137" s="43">
        <v>1</v>
      </c>
      <c r="H137" s="189">
        <f t="shared" si="7"/>
        <v>13.44</v>
      </c>
      <c r="I137" s="44"/>
      <c r="J137" s="44"/>
      <c r="K137" s="10"/>
      <c r="L137" s="10"/>
      <c r="M137" s="10"/>
    </row>
    <row r="138" spans="1:16" ht="20.25" customHeight="1" thickBot="1">
      <c r="A138" s="210" t="s">
        <v>53</v>
      </c>
      <c r="B138" s="211"/>
      <c r="C138" s="211"/>
      <c r="D138" s="211"/>
      <c r="E138" s="48"/>
      <c r="F138" s="65">
        <f>SUM(F130:F137)</f>
        <v>182</v>
      </c>
      <c r="G138" s="44"/>
      <c r="H138" s="50">
        <f>SUM(H130:H137)</f>
        <v>182</v>
      </c>
      <c r="I138" s="44"/>
      <c r="J138" s="171"/>
      <c r="K138" s="10"/>
      <c r="L138" s="10"/>
      <c r="M138" s="10"/>
    </row>
    <row r="139" spans="1:16" ht="25.2" customHeight="1">
      <c r="A139" s="78"/>
      <c r="B139" s="78"/>
      <c r="C139" s="78"/>
      <c r="D139" s="78"/>
      <c r="E139" s="79"/>
      <c r="F139" s="80"/>
      <c r="G139" s="81"/>
      <c r="H139" s="80"/>
      <c r="I139" s="82"/>
      <c r="J139" s="63"/>
      <c r="K139" s="83"/>
      <c r="L139" s="83"/>
      <c r="M139" s="47"/>
    </row>
    <row r="140" spans="1:16" ht="15.6">
      <c r="A140" s="214" t="s">
        <v>68</v>
      </c>
      <c r="B140" s="214"/>
      <c r="C140" s="214"/>
      <c r="D140" s="214"/>
      <c r="E140" s="214"/>
      <c r="F140" s="214"/>
      <c r="G140" s="214"/>
      <c r="H140" s="214"/>
      <c r="I140" s="214"/>
      <c r="J140" s="214"/>
      <c r="K140" s="214"/>
      <c r="L140" s="214"/>
      <c r="M140" s="214"/>
    </row>
    <row r="141" spans="1:16" ht="69.599999999999994">
      <c r="A141" s="220" t="s">
        <v>3</v>
      </c>
      <c r="B141" s="220"/>
      <c r="C141" s="220"/>
      <c r="D141" s="220"/>
      <c r="E141" s="8" t="s">
        <v>4</v>
      </c>
      <c r="F141" s="9" t="s">
        <v>0</v>
      </c>
      <c r="G141" s="33" t="s">
        <v>52</v>
      </c>
      <c r="H141" s="33" t="s">
        <v>44</v>
      </c>
      <c r="I141" s="8" t="s">
        <v>63</v>
      </c>
      <c r="J141" s="8" t="s">
        <v>69</v>
      </c>
      <c r="K141" s="8" t="s">
        <v>46</v>
      </c>
      <c r="L141" s="27"/>
      <c r="M141" s="27"/>
      <c r="N141" s="123">
        <v>21290323</v>
      </c>
      <c r="O141">
        <v>62.83</v>
      </c>
    </row>
    <row r="142" spans="1:16">
      <c r="A142" s="221">
        <v>1</v>
      </c>
      <c r="B142" s="222"/>
      <c r="C142" s="222"/>
      <c r="D142" s="222"/>
      <c r="E142" s="25">
        <v>2</v>
      </c>
      <c r="F142" s="11">
        <v>3</v>
      </c>
      <c r="G142" s="25">
        <v>4</v>
      </c>
      <c r="H142" s="25">
        <v>5</v>
      </c>
      <c r="I142" s="26">
        <v>6</v>
      </c>
      <c r="J142" s="34">
        <v>7</v>
      </c>
      <c r="K142" s="35">
        <v>8</v>
      </c>
      <c r="L142" s="108"/>
      <c r="M142" s="27"/>
      <c r="N142">
        <f>11540394-1482000</f>
        <v>10058394</v>
      </c>
      <c r="O142">
        <v>21.58</v>
      </c>
      <c r="P142">
        <f>N142*1.302</f>
        <v>13096028.988</v>
      </c>
    </row>
    <row r="143" spans="1:16" ht="31.2" customHeight="1" thickBot="1">
      <c r="A143" s="223" t="s">
        <v>67</v>
      </c>
      <c r="B143" s="223"/>
      <c r="C143" s="223"/>
      <c r="D143" s="223"/>
      <c r="E143" s="36">
        <f>G143/12/F143</f>
        <v>31301.041666666668</v>
      </c>
      <c r="F143" s="36">
        <v>0.06</v>
      </c>
      <c r="G143" s="124">
        <v>22536.75</v>
      </c>
      <c r="H143" s="36">
        <v>29342.85</v>
      </c>
      <c r="I143" s="43">
        <v>1</v>
      </c>
      <c r="J143" s="36">
        <f>H143/I143</f>
        <v>29342.85</v>
      </c>
      <c r="K143" s="146">
        <f>H143/20959178.83*100</f>
        <v>0.1399999982728331</v>
      </c>
      <c r="L143" s="109"/>
      <c r="M143" s="15"/>
      <c r="N143" s="123">
        <f>N141-N142</f>
        <v>11231929</v>
      </c>
      <c r="O143">
        <v>41.25</v>
      </c>
      <c r="P143">
        <f>N143*1.302</f>
        <v>14623971.558</v>
      </c>
    </row>
    <row r="144" spans="1:16" ht="15" hidden="1" thickBot="1">
      <c r="A144" s="224"/>
      <c r="B144" s="225"/>
      <c r="C144" s="225"/>
      <c r="D144" s="225"/>
      <c r="E144" s="36">
        <v>17865.98</v>
      </c>
      <c r="F144" s="57">
        <v>4</v>
      </c>
      <c r="G144" s="43"/>
      <c r="H144" s="37">
        <f>H37</f>
        <v>0</v>
      </c>
      <c r="I144" s="36" t="e">
        <f t="shared" ref="I144:I165" si="8">F144/G144*H144</f>
        <v>#DIV/0!</v>
      </c>
      <c r="J144" s="36">
        <f t="shared" ref="J144:J165" si="9">E144*F144*12*1.302</f>
        <v>1116552.28608</v>
      </c>
      <c r="K144" s="58" t="s">
        <v>38</v>
      </c>
      <c r="L144" s="110"/>
      <c r="M144" s="31" t="e">
        <f t="shared" ref="M144:M168" si="10">I144*J144</f>
        <v>#DIV/0!</v>
      </c>
    </row>
    <row r="145" spans="1:13" ht="15" hidden="1" thickBot="1">
      <c r="A145" s="216"/>
      <c r="B145" s="216"/>
      <c r="C145" s="216"/>
      <c r="D145" s="216"/>
      <c r="E145" s="36">
        <v>9544</v>
      </c>
      <c r="F145" s="57">
        <v>1</v>
      </c>
      <c r="G145" s="43"/>
      <c r="H145" s="37">
        <f>H37</f>
        <v>0</v>
      </c>
      <c r="I145" s="36" t="e">
        <f t="shared" si="8"/>
        <v>#DIV/0!</v>
      </c>
      <c r="J145" s="36">
        <f t="shared" si="9"/>
        <v>149115.45600000001</v>
      </c>
      <c r="K145" s="37">
        <f>H145/11277167.39*100</f>
        <v>0</v>
      </c>
      <c r="L145" s="37"/>
      <c r="M145" s="14" t="e">
        <f t="shared" si="10"/>
        <v>#DIV/0!</v>
      </c>
    </row>
    <row r="146" spans="1:13" ht="15" hidden="1" customHeight="1" thickBot="1">
      <c r="A146" s="227"/>
      <c r="B146" s="228"/>
      <c r="C146" s="228"/>
      <c r="D146" s="228"/>
      <c r="E146" s="36">
        <v>11560</v>
      </c>
      <c r="F146" s="57">
        <v>1</v>
      </c>
      <c r="G146" s="43"/>
      <c r="H146" s="37">
        <f>H37</f>
        <v>0</v>
      </c>
      <c r="I146" s="36" t="e">
        <f t="shared" si="8"/>
        <v>#DIV/0!</v>
      </c>
      <c r="J146" s="36">
        <f t="shared" si="9"/>
        <v>180613.44</v>
      </c>
      <c r="K146" s="29"/>
      <c r="L146" s="29"/>
      <c r="M146" s="14" t="e">
        <f t="shared" si="10"/>
        <v>#DIV/0!</v>
      </c>
    </row>
    <row r="147" spans="1:13" ht="15" hidden="1" thickBot="1">
      <c r="A147" s="215"/>
      <c r="B147" s="215"/>
      <c r="C147" s="215"/>
      <c r="D147" s="215"/>
      <c r="E147" s="36">
        <v>9544</v>
      </c>
      <c r="F147" s="59">
        <v>0.5</v>
      </c>
      <c r="G147" s="43"/>
      <c r="H147" s="37">
        <f>H37</f>
        <v>0</v>
      </c>
      <c r="I147" s="36" t="e">
        <f t="shared" si="8"/>
        <v>#DIV/0!</v>
      </c>
      <c r="J147" s="36">
        <f t="shared" si="9"/>
        <v>74557.728000000003</v>
      </c>
      <c r="K147" s="29"/>
      <c r="L147" s="29"/>
      <c r="M147" s="14" t="e">
        <f t="shared" si="10"/>
        <v>#DIV/0!</v>
      </c>
    </row>
    <row r="148" spans="1:13" ht="15" hidden="1" thickBot="1">
      <c r="A148" s="215"/>
      <c r="B148" s="215"/>
      <c r="C148" s="215"/>
      <c r="D148" s="215"/>
      <c r="E148" s="36">
        <v>9544</v>
      </c>
      <c r="F148" s="57">
        <v>1</v>
      </c>
      <c r="G148" s="43"/>
      <c r="H148" s="37">
        <f>H37</f>
        <v>0</v>
      </c>
      <c r="I148" s="36" t="e">
        <f t="shared" si="8"/>
        <v>#DIV/0!</v>
      </c>
      <c r="J148" s="36">
        <f t="shared" si="9"/>
        <v>149115.45600000001</v>
      </c>
      <c r="K148" s="36"/>
      <c r="L148" s="36"/>
      <c r="M148" s="14" t="e">
        <f t="shared" si="10"/>
        <v>#DIV/0!</v>
      </c>
    </row>
    <row r="149" spans="1:13" ht="14.25" hidden="1" customHeight="1">
      <c r="A149" s="215"/>
      <c r="B149" s="215"/>
      <c r="C149" s="215"/>
      <c r="D149" s="215"/>
      <c r="E149" s="36">
        <v>9544</v>
      </c>
      <c r="F149" s="57">
        <v>1</v>
      </c>
      <c r="G149" s="43"/>
      <c r="H149" s="37">
        <f>H37</f>
        <v>0</v>
      </c>
      <c r="I149" s="36" t="e">
        <f t="shared" si="8"/>
        <v>#DIV/0!</v>
      </c>
      <c r="J149" s="36">
        <f t="shared" si="9"/>
        <v>149115.45600000001</v>
      </c>
      <c r="K149" s="44"/>
      <c r="L149" s="44"/>
      <c r="M149" s="14" t="e">
        <f t="shared" si="10"/>
        <v>#DIV/0!</v>
      </c>
    </row>
    <row r="150" spans="1:13" ht="15" hidden="1" thickBot="1">
      <c r="A150" s="198"/>
      <c r="B150" s="199"/>
      <c r="C150" s="199"/>
      <c r="D150" s="199"/>
      <c r="E150" s="36">
        <v>9544</v>
      </c>
      <c r="F150" s="36"/>
      <c r="G150" s="43"/>
      <c r="H150" s="37">
        <f>H37</f>
        <v>0</v>
      </c>
      <c r="I150" s="36" t="e">
        <f t="shared" si="8"/>
        <v>#DIV/0!</v>
      </c>
      <c r="J150" s="36">
        <f t="shared" si="9"/>
        <v>0</v>
      </c>
      <c r="K150" s="44"/>
      <c r="L150" s="44"/>
      <c r="M150" s="14" t="e">
        <f t="shared" si="10"/>
        <v>#DIV/0!</v>
      </c>
    </row>
    <row r="151" spans="1:13" ht="15" hidden="1" thickBot="1">
      <c r="A151" s="198"/>
      <c r="B151" s="199"/>
      <c r="C151" s="199"/>
      <c r="D151" s="199"/>
      <c r="E151" s="36">
        <v>9544</v>
      </c>
      <c r="F151" s="60">
        <v>0.25</v>
      </c>
      <c r="G151" s="43"/>
      <c r="H151" s="37">
        <f>H37</f>
        <v>0</v>
      </c>
      <c r="I151" s="36" t="e">
        <f t="shared" si="8"/>
        <v>#DIV/0!</v>
      </c>
      <c r="J151" s="36">
        <f t="shared" si="9"/>
        <v>37278.864000000001</v>
      </c>
      <c r="K151" s="44"/>
      <c r="L151" s="44"/>
      <c r="M151" s="14" t="e">
        <f t="shared" si="10"/>
        <v>#DIV/0!</v>
      </c>
    </row>
    <row r="152" spans="1:13" ht="15" hidden="1" thickBot="1">
      <c r="A152" s="198"/>
      <c r="B152" s="199"/>
      <c r="C152" s="199"/>
      <c r="D152" s="199"/>
      <c r="E152" s="36">
        <v>9544</v>
      </c>
      <c r="F152" s="36"/>
      <c r="G152" s="43"/>
      <c r="H152" s="37">
        <f>H37</f>
        <v>0</v>
      </c>
      <c r="I152" s="36" t="e">
        <f t="shared" si="8"/>
        <v>#DIV/0!</v>
      </c>
      <c r="J152" s="36">
        <f t="shared" si="9"/>
        <v>0</v>
      </c>
      <c r="K152" s="44"/>
      <c r="L152" s="44"/>
      <c r="M152" s="14" t="e">
        <f t="shared" si="10"/>
        <v>#DIV/0!</v>
      </c>
    </row>
    <row r="153" spans="1:13" ht="15" hidden="1" thickBot="1">
      <c r="A153" s="198"/>
      <c r="B153" s="199"/>
      <c r="C153" s="199"/>
      <c r="D153" s="199"/>
      <c r="E153" s="36">
        <v>9544</v>
      </c>
      <c r="F153" s="59">
        <v>0.5</v>
      </c>
      <c r="G153" s="43"/>
      <c r="H153" s="37">
        <f>H37</f>
        <v>0</v>
      </c>
      <c r="I153" s="36" t="e">
        <f t="shared" si="8"/>
        <v>#DIV/0!</v>
      </c>
      <c r="J153" s="36">
        <f t="shared" si="9"/>
        <v>74557.728000000003</v>
      </c>
      <c r="K153" s="44"/>
      <c r="L153" s="44"/>
      <c r="M153" s="14" t="e">
        <f t="shared" si="10"/>
        <v>#DIV/0!</v>
      </c>
    </row>
    <row r="154" spans="1:13" ht="15.75" hidden="1" customHeight="1">
      <c r="A154" s="198"/>
      <c r="B154" s="199"/>
      <c r="C154" s="199"/>
      <c r="D154" s="199"/>
      <c r="E154" s="36">
        <v>9544</v>
      </c>
      <c r="F154" s="57">
        <v>1</v>
      </c>
      <c r="G154" s="43"/>
      <c r="H154" s="37">
        <f>H37</f>
        <v>0</v>
      </c>
      <c r="I154" s="36" t="e">
        <f t="shared" si="8"/>
        <v>#DIV/0!</v>
      </c>
      <c r="J154" s="36">
        <f t="shared" si="9"/>
        <v>149115.45600000001</v>
      </c>
      <c r="K154" s="44"/>
      <c r="L154" s="44"/>
      <c r="M154" s="14" t="e">
        <f t="shared" si="10"/>
        <v>#DIV/0!</v>
      </c>
    </row>
    <row r="155" spans="1:13" ht="15" hidden="1" customHeight="1" thickBot="1">
      <c r="A155" s="215"/>
      <c r="B155" s="215"/>
      <c r="C155" s="215"/>
      <c r="D155" s="215"/>
      <c r="E155" s="36">
        <v>9544</v>
      </c>
      <c r="F155" s="57">
        <v>1</v>
      </c>
      <c r="G155" s="43"/>
      <c r="H155" s="37">
        <f>H37</f>
        <v>0</v>
      </c>
      <c r="I155" s="36" t="e">
        <f t="shared" si="8"/>
        <v>#DIV/0!</v>
      </c>
      <c r="J155" s="36">
        <f t="shared" si="9"/>
        <v>149115.45600000001</v>
      </c>
      <c r="K155" s="44"/>
      <c r="L155" s="44"/>
      <c r="M155" s="14" t="e">
        <f t="shared" si="10"/>
        <v>#DIV/0!</v>
      </c>
    </row>
    <row r="156" spans="1:13" ht="15" hidden="1" customHeight="1" thickBot="1">
      <c r="A156" s="215"/>
      <c r="B156" s="215"/>
      <c r="C156" s="215"/>
      <c r="D156" s="215"/>
      <c r="E156" s="36">
        <v>9544</v>
      </c>
      <c r="F156" s="59">
        <v>5.5</v>
      </c>
      <c r="G156" s="43"/>
      <c r="H156" s="37">
        <f>H37</f>
        <v>0</v>
      </c>
      <c r="I156" s="36" t="e">
        <f t="shared" si="8"/>
        <v>#DIV/0!</v>
      </c>
      <c r="J156" s="36">
        <f t="shared" si="9"/>
        <v>820135.00800000003</v>
      </c>
      <c r="K156" s="44"/>
      <c r="L156" s="44"/>
      <c r="M156" s="14" t="e">
        <f t="shared" si="10"/>
        <v>#DIV/0!</v>
      </c>
    </row>
    <row r="157" spans="1:13" ht="15" hidden="1" customHeight="1">
      <c r="A157" s="215"/>
      <c r="B157" s="215"/>
      <c r="C157" s="215"/>
      <c r="D157" s="215"/>
      <c r="E157" s="36">
        <v>9544</v>
      </c>
      <c r="F157" s="57">
        <v>1</v>
      </c>
      <c r="G157" s="43"/>
      <c r="H157" s="37">
        <f>H37</f>
        <v>0</v>
      </c>
      <c r="I157" s="36" t="e">
        <f t="shared" si="8"/>
        <v>#DIV/0!</v>
      </c>
      <c r="J157" s="36">
        <f t="shared" si="9"/>
        <v>149115.45600000001</v>
      </c>
      <c r="K157" s="44"/>
      <c r="L157" s="44"/>
      <c r="M157" s="14" t="e">
        <f t="shared" si="10"/>
        <v>#DIV/0!</v>
      </c>
    </row>
    <row r="158" spans="1:13" ht="15" hidden="1" customHeight="1">
      <c r="A158" s="215"/>
      <c r="B158" s="215"/>
      <c r="C158" s="215"/>
      <c r="D158" s="215"/>
      <c r="E158" s="36">
        <v>9544</v>
      </c>
      <c r="F158" s="59">
        <v>0.5</v>
      </c>
      <c r="G158" s="43"/>
      <c r="H158" s="37">
        <f>H37</f>
        <v>0</v>
      </c>
      <c r="I158" s="36" t="e">
        <f t="shared" si="8"/>
        <v>#DIV/0!</v>
      </c>
      <c r="J158" s="36">
        <f t="shared" si="9"/>
        <v>74557.728000000003</v>
      </c>
      <c r="K158" s="44"/>
      <c r="L158" s="44"/>
      <c r="M158" s="14" t="e">
        <f t="shared" si="10"/>
        <v>#DIV/0!</v>
      </c>
    </row>
    <row r="159" spans="1:13" ht="15" hidden="1" customHeight="1">
      <c r="A159" s="215"/>
      <c r="B159" s="215"/>
      <c r="C159" s="215"/>
      <c r="D159" s="215"/>
      <c r="E159" s="36">
        <v>9544</v>
      </c>
      <c r="F159" s="59">
        <v>0.5</v>
      </c>
      <c r="G159" s="43"/>
      <c r="H159" s="37">
        <f>H37</f>
        <v>0</v>
      </c>
      <c r="I159" s="36" t="e">
        <f t="shared" si="8"/>
        <v>#DIV/0!</v>
      </c>
      <c r="J159" s="36">
        <f t="shared" si="9"/>
        <v>74557.728000000003</v>
      </c>
      <c r="K159" s="44"/>
      <c r="L159" s="44"/>
      <c r="M159" s="14" t="e">
        <f t="shared" si="10"/>
        <v>#DIV/0!</v>
      </c>
    </row>
    <row r="160" spans="1:13" ht="15" hidden="1" thickBot="1">
      <c r="A160" s="215"/>
      <c r="B160" s="215"/>
      <c r="C160" s="215"/>
      <c r="D160" s="215"/>
      <c r="E160" s="36">
        <v>9544</v>
      </c>
      <c r="F160" s="57">
        <v>1</v>
      </c>
      <c r="G160" s="43"/>
      <c r="H160" s="37">
        <f>H37</f>
        <v>0</v>
      </c>
      <c r="I160" s="36" t="e">
        <f t="shared" si="8"/>
        <v>#DIV/0!</v>
      </c>
      <c r="J160" s="36">
        <f t="shared" si="9"/>
        <v>149115.45600000001</v>
      </c>
      <c r="K160" s="44"/>
      <c r="L160" s="44"/>
      <c r="M160" s="14" t="e">
        <f t="shared" si="10"/>
        <v>#DIV/0!</v>
      </c>
    </row>
    <row r="161" spans="1:16" ht="15.75" hidden="1" customHeight="1" thickBot="1">
      <c r="A161" s="215"/>
      <c r="B161" s="215"/>
      <c r="C161" s="215"/>
      <c r="D161" s="215"/>
      <c r="E161" s="36">
        <v>9544</v>
      </c>
      <c r="F161" s="57">
        <v>4</v>
      </c>
      <c r="G161" s="43"/>
      <c r="H161" s="37">
        <f>H37</f>
        <v>0</v>
      </c>
      <c r="I161" s="36" t="e">
        <f t="shared" si="8"/>
        <v>#DIV/0!</v>
      </c>
      <c r="J161" s="36">
        <f t="shared" si="9"/>
        <v>596461.82400000002</v>
      </c>
      <c r="K161" s="44"/>
      <c r="L161" s="44"/>
      <c r="M161" s="14" t="e">
        <f t="shared" si="10"/>
        <v>#DIV/0!</v>
      </c>
    </row>
    <row r="162" spans="1:16" ht="16.5" hidden="1" customHeight="1" thickBot="1">
      <c r="A162" s="198"/>
      <c r="B162" s="199"/>
      <c r="C162" s="199"/>
      <c r="D162" s="199"/>
      <c r="E162" s="36">
        <v>9544</v>
      </c>
      <c r="F162" s="57">
        <v>1</v>
      </c>
      <c r="G162" s="43"/>
      <c r="H162" s="37">
        <f>H37</f>
        <v>0</v>
      </c>
      <c r="I162" s="36" t="e">
        <f t="shared" si="8"/>
        <v>#DIV/0!</v>
      </c>
      <c r="J162" s="36">
        <f t="shared" si="9"/>
        <v>149115.45600000001</v>
      </c>
      <c r="K162" s="44"/>
      <c r="L162" s="44"/>
      <c r="M162" s="14" t="e">
        <f t="shared" si="10"/>
        <v>#DIV/0!</v>
      </c>
    </row>
    <row r="163" spans="1:16" ht="16.5" hidden="1" customHeight="1">
      <c r="A163" s="198"/>
      <c r="B163" s="199"/>
      <c r="C163" s="199"/>
      <c r="D163" s="199"/>
      <c r="E163" s="36">
        <v>9544</v>
      </c>
      <c r="F163" s="60">
        <v>1.75</v>
      </c>
      <c r="G163" s="43"/>
      <c r="H163" s="37">
        <f>H37</f>
        <v>0</v>
      </c>
      <c r="I163" s="36" t="e">
        <f t="shared" si="8"/>
        <v>#DIV/0!</v>
      </c>
      <c r="J163" s="36">
        <f t="shared" si="9"/>
        <v>260952.04800000001</v>
      </c>
      <c r="K163" s="44"/>
      <c r="L163" s="44"/>
      <c r="M163" s="14" t="e">
        <f t="shared" si="10"/>
        <v>#DIV/0!</v>
      </c>
    </row>
    <row r="164" spans="1:16" ht="16.5" hidden="1" customHeight="1">
      <c r="A164" s="198"/>
      <c r="B164" s="199"/>
      <c r="C164" s="199"/>
      <c r="D164" s="199"/>
      <c r="E164" s="36">
        <v>9544</v>
      </c>
      <c r="F164" s="37"/>
      <c r="G164" s="43"/>
      <c r="H164" s="37">
        <f>H37</f>
        <v>0</v>
      </c>
      <c r="I164" s="36" t="e">
        <f t="shared" si="8"/>
        <v>#DIV/0!</v>
      </c>
      <c r="J164" s="36">
        <f t="shared" si="9"/>
        <v>0</v>
      </c>
      <c r="K164" s="44"/>
      <c r="L164" s="44"/>
      <c r="M164" s="14" t="e">
        <f t="shared" si="10"/>
        <v>#DIV/0!</v>
      </c>
    </row>
    <row r="165" spans="1:16" ht="16.5" hidden="1" customHeight="1" thickBot="1">
      <c r="A165" s="198"/>
      <c r="B165" s="199"/>
      <c r="C165" s="199"/>
      <c r="D165" s="199"/>
      <c r="E165" s="36">
        <v>9544</v>
      </c>
      <c r="F165" s="59">
        <v>0.5</v>
      </c>
      <c r="G165" s="43"/>
      <c r="H165" s="37">
        <f>H37</f>
        <v>0</v>
      </c>
      <c r="I165" s="36" t="e">
        <f t="shared" si="8"/>
        <v>#DIV/0!</v>
      </c>
      <c r="J165" s="36">
        <f t="shared" si="9"/>
        <v>74557.728000000003</v>
      </c>
      <c r="K165" s="44"/>
      <c r="L165" s="44"/>
      <c r="M165" s="14" t="e">
        <f t="shared" si="10"/>
        <v>#DIV/0!</v>
      </c>
    </row>
    <row r="166" spans="1:16" ht="15" hidden="1" customHeight="1" thickBot="1">
      <c r="A166" s="198"/>
      <c r="B166" s="199"/>
      <c r="C166" s="199"/>
      <c r="D166" s="199"/>
      <c r="E166" s="36"/>
      <c r="F166" s="36"/>
      <c r="G166" s="36"/>
      <c r="H166" s="36"/>
      <c r="I166" s="36"/>
      <c r="J166" s="36"/>
      <c r="K166" s="44"/>
      <c r="L166" s="44"/>
      <c r="M166" s="14">
        <f t="shared" si="10"/>
        <v>0</v>
      </c>
    </row>
    <row r="167" spans="1:16" ht="15.75" hidden="1" customHeight="1">
      <c r="A167" s="198"/>
      <c r="B167" s="199"/>
      <c r="C167" s="199"/>
      <c r="D167" s="199"/>
      <c r="E167" s="36"/>
      <c r="F167" s="36"/>
      <c r="G167" s="36"/>
      <c r="H167" s="36"/>
      <c r="I167" s="36"/>
      <c r="J167" s="36"/>
      <c r="K167" s="44"/>
      <c r="L167" s="44"/>
      <c r="M167" s="14">
        <f t="shared" si="10"/>
        <v>0</v>
      </c>
    </row>
    <row r="168" spans="1:16" ht="14.25" hidden="1" customHeight="1">
      <c r="A168" s="198"/>
      <c r="B168" s="199"/>
      <c r="C168" s="199"/>
      <c r="D168" s="199"/>
      <c r="E168" s="36"/>
      <c r="F168" s="36"/>
      <c r="G168" s="36"/>
      <c r="H168" s="36"/>
      <c r="I168" s="43">
        <v>105</v>
      </c>
      <c r="J168" s="45">
        <f>H168/I168</f>
        <v>0</v>
      </c>
      <c r="K168" s="44"/>
      <c r="L168" s="44"/>
      <c r="M168" s="30">
        <f t="shared" si="10"/>
        <v>0</v>
      </c>
    </row>
    <row r="169" spans="1:16" ht="15" thickBot="1">
      <c r="A169" s="258" t="s">
        <v>47</v>
      </c>
      <c r="B169" s="258"/>
      <c r="C169" s="258"/>
      <c r="D169" s="258"/>
      <c r="E169" s="61"/>
      <c r="F169" s="168"/>
      <c r="G169" s="168"/>
      <c r="H169" s="65">
        <f>H143</f>
        <v>29342.85</v>
      </c>
      <c r="I169" s="46"/>
      <c r="J169" s="62">
        <f>J143</f>
        <v>29342.85</v>
      </c>
      <c r="K169" s="44"/>
      <c r="L169" s="44"/>
      <c r="M169" s="15"/>
      <c r="P169">
        <f>H169/48.5%</f>
        <v>60500.721649484534</v>
      </c>
    </row>
    <row r="170" spans="1:16" ht="22.2" customHeight="1">
      <c r="A170" s="10"/>
      <c r="B170" s="10"/>
      <c r="C170" s="10"/>
      <c r="D170" s="10"/>
      <c r="E170" s="10"/>
      <c r="F170" s="10"/>
      <c r="G170" s="10"/>
      <c r="H170" s="12"/>
      <c r="I170" s="12"/>
      <c r="J170" s="12"/>
      <c r="K170" s="10"/>
      <c r="L170" s="10"/>
      <c r="M170" s="10"/>
    </row>
    <row r="171" spans="1:16">
      <c r="A171" s="226" t="s">
        <v>61</v>
      </c>
      <c r="B171" s="226"/>
      <c r="C171" s="226"/>
      <c r="D171" s="226"/>
      <c r="E171" s="226"/>
      <c r="F171" s="226"/>
      <c r="G171" s="226"/>
      <c r="H171" s="226"/>
      <c r="I171" s="226"/>
      <c r="J171" s="226"/>
      <c r="K171" s="226"/>
      <c r="L171" s="167"/>
      <c r="M171" s="10"/>
    </row>
    <row r="172" spans="1:16" s="75" customFormat="1">
      <c r="A172" s="134"/>
      <c r="B172" s="134"/>
      <c r="C172" s="134"/>
      <c r="D172" s="134"/>
      <c r="E172" s="134"/>
      <c r="F172" s="134"/>
      <c r="G172" s="134"/>
      <c r="H172" s="134"/>
      <c r="I172" s="134"/>
      <c r="J172" s="134"/>
      <c r="K172" s="134"/>
      <c r="L172" s="134"/>
      <c r="M172" s="73"/>
    </row>
    <row r="173" spans="1:16" ht="55.8">
      <c r="A173" s="206" t="s">
        <v>28</v>
      </c>
      <c r="B173" s="207"/>
      <c r="C173" s="207"/>
      <c r="D173" s="207"/>
      <c r="E173" s="8" t="s">
        <v>75</v>
      </c>
      <c r="F173" s="8" t="s">
        <v>48</v>
      </c>
      <c r="G173" s="8" t="s">
        <v>74</v>
      </c>
      <c r="H173" s="8" t="s">
        <v>69</v>
      </c>
      <c r="I173" s="10"/>
      <c r="J173" s="10"/>
      <c r="K173" s="10"/>
      <c r="L173" s="10"/>
    </row>
    <row r="174" spans="1:16" ht="15" thickBot="1">
      <c r="A174" s="198" t="s">
        <v>144</v>
      </c>
      <c r="B174" s="199"/>
      <c r="C174" s="199"/>
      <c r="D174" s="199"/>
      <c r="E174" s="49" t="s">
        <v>27</v>
      </c>
      <c r="F174" s="158">
        <f>1440*$O$4</f>
        <v>2.016</v>
      </c>
      <c r="G174" s="43">
        <v>1</v>
      </c>
      <c r="H174" s="189">
        <f t="shared" ref="H174" si="11">F174/G174</f>
        <v>2.016</v>
      </c>
      <c r="I174" s="44"/>
      <c r="J174" s="44"/>
      <c r="K174" s="10"/>
      <c r="L174" s="10"/>
      <c r="M174" s="10"/>
    </row>
    <row r="175" spans="1:16" ht="20.25" customHeight="1" thickBot="1">
      <c r="A175" s="210" t="s">
        <v>53</v>
      </c>
      <c r="B175" s="211"/>
      <c r="C175" s="211"/>
      <c r="D175" s="211"/>
      <c r="E175" s="48"/>
      <c r="F175" s="65">
        <f>SUM(F174:F174)</f>
        <v>2.016</v>
      </c>
      <c r="G175" s="44"/>
      <c r="H175" s="50">
        <f>SUM(H174:H174)</f>
        <v>2.016</v>
      </c>
      <c r="I175" s="44"/>
      <c r="J175" s="171"/>
      <c r="K175" s="10"/>
      <c r="L175" s="10"/>
      <c r="M175" s="10"/>
    </row>
    <row r="176" spans="1:16" s="75" customFormat="1">
      <c r="A176" s="134"/>
      <c r="B176" s="134"/>
      <c r="C176" s="134"/>
      <c r="D176" s="134"/>
      <c r="E176" s="134"/>
      <c r="F176" s="134"/>
      <c r="G176" s="134"/>
      <c r="H176" s="134"/>
      <c r="I176" s="134"/>
      <c r="J176" s="134"/>
      <c r="K176" s="134"/>
      <c r="L176" s="134"/>
      <c r="M176" s="73"/>
    </row>
    <row r="177" spans="1:14" ht="55.8">
      <c r="A177" s="206" t="s">
        <v>28</v>
      </c>
      <c r="B177" s="207"/>
      <c r="C177" s="207"/>
      <c r="D177" s="207"/>
      <c r="E177" s="8" t="s">
        <v>75</v>
      </c>
      <c r="F177" s="8" t="s">
        <v>48</v>
      </c>
      <c r="G177" s="8" t="s">
        <v>74</v>
      </c>
      <c r="H177" s="8" t="s">
        <v>69</v>
      </c>
      <c r="I177" s="10"/>
      <c r="J177" s="10"/>
      <c r="K177" s="10"/>
      <c r="L177" s="10"/>
    </row>
    <row r="178" spans="1:14" ht="51" customHeight="1" thickBot="1">
      <c r="A178" s="198" t="s">
        <v>145</v>
      </c>
      <c r="B178" s="199"/>
      <c r="C178" s="199"/>
      <c r="D178" s="199"/>
      <c r="E178" s="49" t="s">
        <v>27</v>
      </c>
      <c r="F178" s="158">
        <f>501795*$O$4</f>
        <v>702.51300000000003</v>
      </c>
      <c r="G178" s="43">
        <v>1</v>
      </c>
      <c r="H178" s="189">
        <f t="shared" ref="H178" si="12">F178/G178</f>
        <v>702.51300000000003</v>
      </c>
      <c r="I178" s="44"/>
      <c r="J178" s="44"/>
      <c r="K178" s="10"/>
      <c r="L178" s="10"/>
      <c r="M178" s="10"/>
    </row>
    <row r="179" spans="1:14" ht="20.25" customHeight="1" thickBot="1">
      <c r="A179" s="210" t="s">
        <v>53</v>
      </c>
      <c r="B179" s="211"/>
      <c r="C179" s="211"/>
      <c r="D179" s="211"/>
      <c r="E179" s="48"/>
      <c r="F179" s="65">
        <f>SUM(F178:F178)</f>
        <v>702.51300000000003</v>
      </c>
      <c r="G179" s="44"/>
      <c r="H179" s="50">
        <f>SUM(H178:H178)</f>
        <v>702.51300000000003</v>
      </c>
      <c r="I179" s="44"/>
      <c r="J179" s="171"/>
      <c r="K179" s="10"/>
      <c r="L179" s="10"/>
      <c r="M179" s="10"/>
    </row>
    <row r="180" spans="1:14" s="75" customFormat="1">
      <c r="A180" s="134"/>
      <c r="B180" s="134"/>
      <c r="C180" s="134"/>
      <c r="D180" s="134"/>
      <c r="E180" s="134"/>
      <c r="F180" s="134"/>
      <c r="G180" s="134"/>
      <c r="H180" s="134"/>
      <c r="I180" s="134"/>
      <c r="J180" s="134"/>
      <c r="K180" s="134"/>
      <c r="L180" s="134"/>
      <c r="M180" s="73"/>
    </row>
    <row r="181" spans="1:14" ht="69.599999999999994">
      <c r="A181" s="206" t="s">
        <v>62</v>
      </c>
      <c r="B181" s="207"/>
      <c r="C181" s="207"/>
      <c r="D181" s="217"/>
      <c r="E181" s="166" t="s">
        <v>7</v>
      </c>
      <c r="F181" s="166" t="s">
        <v>55</v>
      </c>
      <c r="G181" s="166" t="s">
        <v>42</v>
      </c>
      <c r="H181" s="166" t="s">
        <v>48</v>
      </c>
      <c r="I181" s="8" t="s">
        <v>63</v>
      </c>
      <c r="J181" s="8" t="s">
        <v>69</v>
      </c>
      <c r="K181" s="38"/>
      <c r="L181" s="27"/>
      <c r="M181" s="10"/>
    </row>
    <row r="182" spans="1:14" ht="44.4" customHeight="1">
      <c r="A182" s="198" t="s">
        <v>113</v>
      </c>
      <c r="B182" s="199"/>
      <c r="C182" s="199"/>
      <c r="D182" s="218"/>
      <c r="E182" s="166"/>
      <c r="F182" s="166"/>
      <c r="G182" s="166"/>
      <c r="H182" s="193">
        <f>350242.9*$O$4</f>
        <v>490.34006000000005</v>
      </c>
      <c r="I182" s="43">
        <v>1</v>
      </c>
      <c r="J182" s="194">
        <f>H182/I182</f>
        <v>490.34006000000005</v>
      </c>
      <c r="K182" s="38"/>
      <c r="L182" s="27"/>
      <c r="M182" s="27"/>
      <c r="N182" s="10"/>
    </row>
    <row r="183" spans="1:14" ht="44.4" customHeight="1" thickBot="1">
      <c r="A183" s="198" t="s">
        <v>114</v>
      </c>
      <c r="B183" s="199"/>
      <c r="C183" s="199"/>
      <c r="D183" s="218"/>
      <c r="E183" s="166"/>
      <c r="F183" s="166"/>
      <c r="G183" s="166"/>
      <c r="H183" s="193">
        <f>(39067+30300+25200+250000)*$O$4</f>
        <v>482.3938</v>
      </c>
      <c r="I183" s="43">
        <v>1</v>
      </c>
      <c r="J183" s="194">
        <f t="shared" ref="J183" si="13">H183/I183</f>
        <v>482.3938</v>
      </c>
      <c r="K183" s="38"/>
      <c r="L183" s="27"/>
      <c r="M183" s="27"/>
      <c r="N183" s="10"/>
    </row>
    <row r="184" spans="1:14" ht="15" thickBot="1">
      <c r="A184" s="229" t="s">
        <v>57</v>
      </c>
      <c r="B184" s="230"/>
      <c r="C184" s="230"/>
      <c r="D184" s="230"/>
      <c r="E184" s="230"/>
      <c r="F184" s="230"/>
      <c r="G184" s="231"/>
      <c r="H184" s="195">
        <f>H183+H182</f>
        <v>972.73386000000005</v>
      </c>
      <c r="I184" s="196"/>
      <c r="J184" s="187">
        <f>SUM(J182:J183)</f>
        <v>972.73386000000005</v>
      </c>
      <c r="K184" s="10"/>
      <c r="L184" s="10"/>
      <c r="M184" s="10"/>
      <c r="N184" s="10"/>
    </row>
    <row r="185" spans="1:14" ht="32.4" customHeigh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</row>
    <row r="186" spans="1:14" ht="69.599999999999994">
      <c r="A186" s="206" t="s">
        <v>62</v>
      </c>
      <c r="B186" s="207"/>
      <c r="C186" s="207"/>
      <c r="D186" s="217"/>
      <c r="E186" s="166" t="s">
        <v>115</v>
      </c>
      <c r="F186" s="166" t="s">
        <v>55</v>
      </c>
      <c r="G186" s="166" t="s">
        <v>42</v>
      </c>
      <c r="H186" s="166" t="s">
        <v>48</v>
      </c>
      <c r="I186" s="8" t="s">
        <v>63</v>
      </c>
      <c r="J186" s="8" t="s">
        <v>69</v>
      </c>
      <c r="K186" s="38"/>
      <c r="L186" s="27"/>
      <c r="M186" s="10"/>
    </row>
    <row r="187" spans="1:14">
      <c r="A187" s="198" t="s">
        <v>78</v>
      </c>
      <c r="B187" s="199"/>
      <c r="C187" s="199"/>
      <c r="D187" s="218"/>
      <c r="E187" s="166">
        <v>120</v>
      </c>
      <c r="F187" s="166"/>
      <c r="G187" s="166"/>
      <c r="H187" s="193">
        <f>50000*$O$4</f>
        <v>70</v>
      </c>
      <c r="I187" s="43">
        <v>1</v>
      </c>
      <c r="J187" s="194">
        <f>H187/I187</f>
        <v>70</v>
      </c>
      <c r="K187" s="38"/>
      <c r="L187" s="27"/>
      <c r="M187" s="27"/>
      <c r="N187" s="10"/>
    </row>
    <row r="188" spans="1:14">
      <c r="A188" s="198" t="s">
        <v>79</v>
      </c>
      <c r="B188" s="199"/>
      <c r="C188" s="199"/>
      <c r="D188" s="218"/>
      <c r="E188" s="166">
        <v>640</v>
      </c>
      <c r="F188" s="166"/>
      <c r="G188" s="166"/>
      <c r="H188" s="193">
        <f t="shared" ref="H188:H189" si="14">50000*$O$4</f>
        <v>70</v>
      </c>
      <c r="I188" s="43">
        <v>1</v>
      </c>
      <c r="J188" s="194">
        <f t="shared" ref="J188:J189" si="15">H188/I188</f>
        <v>70</v>
      </c>
      <c r="K188" s="38"/>
      <c r="L188" s="27"/>
      <c r="M188" s="27"/>
      <c r="N188" s="10"/>
    </row>
    <row r="189" spans="1:14" ht="18" customHeight="1" thickBot="1">
      <c r="A189" s="198" t="s">
        <v>80</v>
      </c>
      <c r="B189" s="199"/>
      <c r="C189" s="199"/>
      <c r="D189" s="218"/>
      <c r="E189" s="166">
        <v>200</v>
      </c>
      <c r="F189" s="166"/>
      <c r="G189" s="166"/>
      <c r="H189" s="193">
        <f t="shared" si="14"/>
        <v>70</v>
      </c>
      <c r="I189" s="43">
        <v>1</v>
      </c>
      <c r="J189" s="194">
        <f t="shared" si="15"/>
        <v>70</v>
      </c>
      <c r="K189" s="38"/>
      <c r="L189" s="27"/>
      <c r="M189" s="27"/>
      <c r="N189" s="10"/>
    </row>
    <row r="190" spans="1:14" ht="15" thickBot="1">
      <c r="A190" s="229" t="s">
        <v>57</v>
      </c>
      <c r="B190" s="230"/>
      <c r="C190" s="230"/>
      <c r="D190" s="230"/>
      <c r="E190" s="230"/>
      <c r="F190" s="230"/>
      <c r="G190" s="231"/>
      <c r="H190" s="195">
        <f>SUM(H187:H189)</f>
        <v>210</v>
      </c>
      <c r="I190" s="196"/>
      <c r="J190" s="187">
        <f>SUM(J187:J189)</f>
        <v>210</v>
      </c>
      <c r="K190" s="10"/>
      <c r="L190" s="10"/>
      <c r="M190" s="10"/>
      <c r="N190" s="10"/>
    </row>
    <row r="191" spans="1:14" ht="25.2" customHeight="1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</row>
    <row r="192" spans="1:14">
      <c r="A192" s="205" t="s">
        <v>29</v>
      </c>
      <c r="B192" s="205"/>
      <c r="C192" s="205"/>
      <c r="D192" s="205"/>
      <c r="E192" s="205"/>
      <c r="F192" s="205"/>
      <c r="G192" s="205"/>
      <c r="H192" s="205"/>
      <c r="I192" s="205"/>
      <c r="J192" s="205"/>
      <c r="K192" s="205"/>
      <c r="L192" s="205"/>
      <c r="M192" s="205"/>
    </row>
    <row r="193" spans="1:18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</row>
    <row r="194" spans="1:18" ht="60" customHeight="1">
      <c r="A194" s="233" t="s">
        <v>30</v>
      </c>
      <c r="B194" s="234"/>
      <c r="C194" s="235"/>
      <c r="D194" s="200" t="s">
        <v>31</v>
      </c>
      <c r="E194" s="201"/>
      <c r="F194" s="201"/>
      <c r="G194" s="201"/>
      <c r="H194" s="201"/>
      <c r="I194" s="201"/>
      <c r="J194" s="201"/>
      <c r="K194" s="201"/>
      <c r="L194" s="201"/>
      <c r="M194" s="202"/>
      <c r="N194" s="169" t="s">
        <v>35</v>
      </c>
      <c r="O194" s="111"/>
      <c r="R194" s="123"/>
    </row>
    <row r="195" spans="1:18" ht="24" customHeight="1">
      <c r="A195" s="9" t="s">
        <v>32</v>
      </c>
      <c r="B195" s="103" t="s">
        <v>33</v>
      </c>
      <c r="C195" s="9" t="s">
        <v>34</v>
      </c>
      <c r="D195" s="8" t="s">
        <v>119</v>
      </c>
      <c r="E195" s="8" t="s">
        <v>120</v>
      </c>
      <c r="F195" s="8" t="s">
        <v>121</v>
      </c>
      <c r="G195" s="8" t="s">
        <v>122</v>
      </c>
      <c r="H195" s="24" t="s">
        <v>139</v>
      </c>
      <c r="I195" s="24" t="s">
        <v>143</v>
      </c>
      <c r="J195" s="24" t="s">
        <v>123</v>
      </c>
      <c r="K195" s="33" t="s">
        <v>124</v>
      </c>
      <c r="L195" s="166" t="s">
        <v>122</v>
      </c>
      <c r="M195" s="166" t="s">
        <v>168</v>
      </c>
      <c r="N195" s="170"/>
      <c r="O195" s="111"/>
    </row>
    <row r="196" spans="1:18" ht="15" thickBot="1">
      <c r="A196" s="14">
        <f>J69</f>
        <v>16111.23</v>
      </c>
      <c r="B196" s="14"/>
      <c r="C196" s="14"/>
      <c r="D196" s="14">
        <f>J78</f>
        <v>71.89</v>
      </c>
      <c r="E196" s="14">
        <f>J88</f>
        <v>2883.02</v>
      </c>
      <c r="F196" s="14">
        <f>I99</f>
        <v>441.50679999999994</v>
      </c>
      <c r="G196" s="14">
        <f>I110</f>
        <v>712.33138199999996</v>
      </c>
      <c r="H196" s="36">
        <f>H115</f>
        <v>9.73</v>
      </c>
      <c r="I196" s="36">
        <f>H138</f>
        <v>182</v>
      </c>
      <c r="J196" s="36">
        <f>H121</f>
        <v>128.21195800000001</v>
      </c>
      <c r="K196" s="93">
        <f>J169</f>
        <v>29342.85</v>
      </c>
      <c r="L196" s="92">
        <f>J184+J190+H175+H179</f>
        <v>1887.2628600000003</v>
      </c>
      <c r="M196" s="92">
        <f>H126</f>
        <v>239.09199999999998</v>
      </c>
      <c r="N196" s="135">
        <f>SUM(D196:M196)+A196</f>
        <v>52009.125</v>
      </c>
      <c r="O196" s="112"/>
    </row>
    <row r="197" spans="1:18" ht="15" thickBot="1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P197" s="88">
        <f>N196*1</f>
        <v>52009.125</v>
      </c>
    </row>
    <row r="198" spans="1:18" ht="15" thickBot="1">
      <c r="A198" s="13" t="s">
        <v>64</v>
      </c>
      <c r="B198" s="13"/>
      <c r="C198" s="13"/>
      <c r="D198" s="10"/>
      <c r="E198" s="10"/>
      <c r="F198" s="10"/>
      <c r="G198" s="10"/>
      <c r="H198" s="10"/>
      <c r="I198" s="10"/>
      <c r="J198" s="64">
        <f>H190+H184+F179+F175+H169+F138+F126+F121+F115+G110+G99+H88+H78+H70</f>
        <v>52009.125</v>
      </c>
      <c r="K198" s="10"/>
      <c r="L198" s="10"/>
      <c r="M198" s="10"/>
      <c r="P198" s="123"/>
    </row>
    <row r="199" spans="1:18" ht="26.25" customHeight="1">
      <c r="A199" s="10"/>
      <c r="B199" s="10"/>
      <c r="C199" s="10"/>
      <c r="D199" s="10"/>
      <c r="E199" s="10"/>
      <c r="F199" s="10"/>
      <c r="G199" s="10"/>
      <c r="H199" s="10"/>
      <c r="I199" s="10"/>
      <c r="K199" s="10"/>
      <c r="L199" s="10"/>
      <c r="N199" s="219"/>
      <c r="O199" s="219"/>
    </row>
    <row r="200" spans="1:18" ht="17.25" customHeight="1">
      <c r="A200" s="2" t="s">
        <v>116</v>
      </c>
      <c r="B200" s="2"/>
      <c r="C200" s="2"/>
      <c r="I200" s="2" t="s">
        <v>117</v>
      </c>
    </row>
    <row r="201" spans="1:18" ht="9.75" customHeight="1"/>
    <row r="202" spans="1:18" ht="15.6">
      <c r="A202" s="100" t="s">
        <v>43</v>
      </c>
      <c r="B202" s="6"/>
    </row>
    <row r="203" spans="1:18" ht="15.6">
      <c r="A203" s="100" t="s">
        <v>138</v>
      </c>
      <c r="B203" s="6"/>
    </row>
    <row r="204" spans="1:18" ht="15.6">
      <c r="A204" s="100" t="s">
        <v>81</v>
      </c>
      <c r="C204" s="6"/>
    </row>
    <row r="205" spans="1:18" ht="15.6">
      <c r="A205" s="1"/>
      <c r="B205" s="1"/>
      <c r="C205" s="1"/>
    </row>
    <row r="207" spans="1:18">
      <c r="J207" s="139">
        <f>J198/O4</f>
        <v>37149375</v>
      </c>
    </row>
    <row r="210" spans="10:10">
      <c r="J210" s="176">
        <v>37149375</v>
      </c>
    </row>
    <row r="213" spans="10:10">
      <c r="J213">
        <f>J207-J210</f>
        <v>0</v>
      </c>
    </row>
  </sheetData>
  <mergeCells count="199"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75:D75"/>
    <mergeCell ref="A76:D76"/>
    <mergeCell ref="A84:D84"/>
    <mergeCell ref="A94:D94"/>
    <mergeCell ref="A85:D85"/>
    <mergeCell ref="A86:D86"/>
    <mergeCell ref="A87:D87"/>
    <mergeCell ref="A88:D88"/>
    <mergeCell ref="A80:M80"/>
    <mergeCell ref="A82:D82"/>
    <mergeCell ref="A83:D83"/>
    <mergeCell ref="A92:D92"/>
    <mergeCell ref="A93:D93"/>
    <mergeCell ref="A90:M90"/>
    <mergeCell ref="A91:D91"/>
    <mergeCell ref="A129:D129"/>
    <mergeCell ref="A130:D130"/>
    <mergeCell ref="A131:D131"/>
    <mergeCell ref="A118:D118"/>
    <mergeCell ref="A119:D119"/>
    <mergeCell ref="A124:D124"/>
    <mergeCell ref="A125:D125"/>
    <mergeCell ref="A128:M128"/>
    <mergeCell ref="A77:D77"/>
    <mergeCell ref="A78:D78"/>
    <mergeCell ref="A81:D81"/>
    <mergeCell ref="A143:D143"/>
    <mergeCell ref="A144:D144"/>
    <mergeCell ref="A145:D145"/>
    <mergeCell ref="A164:D164"/>
    <mergeCell ref="A165:D165"/>
    <mergeCell ref="A146:D146"/>
    <mergeCell ref="A132:D132"/>
    <mergeCell ref="A137:D137"/>
    <mergeCell ref="A135:D135"/>
    <mergeCell ref="A136:D136"/>
    <mergeCell ref="A133:D133"/>
    <mergeCell ref="A134:D134"/>
    <mergeCell ref="A138:D138"/>
    <mergeCell ref="A141:D141"/>
    <mergeCell ref="A142:D142"/>
    <mergeCell ref="A140:M140"/>
    <mergeCell ref="A152:D152"/>
    <mergeCell ref="A153:D153"/>
    <mergeCell ref="A155:D155"/>
    <mergeCell ref="A156:D156"/>
    <mergeCell ref="A175:D175"/>
    <mergeCell ref="A149:D149"/>
    <mergeCell ref="A150:D150"/>
    <mergeCell ref="A151:D151"/>
    <mergeCell ref="A160:D160"/>
    <mergeCell ref="A161:D161"/>
    <mergeCell ref="A162:D162"/>
    <mergeCell ref="A154:D154"/>
    <mergeCell ref="A168:D168"/>
    <mergeCell ref="A184:G184"/>
    <mergeCell ref="A186:D186"/>
    <mergeCell ref="A101:M101"/>
    <mergeCell ref="A102:D102"/>
    <mergeCell ref="A103:D103"/>
    <mergeCell ref="A98:D98"/>
    <mergeCell ref="A95:D95"/>
    <mergeCell ref="A96:D96"/>
    <mergeCell ref="A97:D97"/>
    <mergeCell ref="A114:D114"/>
    <mergeCell ref="A104:D104"/>
    <mergeCell ref="A105:D105"/>
    <mergeCell ref="A106:D106"/>
    <mergeCell ref="A109:D109"/>
    <mergeCell ref="A113:D113"/>
    <mergeCell ref="A107:D107"/>
    <mergeCell ref="A108:D108"/>
    <mergeCell ref="A110:D110"/>
    <mergeCell ref="A112:M112"/>
    <mergeCell ref="H113:I113"/>
    <mergeCell ref="H114:I114"/>
    <mergeCell ref="A115:D115"/>
    <mergeCell ref="A147:D147"/>
    <mergeCell ref="A148:D148"/>
    <mergeCell ref="H115:I115"/>
    <mergeCell ref="A117:M117"/>
    <mergeCell ref="A120:D120"/>
    <mergeCell ref="A121:D121"/>
    <mergeCell ref="A123:N123"/>
    <mergeCell ref="H124:I124"/>
    <mergeCell ref="H125:I125"/>
    <mergeCell ref="A126:D126"/>
    <mergeCell ref="H126:I126"/>
    <mergeCell ref="A187:D187"/>
    <mergeCell ref="A188:D188"/>
    <mergeCell ref="A189:D189"/>
    <mergeCell ref="A190:G190"/>
    <mergeCell ref="A192:M192"/>
    <mergeCell ref="A194:C194"/>
    <mergeCell ref="D194:M194"/>
    <mergeCell ref="N199:O199"/>
    <mergeCell ref="A157:D157"/>
    <mergeCell ref="A158:D158"/>
    <mergeCell ref="A159:D159"/>
    <mergeCell ref="A163:D163"/>
    <mergeCell ref="A167:D167"/>
    <mergeCell ref="A171:K171"/>
    <mergeCell ref="A177:D177"/>
    <mergeCell ref="A178:D178"/>
    <mergeCell ref="A179:D179"/>
    <mergeCell ref="A166:D166"/>
    <mergeCell ref="A173:D173"/>
    <mergeCell ref="A174:D174"/>
    <mergeCell ref="A169:D169"/>
    <mergeCell ref="A181:D181"/>
    <mergeCell ref="A182:D182"/>
    <mergeCell ref="A183:D183"/>
  </mergeCells>
  <pageMargins left="0.51181102362204722" right="0.11811023622047245" top="0.35433070866141736" bottom="0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:A8"/>
  <sheetViews>
    <sheetView zoomScale="60" zoomScaleNormal="60" workbookViewId="0">
      <selection activeCell="A9" sqref="A9"/>
    </sheetView>
  </sheetViews>
  <sheetFormatPr defaultRowHeight="14.4"/>
  <cols>
    <col min="1" max="1" width="45.21875" customWidth="1"/>
  </cols>
  <sheetData>
    <row r="3" spans="1:1">
      <c r="A3" s="123">
        <f>'Услуга №1'!J199+'Услуга №2'!J199+'Работа №1'!J198+'Работа №2'!J198+'Работа №3'!J198+'Работа №4'!J185</f>
        <v>37097365.875</v>
      </c>
    </row>
    <row r="6" spans="1:1">
      <c r="A6" s="123">
        <f>'Услуга №1'!J199+'Услуга №2'!J199+'Работа №1'!J198+'Работа №2'!J198+'Работа №3'!J198+'Работа №4'!J198</f>
        <v>37149375</v>
      </c>
    </row>
    <row r="8" spans="1:1">
      <c r="A8" s="115">
        <f>'Услуга №1'!F38+'Услуга №1'!L38+'Услуга №2'!F38+'Услуга №2'!L38+'Работа №1'!F38+'Работа №1'!L38+'Работа №2'!F38+'Работа №2'!L38+'Работа №3'!F38+'Работа №3'!L38+'Работа №4'!F38+'Работа №4'!L38</f>
        <v>62.34875000000001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Услуга №1</vt:lpstr>
      <vt:lpstr>Услуга №2</vt:lpstr>
      <vt:lpstr>Работа №1</vt:lpstr>
      <vt:lpstr>Работа №2</vt:lpstr>
      <vt:lpstr>Работа №3</vt:lpstr>
      <vt:lpstr>Работа №4</vt:lpstr>
      <vt:lpstr>ВСЕГО</vt:lpstr>
      <vt:lpstr>'Работа №1'!Область_печати</vt:lpstr>
      <vt:lpstr>'Работа №2'!Область_печати</vt:lpstr>
      <vt:lpstr>'Работа №3'!Область_печати</vt:lpstr>
      <vt:lpstr>'Работа №4'!Область_печати</vt:lpstr>
      <vt:lpstr>'Услуга №1'!Область_печати</vt:lpstr>
      <vt:lpstr>'Услуга №2'!Область_печати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2020-12-23T06:58:49Z</dcterms:modified>
</cp:coreProperties>
</file>