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дошк.обр" sheetId="1" r:id="rId1"/>
    <sheet name="свод" sheetId="2" r:id="rId2"/>
    <sheet name="Лист3" sheetId="3" r:id="rId3"/>
  </sheets>
  <definedNames>
    <definedName name="_xlnm.Print_Area" localSheetId="1">свод!$A$1:$J$39</definedName>
  </definedNames>
  <calcPr calcId="124519"/>
</workbook>
</file>

<file path=xl/calcChain.xml><?xml version="1.0" encoding="utf-8"?>
<calcChain xmlns="http://schemas.openxmlformats.org/spreadsheetml/2006/main">
  <c r="F27" i="2"/>
  <c r="F26"/>
  <c r="M34" i="1" l="1"/>
  <c r="M47"/>
  <c r="M46"/>
  <c r="M44"/>
  <c r="M43"/>
  <c r="M40"/>
  <c r="M39"/>
  <c r="M37"/>
  <c r="M36"/>
  <c r="M33"/>
  <c r="M28"/>
  <c r="M27"/>
  <c r="M25"/>
  <c r="M24"/>
  <c r="M19"/>
  <c r="M16"/>
  <c r="M15"/>
  <c r="M13"/>
  <c r="M12"/>
  <c r="M10"/>
  <c r="M9"/>
  <c r="M31"/>
  <c r="M30"/>
  <c r="M22"/>
  <c r="M21"/>
  <c r="M18"/>
  <c r="G35" i="2"/>
  <c r="I35" s="1"/>
  <c r="E35"/>
  <c r="G34"/>
  <c r="I34" s="1"/>
  <c r="E34"/>
  <c r="B8" i="1" l="1"/>
  <c r="F38" i="2" l="1"/>
  <c r="R19" i="1" l="1"/>
  <c r="R18"/>
  <c r="L13" l="1"/>
  <c r="K125" l="1"/>
  <c r="B39" i="2" l="1"/>
  <c r="B20"/>
  <c r="G30" l="1"/>
  <c r="M8" i="1"/>
  <c r="K135"/>
  <c r="K134"/>
  <c r="K133"/>
  <c r="K132"/>
  <c r="K131"/>
  <c r="K130"/>
  <c r="K129"/>
  <c r="K128"/>
  <c r="K127"/>
  <c r="K126"/>
  <c r="K136"/>
  <c r="K137"/>
  <c r="L121"/>
  <c r="N121" s="1"/>
  <c r="L120"/>
  <c r="N120" s="1"/>
  <c r="M119"/>
  <c r="K119"/>
  <c r="J119"/>
  <c r="I119"/>
  <c r="H119"/>
  <c r="G119"/>
  <c r="F119"/>
  <c r="E119"/>
  <c r="D119"/>
  <c r="C119"/>
  <c r="B119"/>
  <c r="L118"/>
  <c r="N118" s="1"/>
  <c r="L117"/>
  <c r="N117" s="1"/>
  <c r="M116"/>
  <c r="K116"/>
  <c r="J116"/>
  <c r="I116"/>
  <c r="H116"/>
  <c r="G116"/>
  <c r="F116"/>
  <c r="E116"/>
  <c r="D116"/>
  <c r="C116"/>
  <c r="B116"/>
  <c r="L114"/>
  <c r="N114" s="1"/>
  <c r="L113"/>
  <c r="N113" s="1"/>
  <c r="M112"/>
  <c r="K112"/>
  <c r="J112"/>
  <c r="I112"/>
  <c r="H112"/>
  <c r="G112"/>
  <c r="F112"/>
  <c r="E112"/>
  <c r="D112"/>
  <c r="C112"/>
  <c r="B112"/>
  <c r="L111"/>
  <c r="N111" s="1"/>
  <c r="L110"/>
  <c r="N110" s="1"/>
  <c r="M109"/>
  <c r="K109"/>
  <c r="J109"/>
  <c r="I109"/>
  <c r="H109"/>
  <c r="G109"/>
  <c r="F109"/>
  <c r="E109"/>
  <c r="D109"/>
  <c r="C109"/>
  <c r="B109"/>
  <c r="L108"/>
  <c r="N108" s="1"/>
  <c r="L107"/>
  <c r="N107" s="1"/>
  <c r="M106"/>
  <c r="K106"/>
  <c r="J106"/>
  <c r="I106"/>
  <c r="H106"/>
  <c r="G106"/>
  <c r="F106"/>
  <c r="E106"/>
  <c r="D106"/>
  <c r="C106"/>
  <c r="B106"/>
  <c r="L105"/>
  <c r="N105" s="1"/>
  <c r="L104"/>
  <c r="N104" s="1"/>
  <c r="M103"/>
  <c r="K103"/>
  <c r="J103"/>
  <c r="I103"/>
  <c r="H103"/>
  <c r="G103"/>
  <c r="F103"/>
  <c r="E103"/>
  <c r="D103"/>
  <c r="C103"/>
  <c r="B103"/>
  <c r="L102"/>
  <c r="N102" s="1"/>
  <c r="L101"/>
  <c r="N101" s="1"/>
  <c r="M100"/>
  <c r="K100"/>
  <c r="J100"/>
  <c r="I100"/>
  <c r="H100"/>
  <c r="G100"/>
  <c r="F100"/>
  <c r="E100"/>
  <c r="D100"/>
  <c r="C100"/>
  <c r="B100"/>
  <c r="L99"/>
  <c r="N99" s="1"/>
  <c r="L98"/>
  <c r="N98" s="1"/>
  <c r="M97"/>
  <c r="K97"/>
  <c r="J97"/>
  <c r="I97"/>
  <c r="H97"/>
  <c r="G97"/>
  <c r="F97"/>
  <c r="E97"/>
  <c r="D97"/>
  <c r="C97"/>
  <c r="B97"/>
  <c r="L96"/>
  <c r="N96" s="1"/>
  <c r="L95"/>
  <c r="N95" s="1"/>
  <c r="M94"/>
  <c r="K94"/>
  <c r="J94"/>
  <c r="I94"/>
  <c r="H94"/>
  <c r="G94"/>
  <c r="F94"/>
  <c r="E94"/>
  <c r="D94"/>
  <c r="C94"/>
  <c r="B94"/>
  <c r="L93"/>
  <c r="N93" s="1"/>
  <c r="L92"/>
  <c r="N92" s="1"/>
  <c r="M91"/>
  <c r="K91"/>
  <c r="J91"/>
  <c r="I91"/>
  <c r="H91"/>
  <c r="G91"/>
  <c r="F91"/>
  <c r="E91"/>
  <c r="D91"/>
  <c r="C91"/>
  <c r="B91"/>
  <c r="L90"/>
  <c r="L89"/>
  <c r="N89" s="1"/>
  <c r="M88"/>
  <c r="K88"/>
  <c r="J88"/>
  <c r="I88"/>
  <c r="H88"/>
  <c r="G88"/>
  <c r="F88"/>
  <c r="E88"/>
  <c r="D88"/>
  <c r="C88"/>
  <c r="B88"/>
  <c r="L87"/>
  <c r="N87" s="1"/>
  <c r="L86"/>
  <c r="N86" s="1"/>
  <c r="M85"/>
  <c r="K85"/>
  <c r="J85"/>
  <c r="I85"/>
  <c r="H85"/>
  <c r="G85"/>
  <c r="F85"/>
  <c r="E85"/>
  <c r="D85"/>
  <c r="C85"/>
  <c r="B85"/>
  <c r="L84"/>
  <c r="N84" s="1"/>
  <c r="L83"/>
  <c r="N83" s="1"/>
  <c r="M82"/>
  <c r="K82"/>
  <c r="J82"/>
  <c r="I82"/>
  <c r="H82"/>
  <c r="G82"/>
  <c r="F82"/>
  <c r="E82"/>
  <c r="D82"/>
  <c r="C82"/>
  <c r="L82" s="1"/>
  <c r="G37" i="2"/>
  <c r="E36"/>
  <c r="H36" s="1"/>
  <c r="G27"/>
  <c r="G26"/>
  <c r="G25"/>
  <c r="E17"/>
  <c r="H17" s="1"/>
  <c r="M125" i="1" l="1"/>
  <c r="M122"/>
  <c r="N82"/>
  <c r="P82" s="1"/>
  <c r="N119"/>
  <c r="P119" s="1"/>
  <c r="L116"/>
  <c r="N112"/>
  <c r="N109"/>
  <c r="P109" s="1"/>
  <c r="N106"/>
  <c r="P106" s="1"/>
  <c r="N103"/>
  <c r="N100"/>
  <c r="P100" s="1"/>
  <c r="N97"/>
  <c r="P97" s="1"/>
  <c r="N94"/>
  <c r="P94" s="1"/>
  <c r="N90"/>
  <c r="N88" s="1"/>
  <c r="P88" s="1"/>
  <c r="N91"/>
  <c r="P91" s="1"/>
  <c r="L91"/>
  <c r="E37" i="2" s="1"/>
  <c r="I37" s="1"/>
  <c r="N85" i="1"/>
  <c r="P85" s="1"/>
  <c r="E31" i="2"/>
  <c r="L119" i="1"/>
  <c r="N116"/>
  <c r="P116" s="1"/>
  <c r="L112"/>
  <c r="L109"/>
  <c r="L106"/>
  <c r="L103"/>
  <c r="L100"/>
  <c r="L97"/>
  <c r="L94"/>
  <c r="E38" i="2" s="1"/>
  <c r="L88" i="1"/>
  <c r="E33" i="2" s="1"/>
  <c r="L85" i="1"/>
  <c r="E32" i="2" s="1"/>
  <c r="P103" i="1"/>
  <c r="P112"/>
  <c r="M45"/>
  <c r="M137" s="1"/>
  <c r="L137" s="1"/>
  <c r="L47"/>
  <c r="L46"/>
  <c r="K45"/>
  <c r="J45"/>
  <c r="I45"/>
  <c r="H45"/>
  <c r="G45"/>
  <c r="F45"/>
  <c r="R45" s="1"/>
  <c r="E45"/>
  <c r="S45" s="1"/>
  <c r="D45"/>
  <c r="C45"/>
  <c r="B45"/>
  <c r="L44"/>
  <c r="L43"/>
  <c r="M42"/>
  <c r="M136" s="1"/>
  <c r="L136" s="1"/>
  <c r="K42"/>
  <c r="J42"/>
  <c r="I42"/>
  <c r="H42"/>
  <c r="G42"/>
  <c r="F42"/>
  <c r="R42" s="1"/>
  <c r="E42"/>
  <c r="S42" s="1"/>
  <c r="D42"/>
  <c r="C42"/>
  <c r="B42"/>
  <c r="Q42" s="1"/>
  <c r="L40"/>
  <c r="L39"/>
  <c r="N39" s="1"/>
  <c r="K38"/>
  <c r="J38"/>
  <c r="I38"/>
  <c r="H38"/>
  <c r="G38"/>
  <c r="F38"/>
  <c r="R38" s="1"/>
  <c r="E38"/>
  <c r="S38" s="1"/>
  <c r="D38"/>
  <c r="C38"/>
  <c r="B38"/>
  <c r="L37"/>
  <c r="L36"/>
  <c r="N36" s="1"/>
  <c r="K35"/>
  <c r="J35"/>
  <c r="I35"/>
  <c r="H35"/>
  <c r="G35"/>
  <c r="F35"/>
  <c r="R35" s="1"/>
  <c r="E35"/>
  <c r="S35" s="1"/>
  <c r="D35"/>
  <c r="C35"/>
  <c r="B35"/>
  <c r="Q35" s="1"/>
  <c r="M32"/>
  <c r="M133" s="1"/>
  <c r="L133" s="1"/>
  <c r="L34"/>
  <c r="N34" s="1"/>
  <c r="O133" s="1"/>
  <c r="R133" s="1"/>
  <c r="L33"/>
  <c r="K32"/>
  <c r="J32"/>
  <c r="I32"/>
  <c r="H32"/>
  <c r="G32"/>
  <c r="F32"/>
  <c r="R32" s="1"/>
  <c r="E32"/>
  <c r="S32" s="1"/>
  <c r="D32"/>
  <c r="C32"/>
  <c r="B32"/>
  <c r="G38" i="2" l="1"/>
  <c r="Q38" i="1"/>
  <c r="Q45"/>
  <c r="Q32"/>
  <c r="N37"/>
  <c r="O134" s="1"/>
  <c r="R134" s="1"/>
  <c r="N40"/>
  <c r="N43"/>
  <c r="P43" s="1"/>
  <c r="N46"/>
  <c r="P46" s="1"/>
  <c r="C15" i="2"/>
  <c r="N33" i="1"/>
  <c r="N32" s="1"/>
  <c r="N44"/>
  <c r="N47"/>
  <c r="C18" i="2"/>
  <c r="D14"/>
  <c r="D15"/>
  <c r="D18"/>
  <c r="C14"/>
  <c r="C16"/>
  <c r="C19"/>
  <c r="D16"/>
  <c r="D19"/>
  <c r="L45" i="1"/>
  <c r="L42"/>
  <c r="L38"/>
  <c r="L35"/>
  <c r="E27" i="2" s="1"/>
  <c r="I27" s="1"/>
  <c r="M35" i="1"/>
  <c r="M134" s="1"/>
  <c r="L134" s="1"/>
  <c r="M38"/>
  <c r="M135" s="1"/>
  <c r="L135" s="1"/>
  <c r="L32"/>
  <c r="E26" i="2" s="1"/>
  <c r="I26" s="1"/>
  <c r="L31" i="1"/>
  <c r="L30"/>
  <c r="M29"/>
  <c r="M132" s="1"/>
  <c r="L132" s="1"/>
  <c r="K29"/>
  <c r="J29"/>
  <c r="I29"/>
  <c r="H29"/>
  <c r="G29"/>
  <c r="F29"/>
  <c r="R29" s="1"/>
  <c r="E29"/>
  <c r="S29" s="1"/>
  <c r="D29"/>
  <c r="C29"/>
  <c r="B29"/>
  <c r="M26"/>
  <c r="M131" s="1"/>
  <c r="L131" s="1"/>
  <c r="L28"/>
  <c r="L27"/>
  <c r="K26"/>
  <c r="J26"/>
  <c r="I26"/>
  <c r="H26"/>
  <c r="G26"/>
  <c r="F26"/>
  <c r="R26" s="1"/>
  <c r="E26"/>
  <c r="S26" s="1"/>
  <c r="D26"/>
  <c r="C26"/>
  <c r="B26"/>
  <c r="Q26" s="1"/>
  <c r="M23"/>
  <c r="M130" s="1"/>
  <c r="L130" s="1"/>
  <c r="L25"/>
  <c r="L24"/>
  <c r="K23"/>
  <c r="J23"/>
  <c r="I23"/>
  <c r="H23"/>
  <c r="G23"/>
  <c r="F23"/>
  <c r="R23" s="1"/>
  <c r="E23"/>
  <c r="S23" s="1"/>
  <c r="D23"/>
  <c r="C23"/>
  <c r="B23"/>
  <c r="M20"/>
  <c r="M129" s="1"/>
  <c r="L129" s="1"/>
  <c r="L22"/>
  <c r="L21"/>
  <c r="K20"/>
  <c r="J20"/>
  <c r="I20"/>
  <c r="H20"/>
  <c r="G20"/>
  <c r="F20"/>
  <c r="R20" s="1"/>
  <c r="E20"/>
  <c r="S20" s="1"/>
  <c r="D20"/>
  <c r="C20"/>
  <c r="B20"/>
  <c r="O136" l="1"/>
  <c r="R136" s="1"/>
  <c r="P44"/>
  <c r="I38" i="2"/>
  <c r="O137" i="1"/>
  <c r="R137" s="1"/>
  <c r="P47"/>
  <c r="E19" i="2"/>
  <c r="Q29" i="1"/>
  <c r="Q23"/>
  <c r="Q20"/>
  <c r="N35"/>
  <c r="N134" s="1"/>
  <c r="Q134" s="1"/>
  <c r="N133"/>
  <c r="P133" s="1"/>
  <c r="S133" s="1"/>
  <c r="P32"/>
  <c r="N38"/>
  <c r="N135" s="1"/>
  <c r="O135"/>
  <c r="R135" s="1"/>
  <c r="N45"/>
  <c r="E16" i="2"/>
  <c r="E30"/>
  <c r="I30" s="1"/>
  <c r="N42" i="1"/>
  <c r="E29" i="2"/>
  <c r="E15"/>
  <c r="E18"/>
  <c r="E28"/>
  <c r="E14"/>
  <c r="N21" i="1"/>
  <c r="C10" i="2"/>
  <c r="N25" i="1"/>
  <c r="O130" s="1"/>
  <c r="R130" s="1"/>
  <c r="D11" i="2"/>
  <c r="N27" i="1"/>
  <c r="C12" i="2"/>
  <c r="N30" i="1"/>
  <c r="C13" i="2"/>
  <c r="N22" i="1"/>
  <c r="O129" s="1"/>
  <c r="R129" s="1"/>
  <c r="D10" i="2"/>
  <c r="N24" i="1"/>
  <c r="C11" i="2"/>
  <c r="N28" i="1"/>
  <c r="O131" s="1"/>
  <c r="R131" s="1"/>
  <c r="D12" i="2"/>
  <c r="N31" i="1"/>
  <c r="O132" s="1"/>
  <c r="R132" s="1"/>
  <c r="D13" i="2"/>
  <c r="E13" s="1"/>
  <c r="L29" i="1"/>
  <c r="E25" i="2" s="1"/>
  <c r="L26" i="1"/>
  <c r="L23"/>
  <c r="L20"/>
  <c r="M17"/>
  <c r="M128" s="1"/>
  <c r="L128" s="1"/>
  <c r="L19"/>
  <c r="L18"/>
  <c r="K17"/>
  <c r="J17"/>
  <c r="I17"/>
  <c r="H17"/>
  <c r="G17"/>
  <c r="F17"/>
  <c r="R17" s="1"/>
  <c r="E17"/>
  <c r="S17" s="1"/>
  <c r="D17"/>
  <c r="C17"/>
  <c r="B17"/>
  <c r="B14"/>
  <c r="B11"/>
  <c r="M14"/>
  <c r="M127" s="1"/>
  <c r="L127" s="1"/>
  <c r="L16"/>
  <c r="L15"/>
  <c r="K14"/>
  <c r="J14"/>
  <c r="I14"/>
  <c r="H14"/>
  <c r="G14"/>
  <c r="F14"/>
  <c r="R14" s="1"/>
  <c r="E14"/>
  <c r="S14" s="1"/>
  <c r="D14"/>
  <c r="C14"/>
  <c r="M11"/>
  <c r="L12"/>
  <c r="K11"/>
  <c r="J11"/>
  <c r="Q11" s="1"/>
  <c r="I11"/>
  <c r="H11"/>
  <c r="G11"/>
  <c r="F11"/>
  <c r="R11" s="1"/>
  <c r="E11"/>
  <c r="S11" s="1"/>
  <c r="D11"/>
  <c r="C11"/>
  <c r="G29" i="2" l="1"/>
  <c r="I25"/>
  <c r="M126" i="1"/>
  <c r="L126" s="1"/>
  <c r="M49"/>
  <c r="F18" i="2"/>
  <c r="G13"/>
  <c r="C7"/>
  <c r="N12" i="1"/>
  <c r="P134"/>
  <c r="S134" s="1"/>
  <c r="Q17"/>
  <c r="P35"/>
  <c r="Q14"/>
  <c r="P135"/>
  <c r="S135" s="1"/>
  <c r="Q133"/>
  <c r="Q135"/>
  <c r="P38"/>
  <c r="E10" i="2"/>
  <c r="F10" s="1"/>
  <c r="N29" i="1"/>
  <c r="N132" s="1"/>
  <c r="N26"/>
  <c r="P26" s="1"/>
  <c r="N23"/>
  <c r="P23" s="1"/>
  <c r="N20"/>
  <c r="N129" s="1"/>
  <c r="P45"/>
  <c r="N137"/>
  <c r="P42"/>
  <c r="N136"/>
  <c r="E12" i="2"/>
  <c r="L11" i="1"/>
  <c r="E11" i="2"/>
  <c r="N13" i="1"/>
  <c r="D7" i="2"/>
  <c r="N15" i="1"/>
  <c r="C8" i="2"/>
  <c r="N18" i="1"/>
  <c r="C9" i="2"/>
  <c r="N16" i="1"/>
  <c r="O127" s="1"/>
  <c r="R127" s="1"/>
  <c r="D8" i="2"/>
  <c r="N19" i="1"/>
  <c r="O128" s="1"/>
  <c r="R128" s="1"/>
  <c r="D9" i="2"/>
  <c r="L17" i="1"/>
  <c r="L14"/>
  <c r="L125"/>
  <c r="L10"/>
  <c r="N10" s="1"/>
  <c r="I8"/>
  <c r="J8"/>
  <c r="Q8" s="1"/>
  <c r="K8"/>
  <c r="H8"/>
  <c r="F8"/>
  <c r="R8" s="1"/>
  <c r="R48" s="1"/>
  <c r="G8"/>
  <c r="E8"/>
  <c r="D8"/>
  <c r="C8"/>
  <c r="L9"/>
  <c r="I29" i="2" l="1"/>
  <c r="G31"/>
  <c r="I31" s="1"/>
  <c r="G32"/>
  <c r="I32" s="1"/>
  <c r="G33"/>
  <c r="I33" s="1"/>
  <c r="G28"/>
  <c r="I28" s="1"/>
  <c r="H39"/>
  <c r="E7"/>
  <c r="S8" i="1"/>
  <c r="S48" s="1"/>
  <c r="O125"/>
  <c r="R125" s="1"/>
  <c r="D6" i="2"/>
  <c r="I13"/>
  <c r="G18"/>
  <c r="I18" s="1"/>
  <c r="F19"/>
  <c r="G19" s="1"/>
  <c r="I19" s="1"/>
  <c r="N9" i="1"/>
  <c r="C6" i="2"/>
  <c r="O126" i="1"/>
  <c r="R126" s="1"/>
  <c r="N11"/>
  <c r="P11" s="1"/>
  <c r="Q48"/>
  <c r="P29"/>
  <c r="N131"/>
  <c r="P131" s="1"/>
  <c r="S131" s="1"/>
  <c r="N130"/>
  <c r="P130" s="1"/>
  <c r="S130" s="1"/>
  <c r="P20"/>
  <c r="N14"/>
  <c r="P14" s="1"/>
  <c r="E9" i="2"/>
  <c r="E8"/>
  <c r="Q137" i="1"/>
  <c r="P137"/>
  <c r="S137" s="1"/>
  <c r="P136"/>
  <c r="S136" s="1"/>
  <c r="Q136"/>
  <c r="P132"/>
  <c r="S132" s="1"/>
  <c r="Q132"/>
  <c r="Q129"/>
  <c r="P129"/>
  <c r="S129" s="1"/>
  <c r="N17"/>
  <c r="L8"/>
  <c r="G14" i="2" l="1"/>
  <c r="I14" s="1"/>
  <c r="G8"/>
  <c r="I8" s="1"/>
  <c r="G15"/>
  <c r="I15" s="1"/>
  <c r="G9"/>
  <c r="I9" s="1"/>
  <c r="G16"/>
  <c r="I16" s="1"/>
  <c r="G10"/>
  <c r="I10" s="1"/>
  <c r="G6"/>
  <c r="G12"/>
  <c r="I12" s="1"/>
  <c r="G7"/>
  <c r="I7" s="1"/>
  <c r="G11"/>
  <c r="I11" s="1"/>
  <c r="N126" i="1"/>
  <c r="P126" s="1"/>
  <c r="S126" s="1"/>
  <c r="Q131"/>
  <c r="N127"/>
  <c r="P127" s="1"/>
  <c r="S127" s="1"/>
  <c r="Q130"/>
  <c r="P17"/>
  <c r="N128"/>
  <c r="E6" i="2"/>
  <c r="N8" i="1"/>
  <c r="G20" i="2" l="1"/>
  <c r="H20"/>
  <c r="I6"/>
  <c r="Q126" i="1"/>
  <c r="P8"/>
  <c r="N49"/>
  <c r="Q127"/>
  <c r="P128"/>
  <c r="S128" s="1"/>
  <c r="Q128"/>
  <c r="N125"/>
  <c r="P125" l="1"/>
  <c r="S125" s="1"/>
  <c r="Q125"/>
</calcChain>
</file>

<file path=xl/sharedStrings.xml><?xml version="1.0" encoding="utf-8"?>
<sst xmlns="http://schemas.openxmlformats.org/spreadsheetml/2006/main" count="181" uniqueCount="55">
  <si>
    <t>УТВЕРЖДЕНИЕ БАЗОВОГО НОРМАТИВА</t>
  </si>
  <si>
    <t>ЗАТРАТЫ НЕПОСРЕДСТВЕННО СВЯЗАННЫЕ С ОКАЗАНИЕМ УСЛУГИ, РУБ.</t>
  </si>
  <si>
    <t>Оплата труда (ОТ1)</t>
  </si>
  <si>
    <t>Наименование учреждения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</si>
  <si>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</si>
  <si>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</si>
  <si>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</si>
  <si>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</si>
  <si>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</si>
  <si>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</si>
  <si>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</si>
  <si>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</si>
  <si>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</si>
  <si>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</si>
  <si>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</si>
  <si>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методом эффективного учреждения</t>
  </si>
  <si>
    <t>д/сад Вишенка</t>
  </si>
  <si>
    <t>краевой бюджет</t>
  </si>
  <si>
    <t>мун.бюджет</t>
  </si>
  <si>
    <t>в бюджете</t>
  </si>
  <si>
    <t>по норме</t>
  </si>
  <si>
    <t>УСЛУГА "Реализация основных общеобразовательных программ дошкольного образования"</t>
  </si>
  <si>
    <t>УСЛУГА "Присмотр и уход"</t>
  </si>
  <si>
    <t>д/сад Капитошка</t>
  </si>
  <si>
    <t>д/сад Катюша</t>
  </si>
  <si>
    <t>д/сад Колосок</t>
  </si>
  <si>
    <t>д/сад Росинка</t>
  </si>
  <si>
    <t>д/сад Сибирячок</t>
  </si>
  <si>
    <t>д/сад Тополек</t>
  </si>
  <si>
    <t>д/сад Аленка</t>
  </si>
  <si>
    <t>д/сад Теремок</t>
  </si>
  <si>
    <t>д/сад Калинка</t>
  </si>
  <si>
    <t>д/сад № 6</t>
  </si>
  <si>
    <t>Базовый норматив</t>
  </si>
  <si>
    <t>муниципальный бюджет</t>
  </si>
  <si>
    <t>Объем</t>
  </si>
  <si>
    <t>доведено бюджетом</t>
  </si>
  <si>
    <t>коэффициент выравнивания</t>
  </si>
  <si>
    <t>ИТОГО</t>
  </si>
  <si>
    <t>Базовый норматив методом эффективного учреждения</t>
  </si>
  <si>
    <t>Наименования учреждений</t>
  </si>
  <si>
    <t>автономные</t>
  </si>
  <si>
    <t>бюджетные</t>
  </si>
  <si>
    <t>в т.ч. Краевой</t>
  </si>
  <si>
    <t>в т.ч. Муниц.</t>
  </si>
  <si>
    <t>отконение</t>
  </si>
  <si>
    <t>всего</t>
  </si>
  <si>
    <t>Расчет субсидии</t>
  </si>
  <si>
    <t>зар.плата</t>
  </si>
  <si>
    <t>сод.</t>
  </si>
  <si>
    <t>ком.</t>
  </si>
  <si>
    <t>Школа №4</t>
  </si>
  <si>
    <t>филиал СШ №3</t>
  </si>
  <si>
    <t>№4</t>
  </si>
  <si>
    <t>№3</t>
  </si>
</sst>
</file>

<file path=xl/styles.xml><?xml version="1.0" encoding="utf-8"?>
<styleSheet xmlns="http://schemas.openxmlformats.org/spreadsheetml/2006/main">
  <numFmts count="4">
    <numFmt numFmtId="164" formatCode="#,##0.00_р_."/>
    <numFmt numFmtId="165" formatCode="0.0"/>
    <numFmt numFmtId="166" formatCode="0.0000"/>
    <numFmt numFmtId="167" formatCode="0.0000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0" fillId="0" borderId="2" xfId="0" applyBorder="1"/>
    <xf numFmtId="0" fontId="1" fillId="0" borderId="0" xfId="0" applyFont="1" applyAlignment="1">
      <alignment wrapText="1"/>
    </xf>
    <xf numFmtId="165" fontId="1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/>
    <xf numFmtId="0" fontId="4" fillId="0" borderId="0" xfId="0" applyFont="1"/>
    <xf numFmtId="0" fontId="5" fillId="0" borderId="0" xfId="0" applyFont="1"/>
    <xf numFmtId="165" fontId="0" fillId="0" borderId="0" xfId="0" applyNumberFormat="1"/>
    <xf numFmtId="0" fontId="6" fillId="0" borderId="0" xfId="0" applyFont="1" applyAlignment="1">
      <alignment wrapText="1"/>
    </xf>
    <xf numFmtId="164" fontId="0" fillId="2" borderId="1" xfId="0" applyNumberFormat="1" applyFill="1" applyBorder="1"/>
    <xf numFmtId="0" fontId="1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wrapText="1"/>
    </xf>
    <xf numFmtId="2" fontId="1" fillId="3" borderId="1" xfId="0" applyNumberFormat="1" applyFont="1" applyFill="1" applyBorder="1"/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/>
    <xf numFmtId="2" fontId="1" fillId="4" borderId="1" xfId="0" applyNumberFormat="1" applyFont="1" applyFill="1" applyBorder="1"/>
    <xf numFmtId="2" fontId="0" fillId="4" borderId="1" xfId="0" applyNumberFormat="1" applyFill="1" applyBorder="1"/>
    <xf numFmtId="0" fontId="0" fillId="0" borderId="0" xfId="0" applyBorder="1"/>
    <xf numFmtId="2" fontId="3" fillId="0" borderId="0" xfId="0" applyNumberFormat="1" applyFont="1" applyBorder="1"/>
    <xf numFmtId="2" fontId="1" fillId="0" borderId="0" xfId="0" applyNumberFormat="1" applyFont="1" applyBorder="1"/>
    <xf numFmtId="164" fontId="0" fillId="0" borderId="0" xfId="0" applyNumberFormat="1"/>
    <xf numFmtId="164" fontId="1" fillId="2" borderId="1" xfId="0" applyNumberFormat="1" applyFont="1" applyFill="1" applyBorder="1"/>
    <xf numFmtId="167" fontId="0" fillId="0" borderId="0" xfId="0" applyNumberFormat="1"/>
    <xf numFmtId="167" fontId="1" fillId="0" borderId="0" xfId="0" applyNumberFormat="1" applyFont="1"/>
    <xf numFmtId="2" fontId="0" fillId="0" borderId="0" xfId="0" applyNumberFormat="1"/>
    <xf numFmtId="167" fontId="3" fillId="0" borderId="4" xfId="0" applyNumberFormat="1" applyFont="1" applyBorder="1"/>
    <xf numFmtId="167" fontId="1" fillId="0" borderId="4" xfId="0" applyNumberFormat="1" applyFont="1" applyBorder="1"/>
    <xf numFmtId="167" fontId="3" fillId="0" borderId="5" xfId="0" applyNumberFormat="1" applyFont="1" applyBorder="1"/>
    <xf numFmtId="167" fontId="3" fillId="0" borderId="1" xfId="0" applyNumberFormat="1" applyFont="1" applyBorder="1"/>
    <xf numFmtId="167" fontId="1" fillId="0" borderId="1" xfId="0" applyNumberFormat="1" applyFont="1" applyBorder="1"/>
    <xf numFmtId="167" fontId="3" fillId="0" borderId="7" xfId="0" applyNumberFormat="1" applyFont="1" applyBorder="1"/>
    <xf numFmtId="167" fontId="3" fillId="0" borderId="9" xfId="0" applyNumberFormat="1" applyFont="1" applyBorder="1"/>
    <xf numFmtId="167" fontId="1" fillId="0" borderId="9" xfId="0" applyNumberFormat="1" applyFont="1" applyBorder="1"/>
    <xf numFmtId="167" fontId="3" fillId="0" borderId="10" xfId="0" applyNumberFormat="1" applyFont="1" applyBorder="1"/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/>
    <xf numFmtId="164" fontId="9" fillId="2" borderId="1" xfId="0" applyNumberFormat="1" applyFont="1" applyFill="1" applyBorder="1"/>
    <xf numFmtId="167" fontId="9" fillId="2" borderId="1" xfId="0" applyNumberFormat="1" applyFont="1" applyFill="1" applyBorder="1"/>
    <xf numFmtId="0" fontId="10" fillId="0" borderId="2" xfId="0" applyFont="1" applyBorder="1"/>
    <xf numFmtId="167" fontId="11" fillId="0" borderId="4" xfId="0" applyNumberFormat="1" applyFont="1" applyBorder="1"/>
    <xf numFmtId="167" fontId="12" fillId="0" borderId="4" xfId="0" applyNumberFormat="1" applyFont="1" applyBorder="1"/>
    <xf numFmtId="167" fontId="11" fillId="0" borderId="5" xfId="0" applyNumberFormat="1" applyFont="1" applyBorder="1"/>
    <xf numFmtId="0" fontId="10" fillId="0" borderId="0" xfId="0" applyFont="1"/>
    <xf numFmtId="165" fontId="10" fillId="0" borderId="0" xfId="0" applyNumberFormat="1" applyFont="1"/>
    <xf numFmtId="164" fontId="10" fillId="0" borderId="0" xfId="0" applyNumberFormat="1" applyFont="1"/>
    <xf numFmtId="0" fontId="10" fillId="0" borderId="6" xfId="0" applyFont="1" applyBorder="1"/>
    <xf numFmtId="167" fontId="11" fillId="0" borderId="1" xfId="0" applyNumberFormat="1" applyFont="1" applyBorder="1"/>
    <xf numFmtId="167" fontId="12" fillId="0" borderId="1" xfId="0" applyNumberFormat="1" applyFont="1" applyBorder="1"/>
    <xf numFmtId="167" fontId="11" fillId="0" borderId="7" xfId="0" applyNumberFormat="1" applyFont="1" applyBorder="1"/>
    <xf numFmtId="0" fontId="10" fillId="0" borderId="8" xfId="0" applyFont="1" applyBorder="1"/>
    <xf numFmtId="167" fontId="11" fillId="0" borderId="9" xfId="0" applyNumberFormat="1" applyFont="1" applyBorder="1"/>
    <xf numFmtId="167" fontId="12" fillId="0" borderId="9" xfId="0" applyNumberFormat="1" applyFont="1" applyBorder="1"/>
    <xf numFmtId="167" fontId="11" fillId="0" borderId="10" xfId="0" applyNumberFormat="1" applyFont="1" applyBorder="1"/>
    <xf numFmtId="0" fontId="1" fillId="0" borderId="0" xfId="0" applyFont="1" applyAlignment="1">
      <alignment horizontal="right"/>
    </xf>
    <xf numFmtId="0" fontId="1" fillId="2" borderId="0" xfId="0" applyFont="1" applyFill="1"/>
    <xf numFmtId="0" fontId="12" fillId="2" borderId="0" xfId="0" applyFont="1" applyFill="1"/>
    <xf numFmtId="2" fontId="12" fillId="2" borderId="0" xfId="0" applyNumberFormat="1" applyFont="1" applyFill="1"/>
    <xf numFmtId="2" fontId="1" fillId="2" borderId="0" xfId="0" applyNumberFormat="1" applyFont="1" applyFill="1"/>
    <xf numFmtId="164" fontId="9" fillId="2" borderId="12" xfId="0" applyNumberFormat="1" applyFont="1" applyFill="1" applyBorder="1"/>
    <xf numFmtId="167" fontId="9" fillId="2" borderId="12" xfId="0" applyNumberFormat="1" applyFont="1" applyFill="1" applyBorder="1"/>
    <xf numFmtId="0" fontId="9" fillId="2" borderId="0" xfId="0" applyFont="1" applyFill="1"/>
    <xf numFmtId="164" fontId="0" fillId="2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167" fontId="8" fillId="0" borderId="5" xfId="0" applyNumberFormat="1" applyFont="1" applyBorder="1" applyAlignment="1">
      <alignment horizontal="center" vertical="center" wrapText="1"/>
    </xf>
    <xf numFmtId="167" fontId="8" fillId="0" borderId="10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0" fillId="5" borderId="0" xfId="0" applyFill="1"/>
    <xf numFmtId="0" fontId="10" fillId="5" borderId="0" xfId="0" applyFont="1" applyFill="1"/>
    <xf numFmtId="0" fontId="1" fillId="5" borderId="1" xfId="0" applyFont="1" applyFill="1" applyBorder="1"/>
    <xf numFmtId="2" fontId="0" fillId="5" borderId="1" xfId="0" applyNumberFormat="1" applyFill="1" applyBorder="1"/>
    <xf numFmtId="165" fontId="12" fillId="5" borderId="0" xfId="0" applyNumberFormat="1" applyFont="1" applyFill="1"/>
    <xf numFmtId="165" fontId="1" fillId="5" borderId="0" xfId="0" applyNumberFormat="1" applyFont="1" applyFill="1"/>
    <xf numFmtId="0" fontId="1" fillId="5" borderId="0" xfId="0" applyFont="1" applyFill="1"/>
    <xf numFmtId="2" fontId="1" fillId="5" borderId="0" xfId="0" applyNumberFormat="1" applyFont="1" applyFill="1"/>
    <xf numFmtId="0" fontId="0" fillId="0" borderId="1" xfId="0" applyFont="1" applyFill="1" applyBorder="1"/>
    <xf numFmtId="167" fontId="0" fillId="0" borderId="1" xfId="0" applyNumberFormat="1" applyFont="1" applyFill="1" applyBorder="1"/>
    <xf numFmtId="164" fontId="0" fillId="0" borderId="1" xfId="0" applyNumberFormat="1" applyFont="1" applyFill="1" applyBorder="1"/>
    <xf numFmtId="164" fontId="0" fillId="0" borderId="12" xfId="0" applyNumberFormat="1" applyFont="1" applyFill="1" applyBorder="1"/>
    <xf numFmtId="0" fontId="0" fillId="0" borderId="0" xfId="0" applyFont="1" applyFill="1"/>
    <xf numFmtId="0" fontId="0" fillId="0" borderId="12" xfId="0" applyFont="1" applyFill="1" applyBorder="1"/>
    <xf numFmtId="167" fontId="0" fillId="0" borderId="12" xfId="0" applyNumberFormat="1" applyFont="1" applyFill="1" applyBorder="1"/>
    <xf numFmtId="0" fontId="0" fillId="0" borderId="13" xfId="0" applyFont="1" applyFill="1" applyBorder="1" applyAlignment="1">
      <alignment horizontal="center" vertical="center" textRotation="90"/>
    </xf>
    <xf numFmtId="0" fontId="0" fillId="0" borderId="13" xfId="0" applyFont="1" applyFill="1" applyBorder="1" applyAlignment="1">
      <alignment horizontal="center" wrapText="1"/>
    </xf>
    <xf numFmtId="166" fontId="0" fillId="0" borderId="1" xfId="0" applyNumberFormat="1" applyFont="1" applyFill="1" applyBorder="1"/>
    <xf numFmtId="0" fontId="0" fillId="0" borderId="0" xfId="0" applyFont="1" applyFill="1" applyBorder="1" applyAlignment="1">
      <alignment horizontal="center" vertical="center" textRotation="90"/>
    </xf>
    <xf numFmtId="0" fontId="9" fillId="2" borderId="0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37"/>
  <sheetViews>
    <sheetView workbookViewId="0">
      <pane xSplit="1" ySplit="7" topLeftCell="B118" activePane="bottomRight" state="frozen"/>
      <selection pane="topRight" activeCell="B1" sqref="B1"/>
      <selection pane="bottomLeft" activeCell="A9" sqref="A9"/>
      <selection pane="bottomRight" activeCell="C28" sqref="C28"/>
    </sheetView>
  </sheetViews>
  <sheetFormatPr defaultRowHeight="15"/>
  <cols>
    <col min="1" max="1" width="16" style="1" customWidth="1"/>
    <col min="2" max="2" width="14.140625" style="1" customWidth="1"/>
    <col min="3" max="3" width="16.7109375" style="1" customWidth="1"/>
    <col min="4" max="4" width="9.5703125" style="1" customWidth="1"/>
    <col min="5" max="5" width="13.7109375" style="1" customWidth="1"/>
    <col min="6" max="6" width="12" style="1" customWidth="1"/>
    <col min="7" max="7" width="11.5703125" style="1" customWidth="1"/>
    <col min="8" max="9" width="9.5703125" style="1" bestFit="1" customWidth="1"/>
    <col min="10" max="10" width="11.42578125" style="1" bestFit="1" customWidth="1"/>
    <col min="11" max="11" width="11.28515625" style="1" customWidth="1"/>
    <col min="12" max="12" width="14.42578125" style="1" customWidth="1"/>
    <col min="13" max="13" width="12.5703125" style="1" customWidth="1"/>
    <col min="14" max="14" width="14.140625" style="1" customWidth="1"/>
    <col min="15" max="15" width="11.28515625" style="81" customWidth="1"/>
    <col min="16" max="16" width="11.85546875" customWidth="1"/>
    <col min="17" max="17" width="15.42578125" style="27" customWidth="1"/>
    <col min="18" max="18" width="15.140625" style="27" customWidth="1"/>
    <col min="19" max="19" width="14.7109375" style="27" customWidth="1"/>
  </cols>
  <sheetData>
    <row r="1" spans="1:19">
      <c r="A1" s="1" t="s">
        <v>0</v>
      </c>
    </row>
    <row r="3" spans="1:19" ht="18.75">
      <c r="A3" s="9" t="s">
        <v>21</v>
      </c>
    </row>
    <row r="5" spans="1:19" ht="45.2" customHeight="1">
      <c r="A5" s="70" t="s">
        <v>3</v>
      </c>
      <c r="B5" s="69" t="s">
        <v>1</v>
      </c>
      <c r="C5" s="69"/>
      <c r="D5" s="69"/>
      <c r="E5" s="70" t="s">
        <v>6</v>
      </c>
      <c r="F5" s="70"/>
      <c r="G5" s="70"/>
      <c r="H5" s="70"/>
      <c r="I5" s="70"/>
      <c r="J5" s="70"/>
      <c r="K5" s="70"/>
      <c r="L5" s="70" t="s">
        <v>14</v>
      </c>
    </row>
    <row r="6" spans="1:19" ht="78.75" customHeight="1">
      <c r="A6" s="70"/>
      <c r="B6" s="16" t="s">
        <v>2</v>
      </c>
      <c r="C6" s="16" t="s">
        <v>4</v>
      </c>
      <c r="D6" s="16" t="s">
        <v>5</v>
      </c>
      <c r="E6" s="16" t="s">
        <v>7</v>
      </c>
      <c r="F6" s="41" t="s">
        <v>8</v>
      </c>
      <c r="G6" s="41" t="s">
        <v>9</v>
      </c>
      <c r="H6" s="16" t="s">
        <v>10</v>
      </c>
      <c r="I6" s="16" t="s">
        <v>11</v>
      </c>
      <c r="J6" s="16" t="s">
        <v>12</v>
      </c>
      <c r="K6" s="16" t="s">
        <v>13</v>
      </c>
      <c r="L6" s="70"/>
      <c r="M6" s="4" t="s">
        <v>19</v>
      </c>
      <c r="N6" s="4" t="s">
        <v>20</v>
      </c>
      <c r="Q6" s="27" t="s">
        <v>48</v>
      </c>
      <c r="R6" s="27" t="s">
        <v>49</v>
      </c>
      <c r="S6" s="27" t="s">
        <v>50</v>
      </c>
    </row>
    <row r="7" spans="1:19" ht="10.5" customHeight="1" thickBot="1">
      <c r="A7" s="6">
        <v>1</v>
      </c>
      <c r="B7" s="6">
        <v>2</v>
      </c>
      <c r="C7" s="6">
        <v>3</v>
      </c>
      <c r="D7" s="6">
        <v>4</v>
      </c>
      <c r="E7" s="6">
        <v>5</v>
      </c>
      <c r="F7" s="6">
        <v>6</v>
      </c>
      <c r="G7" s="6">
        <v>7</v>
      </c>
      <c r="H7" s="6">
        <v>8</v>
      </c>
      <c r="I7" s="6">
        <v>9</v>
      </c>
      <c r="J7" s="6">
        <v>10</v>
      </c>
      <c r="K7" s="6">
        <v>11</v>
      </c>
      <c r="L7" s="6">
        <v>12</v>
      </c>
    </row>
    <row r="8" spans="1:19">
      <c r="A8" s="3" t="s">
        <v>16</v>
      </c>
      <c r="B8" s="32">
        <f>B9+B10</f>
        <v>75417.573229999995</v>
      </c>
      <c r="C8" s="33">
        <f>C9+C10</f>
        <v>688.60251000000005</v>
      </c>
      <c r="D8" s="33">
        <f>D9+D10</f>
        <v>464.53555999999998</v>
      </c>
      <c r="E8" s="32">
        <f>E9+E10</f>
        <v>8092.6652700000004</v>
      </c>
      <c r="F8" s="32">
        <f t="shared" ref="F8:H8" si="0">F9+F10</f>
        <v>1935.59887</v>
      </c>
      <c r="G8" s="33">
        <f t="shared" si="0"/>
        <v>31.380749999999999</v>
      </c>
      <c r="H8" s="33">
        <f t="shared" si="0"/>
        <v>126.77867999999999</v>
      </c>
      <c r="I8" s="33">
        <f t="shared" ref="I8" si="1">I9+I10</f>
        <v>0</v>
      </c>
      <c r="J8" s="33">
        <f t="shared" ref="J8" si="2">J9+J10</f>
        <v>24106.196650000002</v>
      </c>
      <c r="K8" s="33">
        <f t="shared" ref="K8" si="3">K9+K10</f>
        <v>549.73473000000001</v>
      </c>
      <c r="L8" s="34">
        <f>B8+C8+D8+E8+F8+G8+H8+I8+J8+K8</f>
        <v>111413.06624999999</v>
      </c>
      <c r="M8" s="86">
        <f>M9+M10</f>
        <v>26627722.73</v>
      </c>
      <c r="N8" s="61">
        <f>N9+N10</f>
        <v>26627722.833750002</v>
      </c>
      <c r="O8" s="81">
        <v>239</v>
      </c>
      <c r="P8" s="11">
        <f>M8-N8</f>
        <v>-0.10375000163912773</v>
      </c>
      <c r="Q8" s="27">
        <f>B8*O8+J8*O8</f>
        <v>23786181.001319997</v>
      </c>
      <c r="R8" s="27">
        <f>F8*O8</f>
        <v>462608.12993</v>
      </c>
      <c r="S8" s="27">
        <f>E8*O8</f>
        <v>1934146.9995300001</v>
      </c>
    </row>
    <row r="9" spans="1:19">
      <c r="A9" s="7" t="s">
        <v>17</v>
      </c>
      <c r="B9" s="35">
        <v>75417.573229999995</v>
      </c>
      <c r="C9" s="36">
        <v>688.60251000000005</v>
      </c>
      <c r="D9" s="36">
        <v>464.53555999999998</v>
      </c>
      <c r="E9" s="35"/>
      <c r="F9" s="35"/>
      <c r="G9" s="36">
        <v>31.380749999999999</v>
      </c>
      <c r="H9" s="36">
        <v>126.77867999999999</v>
      </c>
      <c r="I9" s="36"/>
      <c r="J9" s="36"/>
      <c r="K9" s="36"/>
      <c r="L9" s="37">
        <f t="shared" ref="L9:L10" si="4">B9+C9+D9+E9+F9+G9+H9+I9+J9+K9</f>
        <v>76728.870729999995</v>
      </c>
      <c r="M9" s="86">
        <f>11968600+6369600</f>
        <v>18338200</v>
      </c>
      <c r="N9" s="61">
        <f>L9*O8</f>
        <v>18338200.10447</v>
      </c>
    </row>
    <row r="10" spans="1:19" ht="15.75" thickBot="1">
      <c r="A10" s="8" t="s">
        <v>18</v>
      </c>
      <c r="B10" s="38"/>
      <c r="C10" s="39"/>
      <c r="D10" s="39"/>
      <c r="E10" s="38">
        <v>8092.6652700000004</v>
      </c>
      <c r="F10" s="38">
        <v>1935.59887</v>
      </c>
      <c r="G10" s="39"/>
      <c r="H10" s="39"/>
      <c r="I10" s="39"/>
      <c r="J10" s="39">
        <v>24106.196650000002</v>
      </c>
      <c r="K10" s="39">
        <v>549.73473000000001</v>
      </c>
      <c r="L10" s="40">
        <f t="shared" si="4"/>
        <v>34684.195520000001</v>
      </c>
      <c r="M10" s="85">
        <f>9750462.73+62160-1523100</f>
        <v>8289522.7300000004</v>
      </c>
      <c r="N10" s="62">
        <f>L10*O8</f>
        <v>8289522.7292800006</v>
      </c>
    </row>
    <row r="11" spans="1:19">
      <c r="A11" s="3" t="s">
        <v>23</v>
      </c>
      <c r="B11" s="32">
        <f>B12+B13</f>
        <v>96390.625</v>
      </c>
      <c r="C11" s="33">
        <f>C12+C13</f>
        <v>807.59582999999998</v>
      </c>
      <c r="D11" s="33">
        <f>D12+D13</f>
        <v>781.25</v>
      </c>
      <c r="E11" s="32">
        <f>E12+E13</f>
        <v>9855.9218700000001</v>
      </c>
      <c r="F11" s="32">
        <f t="shared" ref="F11:K11" si="5">F12+F13</f>
        <v>1785.2262499999999</v>
      </c>
      <c r="G11" s="33">
        <f t="shared" si="5"/>
        <v>115.74583</v>
      </c>
      <c r="H11" s="33">
        <f t="shared" si="5"/>
        <v>115.2</v>
      </c>
      <c r="I11" s="33">
        <f t="shared" si="5"/>
        <v>0</v>
      </c>
      <c r="J11" s="33">
        <f t="shared" si="5"/>
        <v>26864.791659999999</v>
      </c>
      <c r="K11" s="33">
        <f t="shared" si="5"/>
        <v>572.06197999999995</v>
      </c>
      <c r="L11" s="34">
        <f>B11+C11+D11+E11+F11+G11+H11+I11+J11+K11</f>
        <v>137288.41842</v>
      </c>
      <c r="M11" s="86">
        <f>M12+M13</f>
        <v>26359376.34</v>
      </c>
      <c r="N11" s="61">
        <f>N12+N13</f>
        <v>26359376.33664</v>
      </c>
      <c r="O11" s="81">
        <v>192</v>
      </c>
      <c r="P11" s="11">
        <f>M11-N11</f>
        <v>3.3599995076656342E-3</v>
      </c>
      <c r="Q11" s="27">
        <f>B11*O11+J11*O11</f>
        <v>23665039.998719998</v>
      </c>
      <c r="R11" s="27">
        <f>F11*O11</f>
        <v>342763.44</v>
      </c>
      <c r="S11" s="27">
        <f>E11*O11</f>
        <v>1892336.9990400001</v>
      </c>
    </row>
    <row r="12" spans="1:19">
      <c r="A12" s="7" t="s">
        <v>17</v>
      </c>
      <c r="B12" s="35">
        <v>96390.625</v>
      </c>
      <c r="C12" s="36">
        <v>807.59582999999998</v>
      </c>
      <c r="D12" s="36">
        <v>781.25</v>
      </c>
      <c r="E12" s="35"/>
      <c r="F12" s="35"/>
      <c r="G12" s="36">
        <v>115.74583</v>
      </c>
      <c r="H12" s="36">
        <v>115.2</v>
      </c>
      <c r="I12" s="36"/>
      <c r="J12" s="36"/>
      <c r="K12" s="36"/>
      <c r="L12" s="37">
        <f t="shared" ref="L12" si="6">B12+C12+D12+E12+F12+G12+H12+I12+J12+K12</f>
        <v>98210.416660000003</v>
      </c>
      <c r="M12" s="86">
        <f>11869800+6986600</f>
        <v>18856400</v>
      </c>
      <c r="N12" s="61">
        <f>L12*O11</f>
        <v>18856399.998720001</v>
      </c>
    </row>
    <row r="13" spans="1:19" ht="15.75" thickBot="1">
      <c r="A13" s="8" t="s">
        <v>18</v>
      </c>
      <c r="B13" s="38"/>
      <c r="C13" s="39"/>
      <c r="D13" s="39"/>
      <c r="E13" s="38">
        <v>9855.9218700000001</v>
      </c>
      <c r="F13" s="38">
        <v>1785.2262499999999</v>
      </c>
      <c r="G13" s="39"/>
      <c r="H13" s="39"/>
      <c r="I13" s="39"/>
      <c r="J13" s="39">
        <v>26864.791659999999</v>
      </c>
      <c r="K13" s="39">
        <v>572.06197999999995</v>
      </c>
      <c r="L13" s="40">
        <f>B13+C13+D13+E13+F13+G13+H13+I13+J13+K13</f>
        <v>39078.001759999999</v>
      </c>
      <c r="M13" s="86">
        <f>8985136.34+38340-1520500</f>
        <v>7502976.3399999999</v>
      </c>
      <c r="N13" s="61">
        <f>L13*O11</f>
        <v>7502976.3379199998</v>
      </c>
    </row>
    <row r="14" spans="1:19">
      <c r="A14" s="3" t="s">
        <v>24</v>
      </c>
      <c r="B14" s="32">
        <f>B15+B16</f>
        <v>73736.44859</v>
      </c>
      <c r="C14" s="33">
        <f>C15+C16</f>
        <v>620.30799000000002</v>
      </c>
      <c r="D14" s="33">
        <f>D15+D16</f>
        <v>474.92056000000002</v>
      </c>
      <c r="E14" s="32">
        <f>E15+E16</f>
        <v>7589.1074799999997</v>
      </c>
      <c r="F14" s="32">
        <f t="shared" ref="F14:K14" si="7">F15+F16</f>
        <v>1757.72542</v>
      </c>
      <c r="G14" s="33">
        <f t="shared" si="7"/>
        <v>25.144860000000001</v>
      </c>
      <c r="H14" s="33">
        <f t="shared" si="7"/>
        <v>120.28079</v>
      </c>
      <c r="I14" s="33">
        <f t="shared" si="7"/>
        <v>0</v>
      </c>
      <c r="J14" s="33">
        <f t="shared" si="7"/>
        <v>25512.668229999999</v>
      </c>
      <c r="K14" s="33">
        <f t="shared" si="7"/>
        <v>603.44860000000006</v>
      </c>
      <c r="L14" s="34">
        <f>B14+C14+D14+E14+F14+G14+H14+I14+J14+K14</f>
        <v>110440.05252000001</v>
      </c>
      <c r="M14" s="86">
        <f>M15+M16</f>
        <v>23634171.240000002</v>
      </c>
      <c r="N14" s="61">
        <f>N15+N16</f>
        <v>23634171.23928</v>
      </c>
      <c r="O14" s="81">
        <v>214</v>
      </c>
      <c r="P14" s="11">
        <f>M14-N14</f>
        <v>7.2000175714492798E-4</v>
      </c>
      <c r="Q14" s="27">
        <f>B14*O14+J14*O14</f>
        <v>21239310.999480002</v>
      </c>
      <c r="R14" s="27">
        <f>F14*O14</f>
        <v>376153.23988000001</v>
      </c>
      <c r="S14" s="27">
        <f>E14*O14</f>
        <v>1624069.0007199999</v>
      </c>
    </row>
    <row r="15" spans="1:19">
      <c r="A15" s="7" t="s">
        <v>17</v>
      </c>
      <c r="B15" s="35">
        <v>73736.44859</v>
      </c>
      <c r="C15" s="36">
        <v>620.30799000000002</v>
      </c>
      <c r="D15" s="36">
        <v>474.92056000000002</v>
      </c>
      <c r="E15" s="35"/>
      <c r="F15" s="35"/>
      <c r="G15" s="36">
        <v>25.144860000000001</v>
      </c>
      <c r="H15" s="36">
        <v>120.28079</v>
      </c>
      <c r="I15" s="36"/>
      <c r="J15" s="36"/>
      <c r="K15" s="36"/>
      <c r="L15" s="37">
        <f t="shared" ref="L15:L16" si="8">B15+C15+D15+E15+F15+G15+H15+I15+J15+K15</f>
        <v>74977.102790000004</v>
      </c>
      <c r="M15" s="86">
        <f>10229900+5815200</f>
        <v>16045100</v>
      </c>
      <c r="N15" s="61">
        <f>L15*O14</f>
        <v>16045099.997060001</v>
      </c>
    </row>
    <row r="16" spans="1:19" ht="15.75" thickBot="1">
      <c r="A16" s="8" t="s">
        <v>18</v>
      </c>
      <c r="B16" s="38"/>
      <c r="C16" s="39"/>
      <c r="D16" s="39"/>
      <c r="E16" s="38">
        <v>7589.1074799999997</v>
      </c>
      <c r="F16" s="38">
        <v>1757.72542</v>
      </c>
      <c r="G16" s="39"/>
      <c r="H16" s="39"/>
      <c r="I16" s="39"/>
      <c r="J16" s="39">
        <v>25512.668229999999</v>
      </c>
      <c r="K16" s="39">
        <v>603.44860000000006</v>
      </c>
      <c r="L16" s="40">
        <f t="shared" si="8"/>
        <v>35462.94973</v>
      </c>
      <c r="M16" s="86">
        <f>8640415.24+78056-1129400</f>
        <v>7589071.2400000002</v>
      </c>
      <c r="N16" s="61">
        <f>L16*O14</f>
        <v>7589071.2422200004</v>
      </c>
    </row>
    <row r="17" spans="1:19">
      <c r="A17" s="3" t="s">
        <v>25</v>
      </c>
      <c r="B17" s="32">
        <f>B18+B19</f>
        <v>77700.000010000003</v>
      </c>
      <c r="C17" s="33">
        <f>C18+C19</f>
        <v>562.23684000000003</v>
      </c>
      <c r="D17" s="33">
        <f>D18+D19</f>
        <v>525.92105000000004</v>
      </c>
      <c r="E17" s="32">
        <f>E18+E19</f>
        <v>7822.8552600000003</v>
      </c>
      <c r="F17" s="32">
        <f t="shared" ref="F17:K17" si="9">F18+F19</f>
        <v>1349.2500700000001</v>
      </c>
      <c r="G17" s="33">
        <f t="shared" si="9"/>
        <v>72.36842</v>
      </c>
      <c r="H17" s="33">
        <f t="shared" si="9"/>
        <v>197.3691</v>
      </c>
      <c r="I17" s="33">
        <f t="shared" si="9"/>
        <v>0</v>
      </c>
      <c r="J17" s="33">
        <f t="shared" si="9"/>
        <v>21944.315790000001</v>
      </c>
      <c r="K17" s="33">
        <f t="shared" si="9"/>
        <v>353.48881999999998</v>
      </c>
      <c r="L17" s="34">
        <f>B17+C17+D17+E17+F17+G17+H17+I17+J17+K17</f>
        <v>110527.80536</v>
      </c>
      <c r="M17" s="86">
        <f>M18+M19</f>
        <v>16800226.309999999</v>
      </c>
      <c r="N17" s="61">
        <f>N18+N19</f>
        <v>16800226.414719999</v>
      </c>
      <c r="O17" s="81">
        <v>152</v>
      </c>
      <c r="P17" s="11">
        <f>M17-N17</f>
        <v>-0.10472000017762184</v>
      </c>
      <c r="Q17" s="27">
        <f>B17*O17+J17*O17</f>
        <v>15145936.001600001</v>
      </c>
      <c r="R17" s="27">
        <f>F17*O17</f>
        <v>205086.01063999999</v>
      </c>
      <c r="S17" s="27">
        <f>E17*O17</f>
        <v>1189073.9995200001</v>
      </c>
    </row>
    <row r="18" spans="1:19">
      <c r="A18" s="7" t="s">
        <v>17</v>
      </c>
      <c r="B18" s="35">
        <v>77700.000010000003</v>
      </c>
      <c r="C18" s="36">
        <v>562.23684000000003</v>
      </c>
      <c r="D18" s="36">
        <v>525.92105000000004</v>
      </c>
      <c r="E18" s="35"/>
      <c r="F18" s="35"/>
      <c r="G18" s="36">
        <v>72.36842</v>
      </c>
      <c r="H18" s="36">
        <v>197.3691</v>
      </c>
      <c r="I18" s="36"/>
      <c r="J18" s="36"/>
      <c r="K18" s="36"/>
      <c r="L18" s="37">
        <f t="shared" ref="L18:L19" si="10">B18+C18+D18+E18+F18+G18+H18+I18+J18+K18</f>
        <v>79057.895420000001</v>
      </c>
      <c r="M18" s="86">
        <f>7527000+4489800</f>
        <v>12016800</v>
      </c>
      <c r="N18" s="61">
        <f>L18*O17</f>
        <v>12016800.103840001</v>
      </c>
      <c r="R18" s="27">
        <f>(C18+D18+G18+H18)*O17</f>
        <v>206400.10232000001</v>
      </c>
    </row>
    <row r="19" spans="1:19" ht="15.75" thickBot="1">
      <c r="A19" s="8" t="s">
        <v>18</v>
      </c>
      <c r="B19" s="38"/>
      <c r="C19" s="39"/>
      <c r="D19" s="39"/>
      <c r="E19" s="38">
        <v>7822.8552600000003</v>
      </c>
      <c r="F19" s="38">
        <v>1349.2500700000001</v>
      </c>
      <c r="G19" s="39"/>
      <c r="H19" s="39"/>
      <c r="I19" s="39"/>
      <c r="J19" s="39">
        <v>21944.315790000001</v>
      </c>
      <c r="K19" s="39">
        <v>353.48881999999998</v>
      </c>
      <c r="L19" s="40">
        <f t="shared" si="10"/>
        <v>31469.909939999998</v>
      </c>
      <c r="M19" s="86">
        <f>5711666.31+40460-968700</f>
        <v>4783426.3099999996</v>
      </c>
      <c r="N19" s="61">
        <f>L19*O17</f>
        <v>4783426.3108799998</v>
      </c>
      <c r="R19" s="27">
        <f>(F19+K19)*O17</f>
        <v>258816.31128000002</v>
      </c>
    </row>
    <row r="20" spans="1:19" s="49" customFormat="1">
      <c r="A20" s="45" t="s">
        <v>52</v>
      </c>
      <c r="B20" s="46">
        <f>B21+B22</f>
        <v>79382.857149999996</v>
      </c>
      <c r="C20" s="47">
        <f>C21+C22</f>
        <v>579.65714000000003</v>
      </c>
      <c r="D20" s="47">
        <f>D21+D22</f>
        <v>557.48571000000004</v>
      </c>
      <c r="E20" s="46">
        <f>E21+E22</f>
        <v>0</v>
      </c>
      <c r="F20" s="46">
        <f t="shared" ref="F20:K20" si="11">F21+F22</f>
        <v>0</v>
      </c>
      <c r="G20" s="47">
        <f t="shared" si="11"/>
        <v>0</v>
      </c>
      <c r="H20" s="47">
        <f t="shared" si="11"/>
        <v>0</v>
      </c>
      <c r="I20" s="47">
        <f t="shared" si="11"/>
        <v>0</v>
      </c>
      <c r="J20" s="47">
        <f t="shared" si="11"/>
        <v>10829.657139999999</v>
      </c>
      <c r="K20" s="47">
        <f t="shared" si="11"/>
        <v>79.142859999999999</v>
      </c>
      <c r="L20" s="48">
        <f>B20+C20+D20+E20+F20+G20+H20+I20+J20+K20</f>
        <v>91428.799999999988</v>
      </c>
      <c r="M20" s="85">
        <f>M21+M22</f>
        <v>3200008</v>
      </c>
      <c r="N20" s="62">
        <f>N21+N22</f>
        <v>3200007.9999999995</v>
      </c>
      <c r="O20" s="82">
        <v>35</v>
      </c>
      <c r="P20" s="50">
        <f>M20-N20</f>
        <v>0</v>
      </c>
      <c r="Q20" s="51">
        <f>B20*O20+J20*O20</f>
        <v>3157438.0001500002</v>
      </c>
      <c r="R20" s="51">
        <f>F20*O20</f>
        <v>0</v>
      </c>
      <c r="S20" s="51">
        <f>E20*O20</f>
        <v>0</v>
      </c>
    </row>
    <row r="21" spans="1:19" s="49" customFormat="1">
      <c r="A21" s="52" t="s">
        <v>17</v>
      </c>
      <c r="B21" s="53">
        <v>79382.857149999996</v>
      </c>
      <c r="C21" s="54">
        <v>579.65714000000003</v>
      </c>
      <c r="D21" s="54">
        <v>557.48571000000004</v>
      </c>
      <c r="E21" s="53"/>
      <c r="F21" s="53"/>
      <c r="G21" s="54">
        <v>0</v>
      </c>
      <c r="H21" s="54">
        <v>0</v>
      </c>
      <c r="I21" s="54"/>
      <c r="J21" s="54"/>
      <c r="K21" s="54"/>
      <c r="L21" s="55">
        <f t="shared" ref="L21:L22" si="12">B21+C21+D21+E21+F21+G21+H21+I21+J21+K21</f>
        <v>80519.999999999985</v>
      </c>
      <c r="M21" s="85">
        <f>1732400+1085800</f>
        <v>2818200</v>
      </c>
      <c r="N21" s="62">
        <f>L21*O20</f>
        <v>2818199.9999999995</v>
      </c>
      <c r="O21" s="82"/>
      <c r="Q21" s="51"/>
      <c r="R21" s="51"/>
      <c r="S21" s="51"/>
    </row>
    <row r="22" spans="1:19" s="49" customFormat="1" ht="15.75" thickBot="1">
      <c r="A22" s="56" t="s">
        <v>18</v>
      </c>
      <c r="B22" s="57"/>
      <c r="C22" s="58"/>
      <c r="D22" s="58"/>
      <c r="E22" s="57">
        <v>0</v>
      </c>
      <c r="F22" s="57">
        <v>0</v>
      </c>
      <c r="G22" s="58"/>
      <c r="H22" s="58"/>
      <c r="I22" s="58"/>
      <c r="J22" s="58">
        <v>10829.657139999999</v>
      </c>
      <c r="K22" s="58">
        <v>79.142859999999999</v>
      </c>
      <c r="L22" s="59">
        <f t="shared" si="12"/>
        <v>10908.8</v>
      </c>
      <c r="M22" s="85">
        <f>723808-342000</f>
        <v>381808</v>
      </c>
      <c r="N22" s="63">
        <f>L22*O20</f>
        <v>381808</v>
      </c>
      <c r="O22" s="82"/>
      <c r="Q22" s="51"/>
      <c r="R22" s="51"/>
      <c r="S22" s="51"/>
    </row>
    <row r="23" spans="1:19">
      <c r="A23" s="3" t="s">
        <v>26</v>
      </c>
      <c r="B23" s="32">
        <f>B24+B25</f>
        <v>73194.811329999997</v>
      </c>
      <c r="C23" s="33">
        <f>C24+C25</f>
        <v>306.87518999999998</v>
      </c>
      <c r="D23" s="33">
        <f>D24+D25</f>
        <v>929.0566</v>
      </c>
      <c r="E23" s="32">
        <f>E24+E25</f>
        <v>7569.9622600000002</v>
      </c>
      <c r="F23" s="32">
        <f t="shared" ref="F23:K23" si="13">F24+F25</f>
        <v>1986.6479200000001</v>
      </c>
      <c r="G23" s="33">
        <f t="shared" si="13"/>
        <v>37.735849999999999</v>
      </c>
      <c r="H23" s="33">
        <f t="shared" si="13"/>
        <v>113.59649</v>
      </c>
      <c r="I23" s="33">
        <f t="shared" si="13"/>
        <v>0</v>
      </c>
      <c r="J23" s="33">
        <f t="shared" si="13"/>
        <v>22527.745289999999</v>
      </c>
      <c r="K23" s="33">
        <f t="shared" si="13"/>
        <v>480.26094000000001</v>
      </c>
      <c r="L23" s="34">
        <f>B23+C23+D23+E23+F23+G23+H23+I23+J23+K23</f>
        <v>107146.69187</v>
      </c>
      <c r="M23" s="86">
        <f>M24+M25</f>
        <v>22715098.68</v>
      </c>
      <c r="N23" s="61">
        <f>N24+N25</f>
        <v>22715098.676439997</v>
      </c>
      <c r="O23" s="81">
        <v>212</v>
      </c>
      <c r="P23" s="11">
        <f>M23-N23</f>
        <v>3.5600028932094574E-3</v>
      </c>
      <c r="Q23" s="27">
        <f>B23*O23+J23*O23</f>
        <v>20293182.00344</v>
      </c>
      <c r="R23" s="27">
        <f>F23*O23</f>
        <v>421169.35904000001</v>
      </c>
      <c r="S23" s="27">
        <f>E23*O23</f>
        <v>1604831.9991200001</v>
      </c>
    </row>
    <row r="24" spans="1:19">
      <c r="A24" s="7" t="s">
        <v>17</v>
      </c>
      <c r="B24" s="35">
        <v>73194.811329999997</v>
      </c>
      <c r="C24" s="36">
        <v>306.87518999999998</v>
      </c>
      <c r="D24" s="36">
        <v>929.0566</v>
      </c>
      <c r="E24" s="35"/>
      <c r="F24" s="35"/>
      <c r="G24" s="36">
        <v>37.735849999999999</v>
      </c>
      <c r="H24" s="36">
        <v>113.59649</v>
      </c>
      <c r="I24" s="36"/>
      <c r="J24" s="36"/>
      <c r="K24" s="36"/>
      <c r="L24" s="37">
        <f t="shared" ref="L24:L25" si="14">B24+C24+D24+E24+F24+G24+H24+I24+J24+K24</f>
        <v>74582.075459999993</v>
      </c>
      <c r="M24" s="86">
        <f>9771400+6040000</f>
        <v>15811400</v>
      </c>
      <c r="N24" s="61">
        <f>L24*O23</f>
        <v>15811399.997519998</v>
      </c>
    </row>
    <row r="25" spans="1:19" ht="15.75" thickBot="1">
      <c r="A25" s="8" t="s">
        <v>18</v>
      </c>
      <c r="B25" s="38"/>
      <c r="C25" s="39"/>
      <c r="D25" s="39"/>
      <c r="E25" s="38">
        <v>7569.9622600000002</v>
      </c>
      <c r="F25" s="38">
        <v>1986.6479200000001</v>
      </c>
      <c r="G25" s="39"/>
      <c r="H25" s="39"/>
      <c r="I25" s="39"/>
      <c r="J25" s="39">
        <v>22527.745289999999</v>
      </c>
      <c r="K25" s="39">
        <v>480.26094000000001</v>
      </c>
      <c r="L25" s="40">
        <f t="shared" si="14"/>
        <v>32564.616409999999</v>
      </c>
      <c r="M25" s="86">
        <f>8223658.68+200640-1520600</f>
        <v>6903698.6799999997</v>
      </c>
      <c r="N25" s="61">
        <f>L25*O23</f>
        <v>6903698.6789199999</v>
      </c>
    </row>
    <row r="26" spans="1:19">
      <c r="A26" s="3" t="s">
        <v>27</v>
      </c>
      <c r="B26" s="32">
        <f>B27+B28</f>
        <v>75918.253979999994</v>
      </c>
      <c r="C26" s="33">
        <f>C27+C28</f>
        <v>630.57667000000004</v>
      </c>
      <c r="D26" s="33">
        <f>D27+D28</f>
        <v>557.93651</v>
      </c>
      <c r="E26" s="32">
        <f>E27+E28</f>
        <v>7683.4920599999996</v>
      </c>
      <c r="F26" s="32">
        <f t="shared" ref="F26:K26" si="15">F27+F28</f>
        <v>1143.3</v>
      </c>
      <c r="G26" s="33">
        <f t="shared" si="15"/>
        <v>105.55556</v>
      </c>
      <c r="H26" s="33">
        <f t="shared" si="15"/>
        <v>127.75668</v>
      </c>
      <c r="I26" s="33">
        <f t="shared" si="15"/>
        <v>0</v>
      </c>
      <c r="J26" s="33">
        <f t="shared" si="15"/>
        <v>18951.912700000001</v>
      </c>
      <c r="K26" s="33">
        <f t="shared" si="15"/>
        <v>427.14285999999998</v>
      </c>
      <c r="L26" s="34">
        <f>B26+C26+D26+E26+F26+G26+H26+I26+J26+K26</f>
        <v>105545.92702</v>
      </c>
      <c r="M26" s="86">
        <f>M27+M28</f>
        <v>26597573.600000001</v>
      </c>
      <c r="N26" s="61">
        <f>N27+N28</f>
        <v>26597573.609039996</v>
      </c>
      <c r="O26" s="81">
        <v>252</v>
      </c>
      <c r="P26" s="11">
        <f>M26-N26</f>
        <v>-9.0399943292140961E-3</v>
      </c>
      <c r="Q26" s="27">
        <f>B26*O26+J26*O26</f>
        <v>23907282.00336</v>
      </c>
      <c r="R26" s="27">
        <f>F26*O26</f>
        <v>288111.59999999998</v>
      </c>
      <c r="S26" s="27">
        <f>E26*O26</f>
        <v>1936239.9991199998</v>
      </c>
    </row>
    <row r="27" spans="1:19">
      <c r="A27" s="7" t="s">
        <v>17</v>
      </c>
      <c r="B27" s="35">
        <v>75918.253979999994</v>
      </c>
      <c r="C27" s="36">
        <v>630.57667000000004</v>
      </c>
      <c r="D27" s="36">
        <v>557.93651</v>
      </c>
      <c r="E27" s="35"/>
      <c r="F27" s="35"/>
      <c r="G27" s="36">
        <v>105.55556</v>
      </c>
      <c r="H27" s="36">
        <v>127.75668</v>
      </c>
      <c r="I27" s="36"/>
      <c r="J27" s="36"/>
      <c r="K27" s="36"/>
      <c r="L27" s="37">
        <f t="shared" ref="L27:L28" si="16">B27+C27+D27+E27+F27+G27+H27+I27+J27+K27</f>
        <v>77340.079399999988</v>
      </c>
      <c r="M27" s="86">
        <f>13590500+5899200</f>
        <v>19489700</v>
      </c>
      <c r="N27" s="61">
        <f>L27*O26</f>
        <v>19489700.008799996</v>
      </c>
    </row>
    <row r="28" spans="1:19" ht="15.75" thickBot="1">
      <c r="A28" s="8" t="s">
        <v>18</v>
      </c>
      <c r="B28" s="38"/>
      <c r="C28" s="39"/>
      <c r="D28" s="39"/>
      <c r="E28" s="38">
        <v>7683.4920599999996</v>
      </c>
      <c r="F28" s="38">
        <v>1143.3</v>
      </c>
      <c r="G28" s="39"/>
      <c r="H28" s="39"/>
      <c r="I28" s="39"/>
      <c r="J28" s="39">
        <v>18951.912700000001</v>
      </c>
      <c r="K28" s="39">
        <v>427.14285999999998</v>
      </c>
      <c r="L28" s="40">
        <f t="shared" si="16"/>
        <v>28205.84762</v>
      </c>
      <c r="M28" s="86">
        <f>8649973.6+100900-1643000</f>
        <v>7107873.5999999996</v>
      </c>
      <c r="N28" s="61">
        <f>L28*O26</f>
        <v>7107873.6002400005</v>
      </c>
    </row>
    <row r="29" spans="1:19">
      <c r="A29" s="3" t="s">
        <v>51</v>
      </c>
      <c r="B29" s="32">
        <f>B30+B31</f>
        <v>68992.307679999998</v>
      </c>
      <c r="C29" s="33">
        <f>C30+C31</f>
        <v>382.38391999999999</v>
      </c>
      <c r="D29" s="33">
        <f>D30+D31</f>
        <v>525</v>
      </c>
      <c r="E29" s="32">
        <f>E30+E31</f>
        <v>6154.1538399999999</v>
      </c>
      <c r="F29" s="32">
        <f t="shared" ref="F29:K29" si="17">F30+F31</f>
        <v>1292.8756900000001</v>
      </c>
      <c r="G29" s="33">
        <f t="shared" si="17"/>
        <v>0</v>
      </c>
      <c r="H29" s="33">
        <f t="shared" si="17"/>
        <v>198.00067999999999</v>
      </c>
      <c r="I29" s="33">
        <f t="shared" si="17"/>
        <v>0</v>
      </c>
      <c r="J29" s="33">
        <f t="shared" si="17"/>
        <v>14001.26154</v>
      </c>
      <c r="K29" s="33">
        <f t="shared" si="17"/>
        <v>362.76922999999999</v>
      </c>
      <c r="L29" s="34">
        <f>B29+C29+D29+E29+F29+G29+H29+I29+J29+K29</f>
        <v>91908.75258</v>
      </c>
      <c r="M29" s="86">
        <f>M30+M31</f>
        <v>11948137.84</v>
      </c>
      <c r="N29" s="61">
        <f>N30+N31</f>
        <v>11948137.835399998</v>
      </c>
      <c r="O29" s="81">
        <v>130</v>
      </c>
      <c r="P29" s="11">
        <f>M29-N29</f>
        <v>4.6000014990568161E-3</v>
      </c>
      <c r="Q29" s="27">
        <f>B29*O29+J29*O29</f>
        <v>10789163.998599999</v>
      </c>
      <c r="R29" s="27">
        <f>F29*O29</f>
        <v>168073.83970000001</v>
      </c>
      <c r="S29" s="27">
        <f>E29*O29</f>
        <v>800039.99919999996</v>
      </c>
    </row>
    <row r="30" spans="1:19">
      <c r="A30" s="7" t="s">
        <v>17</v>
      </c>
      <c r="B30" s="35">
        <v>68992.307679999998</v>
      </c>
      <c r="C30" s="36">
        <v>382.38391999999999</v>
      </c>
      <c r="D30" s="36">
        <v>525</v>
      </c>
      <c r="E30" s="35"/>
      <c r="F30" s="35"/>
      <c r="G30" s="36">
        <v>0</v>
      </c>
      <c r="H30" s="36">
        <v>198.00067999999999</v>
      </c>
      <c r="I30" s="36"/>
      <c r="J30" s="36"/>
      <c r="K30" s="36"/>
      <c r="L30" s="37">
        <f t="shared" ref="L30:L31" si="18">B30+C30+D30+E30+F30+G30+H30+I30+J30+K30</f>
        <v>70097.692279999988</v>
      </c>
      <c r="M30" s="85">
        <f>5120100+3992600</f>
        <v>9112700</v>
      </c>
      <c r="N30" s="61">
        <f>L30*O29</f>
        <v>9112699.9963999987</v>
      </c>
    </row>
    <row r="31" spans="1:19" ht="15.75" thickBot="1">
      <c r="A31" s="8" t="s">
        <v>18</v>
      </c>
      <c r="B31" s="38"/>
      <c r="C31" s="39"/>
      <c r="D31" s="39"/>
      <c r="E31" s="38">
        <v>6154.1538399999999</v>
      </c>
      <c r="F31" s="38">
        <v>1292.8756900000001</v>
      </c>
      <c r="G31" s="39"/>
      <c r="H31" s="39"/>
      <c r="I31" s="39"/>
      <c r="J31" s="39">
        <v>14001.26154</v>
      </c>
      <c r="K31" s="39">
        <v>362.76922999999999</v>
      </c>
      <c r="L31" s="40">
        <f t="shared" si="18"/>
        <v>21811.060300000001</v>
      </c>
      <c r="M31" s="85">
        <f>4323437.84+30700-1518700</f>
        <v>2835437.84</v>
      </c>
      <c r="N31" s="61">
        <f>L31*O29</f>
        <v>2835437.8390000002</v>
      </c>
    </row>
    <row r="32" spans="1:19">
      <c r="A32" s="3" t="s">
        <v>28</v>
      </c>
      <c r="B32" s="32">
        <f>B33+B34</f>
        <v>89548</v>
      </c>
      <c r="C32" s="33">
        <f>C33+C34</f>
        <v>539.87199999999996</v>
      </c>
      <c r="D32" s="33">
        <f>D33+D34</f>
        <v>662.32</v>
      </c>
      <c r="E32" s="32">
        <f>E33+E34</f>
        <v>5205.9120000000003</v>
      </c>
      <c r="F32" s="32">
        <f t="shared" ref="F32:K32" si="19">F33+F34</f>
        <v>2687.1664799999999</v>
      </c>
      <c r="G32" s="33">
        <f t="shared" si="19"/>
        <v>39.648000000000003</v>
      </c>
      <c r="H32" s="33">
        <f t="shared" si="19"/>
        <v>223.76077000000001</v>
      </c>
      <c r="I32" s="33">
        <f t="shared" si="19"/>
        <v>0</v>
      </c>
      <c r="J32" s="33">
        <f t="shared" si="19"/>
        <v>32142.44</v>
      </c>
      <c r="K32" s="33">
        <f t="shared" si="19"/>
        <v>511.84832</v>
      </c>
      <c r="L32" s="34">
        <f>B32+C32+D32+E32+F32+G32+H32+I32+J32+K32</f>
        <v>131560.96757000001</v>
      </c>
      <c r="M32" s="86">
        <f>M33+M34</f>
        <v>16445120.85</v>
      </c>
      <c r="N32" s="61">
        <f>N33+N34</f>
        <v>16445120.946250001</v>
      </c>
      <c r="O32" s="81">
        <v>125</v>
      </c>
      <c r="P32" s="11">
        <f>M32-N32</f>
        <v>-9.6250001341104507E-2</v>
      </c>
      <c r="Q32" s="27">
        <f>B32*O32+J32*O32</f>
        <v>15211305</v>
      </c>
      <c r="R32" s="27">
        <f>F32*O32</f>
        <v>335895.81</v>
      </c>
      <c r="S32" s="27">
        <f>E32*O32</f>
        <v>650739</v>
      </c>
    </row>
    <row r="33" spans="1:19">
      <c r="A33" s="7" t="s">
        <v>17</v>
      </c>
      <c r="B33" s="35">
        <v>89548</v>
      </c>
      <c r="C33" s="36">
        <v>539.87199999999996</v>
      </c>
      <c r="D33" s="36">
        <v>662.32</v>
      </c>
      <c r="E33" s="35"/>
      <c r="F33" s="35"/>
      <c r="G33" s="36">
        <v>39.648000000000003</v>
      </c>
      <c r="H33" s="36">
        <v>223.76077000000001</v>
      </c>
      <c r="I33" s="36"/>
      <c r="J33" s="36"/>
      <c r="K33" s="36"/>
      <c r="L33" s="37">
        <f t="shared" ref="L33:L34" si="20">B33+C33+D33+E33+F33+G33+H33+I33+J33+K33</f>
        <v>91013.600770000005</v>
      </c>
      <c r="M33" s="86">
        <f>7479100+3897600</f>
        <v>11376700</v>
      </c>
      <c r="N33" s="61">
        <f>L33*O32</f>
        <v>11376700.096250001</v>
      </c>
    </row>
    <row r="34" spans="1:19" ht="15.75" thickBot="1">
      <c r="A34" s="8" t="s">
        <v>18</v>
      </c>
      <c r="B34" s="38"/>
      <c r="C34" s="39"/>
      <c r="D34" s="39"/>
      <c r="E34" s="38">
        <v>5205.9120000000003</v>
      </c>
      <c r="F34" s="38">
        <v>2687.1664799999999</v>
      </c>
      <c r="G34" s="39"/>
      <c r="H34" s="39"/>
      <c r="I34" s="39"/>
      <c r="J34" s="39">
        <v>32142.44</v>
      </c>
      <c r="K34" s="39">
        <v>511.84832</v>
      </c>
      <c r="L34" s="40">
        <f t="shared" si="20"/>
        <v>40547.366799999996</v>
      </c>
      <c r="M34" s="86">
        <f>5964570.85+36850-933000</f>
        <v>5068420.8499999996</v>
      </c>
      <c r="N34" s="61">
        <f>L34*O32</f>
        <v>5068420.8499999996</v>
      </c>
    </row>
    <row r="35" spans="1:19">
      <c r="A35" s="3" t="s">
        <v>29</v>
      </c>
      <c r="B35" s="32">
        <f>B36+B37</f>
        <v>127281.15183</v>
      </c>
      <c r="C35" s="33">
        <f>C36+C37</f>
        <v>550.48889999999994</v>
      </c>
      <c r="D35" s="33">
        <f>D36+D37</f>
        <v>637.17277000000001</v>
      </c>
      <c r="E35" s="32">
        <f>E36+E37</f>
        <v>9036.2041900000004</v>
      </c>
      <c r="F35" s="32">
        <f t="shared" ref="F35:K35" si="21">F36+F37</f>
        <v>1384.7870700000001</v>
      </c>
      <c r="G35" s="33">
        <f t="shared" si="21"/>
        <v>49.439790000000002</v>
      </c>
      <c r="H35" s="33">
        <f t="shared" si="21"/>
        <v>182.27028000000001</v>
      </c>
      <c r="I35" s="33">
        <f t="shared" si="21"/>
        <v>0</v>
      </c>
      <c r="J35" s="33">
        <f t="shared" si="21"/>
        <v>25004.61781</v>
      </c>
      <c r="K35" s="33">
        <f t="shared" si="21"/>
        <v>529.48167999999998</v>
      </c>
      <c r="L35" s="34">
        <f>B35+C35+D35+E35+F35+G35+H35+I35+J35+K35</f>
        <v>164655.61431999999</v>
      </c>
      <c r="M35" s="86">
        <f>M36+M37</f>
        <v>31449222.329999998</v>
      </c>
      <c r="N35" s="61">
        <f>N36+N37</f>
        <v>31449222.33512</v>
      </c>
      <c r="O35" s="81">
        <v>191</v>
      </c>
      <c r="P35" s="11">
        <f>M35-N35</f>
        <v>-5.1200017333030701E-3</v>
      </c>
      <c r="Q35" s="27">
        <f>B35*O35+J35*O35</f>
        <v>29086582.00124</v>
      </c>
      <c r="R35" s="27">
        <f>F35*O35</f>
        <v>264494.33037000004</v>
      </c>
      <c r="S35" s="27">
        <f>E35*O35</f>
        <v>1725915.0002900001</v>
      </c>
    </row>
    <row r="36" spans="1:19">
      <c r="A36" s="7" t="s">
        <v>17</v>
      </c>
      <c r="B36" s="35">
        <v>127281.15183</v>
      </c>
      <c r="C36" s="36">
        <v>550.48889999999994</v>
      </c>
      <c r="D36" s="36">
        <v>637.17277000000001</v>
      </c>
      <c r="E36" s="35"/>
      <c r="F36" s="35"/>
      <c r="G36" s="36">
        <v>49.439790000000002</v>
      </c>
      <c r="H36" s="36">
        <v>182.27028000000001</v>
      </c>
      <c r="I36" s="36"/>
      <c r="J36" s="36"/>
      <c r="K36" s="36"/>
      <c r="L36" s="37">
        <f t="shared" ref="L36:L37" si="22">B36+C36+D36+E36+F36+G36+H36+I36+J36+K36</f>
        <v>128700.52357</v>
      </c>
      <c r="M36" s="86">
        <f>18243900+6337900</f>
        <v>24581800</v>
      </c>
      <c r="N36" s="64">
        <f>L36*O35</f>
        <v>24581800.001870003</v>
      </c>
    </row>
    <row r="37" spans="1:19" ht="15.75" thickBot="1">
      <c r="A37" s="8" t="s">
        <v>18</v>
      </c>
      <c r="B37" s="38"/>
      <c r="C37" s="39"/>
      <c r="D37" s="39"/>
      <c r="E37" s="38">
        <v>9036.2041900000004</v>
      </c>
      <c r="F37" s="38">
        <v>1384.7870700000001</v>
      </c>
      <c r="G37" s="39"/>
      <c r="H37" s="39"/>
      <c r="I37" s="39"/>
      <c r="J37" s="39">
        <v>25004.61781</v>
      </c>
      <c r="K37" s="39">
        <v>529.48167999999998</v>
      </c>
      <c r="L37" s="40">
        <f t="shared" si="22"/>
        <v>35955.090749999996</v>
      </c>
      <c r="M37" s="86">
        <f>8016052.33+50670-1199300</f>
        <v>6867422.3300000001</v>
      </c>
      <c r="N37" s="61">
        <f>L37*O35</f>
        <v>6867422.3332499992</v>
      </c>
    </row>
    <row r="38" spans="1:19">
      <c r="A38" s="3" t="s">
        <v>30</v>
      </c>
      <c r="B38" s="32">
        <f>B39+B40</f>
        <v>89773.151740000001</v>
      </c>
      <c r="C38" s="33">
        <f>C39+C40</f>
        <v>577.23179000000005</v>
      </c>
      <c r="D38" s="33">
        <f>D39+D40</f>
        <v>569.33852000000002</v>
      </c>
      <c r="E38" s="32">
        <f>E39+E40</f>
        <v>10274.90272</v>
      </c>
      <c r="F38" s="32">
        <f t="shared" ref="F38:K38" si="23">F39+F40</f>
        <v>839.27191000000005</v>
      </c>
      <c r="G38" s="33">
        <f t="shared" si="23"/>
        <v>104.28016</v>
      </c>
      <c r="H38" s="33">
        <f t="shared" si="23"/>
        <v>205.18068</v>
      </c>
      <c r="I38" s="33">
        <f t="shared" si="23"/>
        <v>0</v>
      </c>
      <c r="J38" s="33">
        <f t="shared" si="23"/>
        <v>22715.832689999999</v>
      </c>
      <c r="K38" s="33">
        <f t="shared" si="23"/>
        <v>438.05525</v>
      </c>
      <c r="L38" s="34">
        <f>B38+C38+D38+E38+F38+G38+H38+I38+J38+K38</f>
        <v>125497.24546000001</v>
      </c>
      <c r="M38" s="86">
        <f>M39+M40</f>
        <v>32252792.079999998</v>
      </c>
      <c r="N38" s="61">
        <f>N39+N40</f>
        <v>32252792.083220005</v>
      </c>
      <c r="O38" s="81">
        <v>257</v>
      </c>
      <c r="P38" s="11">
        <f>M38-N38</f>
        <v>-3.2200068235397339E-3</v>
      </c>
      <c r="Q38" s="27">
        <f>B38*O38+J38*O38</f>
        <v>28909668.998509999</v>
      </c>
      <c r="R38" s="27">
        <f>F38*O38</f>
        <v>215692.88087000002</v>
      </c>
      <c r="S38" s="27">
        <f>E38*O38</f>
        <v>2640649.9990400001</v>
      </c>
    </row>
    <row r="39" spans="1:19">
      <c r="A39" s="7" t="s">
        <v>17</v>
      </c>
      <c r="B39" s="35">
        <v>89773.151740000001</v>
      </c>
      <c r="C39" s="36">
        <v>577.23179000000005</v>
      </c>
      <c r="D39" s="36">
        <v>569.33852000000002</v>
      </c>
      <c r="E39" s="35"/>
      <c r="F39" s="35"/>
      <c r="G39" s="36">
        <v>104.28016</v>
      </c>
      <c r="H39" s="36">
        <v>205.18068</v>
      </c>
      <c r="I39" s="36"/>
      <c r="J39" s="36"/>
      <c r="K39" s="36"/>
      <c r="L39" s="37">
        <f t="shared" ref="L39:L40" si="24">B39+C39+D39+E39+F39+G39+H39+I39+J39+K39</f>
        <v>91229.182890000011</v>
      </c>
      <c r="M39" s="86">
        <f>16184100+7261800</f>
        <v>23445900</v>
      </c>
      <c r="N39" s="61">
        <f>L39*O38</f>
        <v>23445900.002730004</v>
      </c>
    </row>
    <row r="40" spans="1:19" ht="15.75" thickBot="1">
      <c r="A40" s="8" t="s">
        <v>18</v>
      </c>
      <c r="B40" s="38"/>
      <c r="C40" s="39"/>
      <c r="D40" s="39"/>
      <c r="E40" s="38">
        <v>10274.90272</v>
      </c>
      <c r="F40" s="38">
        <v>839.27191000000005</v>
      </c>
      <c r="G40" s="39"/>
      <c r="H40" s="39"/>
      <c r="I40" s="39"/>
      <c r="J40" s="39">
        <v>22715.832689999999</v>
      </c>
      <c r="K40" s="39">
        <v>438.05525</v>
      </c>
      <c r="L40" s="40">
        <f t="shared" si="24"/>
        <v>34268.062569999995</v>
      </c>
      <c r="M40" s="86">
        <f>10866752.08+45440-2105300</f>
        <v>8806892.0800000001</v>
      </c>
      <c r="N40" s="61">
        <f>L40*O38</f>
        <v>8806892.0804899987</v>
      </c>
    </row>
    <row r="41" spans="1:19" ht="15.75" thickBot="1">
      <c r="B41" s="30"/>
      <c r="C41" s="30"/>
      <c r="D41" s="30"/>
      <c r="E41" s="30"/>
      <c r="F41" s="30"/>
      <c r="G41" s="30"/>
      <c r="H41" s="30"/>
      <c r="I41" s="30"/>
      <c r="J41" s="30"/>
      <c r="K41" s="30"/>
      <c r="L41" s="30"/>
    </row>
    <row r="42" spans="1:19">
      <c r="A42" s="3" t="s">
        <v>31</v>
      </c>
      <c r="B42" s="32">
        <f>B43+B44</f>
        <v>76826.498439999996</v>
      </c>
      <c r="C42" s="33">
        <f>C43+C44</f>
        <v>648.25940000000003</v>
      </c>
      <c r="D42" s="33">
        <f>D43+D44</f>
        <v>643.53312000000005</v>
      </c>
      <c r="E42" s="32">
        <f>E43+E44</f>
        <v>8453.9747599999992</v>
      </c>
      <c r="F42" s="32">
        <f t="shared" ref="F42:K42" si="25">F43+F44</f>
        <v>1445.0140100000001</v>
      </c>
      <c r="G42" s="33">
        <f t="shared" si="25"/>
        <v>44.16404</v>
      </c>
      <c r="H42" s="33">
        <f t="shared" si="25"/>
        <v>171.92988</v>
      </c>
      <c r="I42" s="33">
        <f t="shared" si="25"/>
        <v>0</v>
      </c>
      <c r="J42" s="33">
        <f t="shared" si="25"/>
        <v>26325.179810000001</v>
      </c>
      <c r="K42" s="33">
        <f t="shared" si="25"/>
        <v>454.01513999999997</v>
      </c>
      <c r="L42" s="34">
        <f>B42+C42+D42+E42+F42+G42+H42+I42+J42+K42</f>
        <v>115012.56859999998</v>
      </c>
      <c r="M42" s="86">
        <f>M43+M44</f>
        <v>36458984.240000002</v>
      </c>
      <c r="N42" s="61">
        <f>N43+N44</f>
        <v>36458984.246199995</v>
      </c>
      <c r="O42" s="81">
        <v>317</v>
      </c>
      <c r="P42" s="11">
        <f>M42-N42</f>
        <v>-6.1999931931495667E-3</v>
      </c>
      <c r="Q42" s="27">
        <f>B42*O42+J42*O42</f>
        <v>32699082.005249999</v>
      </c>
      <c r="R42" s="27">
        <f>F42*O42</f>
        <v>458069.44117000001</v>
      </c>
      <c r="S42" s="27">
        <f>E42*O42</f>
        <v>2679909.9989199997</v>
      </c>
    </row>
    <row r="43" spans="1:19">
      <c r="A43" s="7" t="s">
        <v>17</v>
      </c>
      <c r="B43" s="35">
        <v>76826.498439999996</v>
      </c>
      <c r="C43" s="36">
        <v>648.25940000000003</v>
      </c>
      <c r="D43" s="36">
        <v>643.53312000000005</v>
      </c>
      <c r="E43" s="35"/>
      <c r="F43" s="35"/>
      <c r="G43" s="36">
        <v>44.16404</v>
      </c>
      <c r="H43" s="36">
        <v>171.92988</v>
      </c>
      <c r="I43" s="36"/>
      <c r="J43" s="36"/>
      <c r="K43" s="36"/>
      <c r="L43" s="37">
        <f t="shared" ref="L43:L44" si="26">B43+C43+D43+E43+F43+G43+H43+I43+J43+K43</f>
        <v>78334.384879999983</v>
      </c>
      <c r="M43" s="86">
        <f>16133100+8698900</f>
        <v>24832000</v>
      </c>
      <c r="N43" s="61">
        <f>L43*O42</f>
        <v>24832000.006959993</v>
      </c>
      <c r="P43" s="11">
        <f t="shared" ref="P43:P44" si="27">M43-N43</f>
        <v>-6.9599933922290802E-3</v>
      </c>
    </row>
    <row r="44" spans="1:19" ht="15.75" thickBot="1">
      <c r="A44" s="8" t="s">
        <v>18</v>
      </c>
      <c r="B44" s="38"/>
      <c r="C44" s="39"/>
      <c r="D44" s="39"/>
      <c r="E44" s="38">
        <v>8453.9747599999992</v>
      </c>
      <c r="F44" s="38">
        <v>1445.0140100000001</v>
      </c>
      <c r="G44" s="39"/>
      <c r="H44" s="39"/>
      <c r="I44" s="39"/>
      <c r="J44" s="39">
        <v>26325.179810000001</v>
      </c>
      <c r="K44" s="39">
        <v>454.01513999999997</v>
      </c>
      <c r="L44" s="40">
        <f t="shared" si="26"/>
        <v>36678.183720000001</v>
      </c>
      <c r="M44" s="86">
        <f>13519644.24+60540-1953200</f>
        <v>11626984.24</v>
      </c>
      <c r="N44" s="61">
        <f>L44*O42</f>
        <v>11626984.23924</v>
      </c>
      <c r="P44" s="11">
        <f t="shared" si="27"/>
        <v>7.6000019907951355E-4</v>
      </c>
    </row>
    <row r="45" spans="1:19">
      <c r="A45" s="3" t="s">
        <v>32</v>
      </c>
      <c r="B45" s="32">
        <f>B46+B47</f>
        <v>89485.286789999998</v>
      </c>
      <c r="C45" s="33">
        <f>C46+C47</f>
        <v>417.06401</v>
      </c>
      <c r="D45" s="33">
        <f>D46+D47</f>
        <v>698.05485999999996</v>
      </c>
      <c r="E45" s="32">
        <f>E46+E47</f>
        <v>7971.3541100000002</v>
      </c>
      <c r="F45" s="32">
        <f t="shared" ref="F45:K45" si="28">F46+F47</f>
        <v>1554.85895</v>
      </c>
      <c r="G45" s="33">
        <f t="shared" si="28"/>
        <v>59.251869999999997</v>
      </c>
      <c r="H45" s="33">
        <f t="shared" si="28"/>
        <v>164.53200000000001</v>
      </c>
      <c r="I45" s="33">
        <f t="shared" si="28"/>
        <v>0</v>
      </c>
      <c r="J45" s="33">
        <f t="shared" si="28"/>
        <v>25149.022440000001</v>
      </c>
      <c r="K45" s="33">
        <f t="shared" si="28"/>
        <v>653.78134999999997</v>
      </c>
      <c r="L45" s="34">
        <f>B45+C45+D45+E45+F45+G45+H45+I45+J45+K45</f>
        <v>126153.20638</v>
      </c>
      <c r="M45" s="86">
        <f>M46+M47</f>
        <v>50587435.760000005</v>
      </c>
      <c r="N45" s="61">
        <f>N46+N47</f>
        <v>50587435.758379996</v>
      </c>
      <c r="O45" s="81">
        <v>401</v>
      </c>
      <c r="P45" s="11">
        <f>M45-N45</f>
        <v>1.6200095415115356E-3</v>
      </c>
      <c r="Q45" s="27">
        <f>B45*O45+J45*O45</f>
        <v>45968358.001230001</v>
      </c>
      <c r="R45" s="27">
        <f>F45*O45</f>
        <v>623498.43894999998</v>
      </c>
      <c r="S45" s="27">
        <f>E45*O45</f>
        <v>3196512.99811</v>
      </c>
    </row>
    <row r="46" spans="1:19">
      <c r="A46" s="7" t="s">
        <v>17</v>
      </c>
      <c r="B46" s="35">
        <v>89485.286789999998</v>
      </c>
      <c r="C46" s="36">
        <v>417.06401</v>
      </c>
      <c r="D46" s="36">
        <v>698.05485999999996</v>
      </c>
      <c r="E46" s="35"/>
      <c r="F46" s="35"/>
      <c r="G46" s="36">
        <v>59.251869999999997</v>
      </c>
      <c r="H46" s="36">
        <v>164.53200000000001</v>
      </c>
      <c r="I46" s="36"/>
      <c r="J46" s="36"/>
      <c r="K46" s="36"/>
      <c r="L46" s="37">
        <f t="shared" ref="L46:L47" si="29">B46+C46+D46+E46+F46+G46+H46+I46+J46+K46</f>
        <v>90824.189530000003</v>
      </c>
      <c r="M46" s="86">
        <f>26374000+10046500</f>
        <v>36420500</v>
      </c>
      <c r="N46" s="61">
        <f>L46*O45</f>
        <v>36420500.001529999</v>
      </c>
      <c r="P46" s="11">
        <f t="shared" ref="P46:P47" si="30">M46-N46</f>
        <v>-1.5299990773200989E-3</v>
      </c>
    </row>
    <row r="47" spans="1:19" ht="15.75" thickBot="1">
      <c r="A47" s="8" t="s">
        <v>18</v>
      </c>
      <c r="B47" s="38"/>
      <c r="C47" s="39"/>
      <c r="D47" s="39"/>
      <c r="E47" s="38">
        <v>7971.3541100000002</v>
      </c>
      <c r="F47" s="38">
        <v>1554.85895</v>
      </c>
      <c r="G47" s="39"/>
      <c r="H47" s="39"/>
      <c r="I47" s="39"/>
      <c r="J47" s="39">
        <v>25149.022440000001</v>
      </c>
      <c r="K47" s="39">
        <v>653.78134999999997</v>
      </c>
      <c r="L47" s="40">
        <f t="shared" si="29"/>
        <v>35329.01685</v>
      </c>
      <c r="M47" s="86">
        <f>17050065.76+61010-2944140</f>
        <v>14166935.760000002</v>
      </c>
      <c r="N47" s="61">
        <f>L47*O45</f>
        <v>14166935.75685</v>
      </c>
      <c r="P47" s="11">
        <f t="shared" si="30"/>
        <v>3.1500011682510376E-3</v>
      </c>
    </row>
    <row r="48" spans="1:19">
      <c r="Q48" s="27">
        <f>SUM(Q8:Q47)</f>
        <v>293858530.01289999</v>
      </c>
      <c r="R48" s="27">
        <f t="shared" ref="R48:S48" si="31">SUM(R8:R47)</f>
        <v>4626832.9341500001</v>
      </c>
      <c r="S48" s="27">
        <f t="shared" si="31"/>
        <v>21874465.99261</v>
      </c>
    </row>
    <row r="49" spans="13:14">
      <c r="M49" s="5">
        <f>M45+M42+M38+M35+M32+M29+M26+M23+M20+M17+M14+M11+M8</f>
        <v>325075870</v>
      </c>
      <c r="N49" s="5">
        <f>N45+N42+N38+N35+N32+N29+N26+N23+N20+N17+N14+N11+N8</f>
        <v>325075870.31443995</v>
      </c>
    </row>
    <row r="77" spans="1:14" ht="18.75">
      <c r="A77" s="9" t="s">
        <v>22</v>
      </c>
      <c r="D77" s="10"/>
      <c r="M77"/>
      <c r="N77"/>
    </row>
    <row r="78" spans="1:14">
      <c r="M78"/>
      <c r="N78"/>
    </row>
    <row r="79" spans="1:14" ht="47.1" customHeight="1">
      <c r="A79" s="70" t="s">
        <v>3</v>
      </c>
      <c r="B79" s="69" t="s">
        <v>1</v>
      </c>
      <c r="C79" s="69"/>
      <c r="D79" s="69"/>
      <c r="E79" s="70" t="s">
        <v>6</v>
      </c>
      <c r="F79" s="70"/>
      <c r="G79" s="70"/>
      <c r="H79" s="70"/>
      <c r="I79" s="70"/>
      <c r="J79" s="70"/>
      <c r="K79" s="70"/>
      <c r="L79" s="70" t="s">
        <v>14</v>
      </c>
      <c r="M79"/>
      <c r="N79"/>
    </row>
    <row r="80" spans="1:14" ht="78.75" customHeight="1">
      <c r="A80" s="70"/>
      <c r="B80" s="2" t="s">
        <v>2</v>
      </c>
      <c r="C80" s="2" t="s">
        <v>4</v>
      </c>
      <c r="D80" s="2" t="s">
        <v>5</v>
      </c>
      <c r="E80" s="2" t="s">
        <v>7</v>
      </c>
      <c r="F80" s="2" t="s">
        <v>8</v>
      </c>
      <c r="G80" s="2" t="s">
        <v>9</v>
      </c>
      <c r="H80" s="2" t="s">
        <v>10</v>
      </c>
      <c r="I80" s="2" t="s">
        <v>11</v>
      </c>
      <c r="J80" s="2" t="s">
        <v>12</v>
      </c>
      <c r="K80" s="2" t="s">
        <v>13</v>
      </c>
      <c r="L80" s="70"/>
      <c r="M80"/>
      <c r="N80"/>
    </row>
    <row r="81" spans="1:19" ht="10.5" customHeight="1" thickBot="1">
      <c r="A81" s="6">
        <v>1</v>
      </c>
      <c r="B81" s="6">
        <v>2</v>
      </c>
      <c r="C81" s="6">
        <v>3</v>
      </c>
      <c r="D81" s="6">
        <v>4</v>
      </c>
      <c r="E81" s="6">
        <v>5</v>
      </c>
      <c r="F81" s="6">
        <v>6</v>
      </c>
      <c r="G81" s="6">
        <v>7</v>
      </c>
      <c r="H81" s="6">
        <v>8</v>
      </c>
      <c r="I81" s="6">
        <v>9</v>
      </c>
      <c r="J81" s="6">
        <v>10</v>
      </c>
      <c r="K81" s="6">
        <v>11</v>
      </c>
      <c r="L81" s="6">
        <v>12</v>
      </c>
      <c r="M81"/>
      <c r="N81"/>
    </row>
    <row r="82" spans="1:19">
      <c r="A82" s="3" t="s">
        <v>16</v>
      </c>
      <c r="B82" s="32">
        <v>0</v>
      </c>
      <c r="C82" s="33">
        <f>C83+C84</f>
        <v>6529.4560700000002</v>
      </c>
      <c r="D82" s="33">
        <f>D83+D84</f>
        <v>0</v>
      </c>
      <c r="E82" s="32">
        <f>E83+E84</f>
        <v>0</v>
      </c>
      <c r="F82" s="32">
        <f t="shared" ref="F82:K82" si="32">F83+F84</f>
        <v>0</v>
      </c>
      <c r="G82" s="33">
        <f t="shared" si="32"/>
        <v>0</v>
      </c>
      <c r="H82" s="33">
        <f t="shared" si="32"/>
        <v>0</v>
      </c>
      <c r="I82" s="33">
        <f t="shared" si="32"/>
        <v>0</v>
      </c>
      <c r="J82" s="33">
        <f t="shared" si="32"/>
        <v>0</v>
      </c>
      <c r="K82" s="33">
        <f t="shared" si="32"/>
        <v>0</v>
      </c>
      <c r="L82" s="34">
        <f>B82+C82+D82+E82+F82+G82+H82+I82+J82+K82</f>
        <v>6529.4560700000002</v>
      </c>
      <c r="M82" s="86">
        <f>M83+M84</f>
        <v>1560540</v>
      </c>
      <c r="N82" s="61">
        <f>N83+N84</f>
        <v>1560540.00073</v>
      </c>
      <c r="O82" s="81">
        <v>239</v>
      </c>
      <c r="P82" s="11">
        <f>M82-N82</f>
        <v>-7.2999997064471245E-4</v>
      </c>
    </row>
    <row r="83" spans="1:19">
      <c r="A83" s="7" t="s">
        <v>17</v>
      </c>
      <c r="B83" s="35"/>
      <c r="C83" s="36">
        <v>156.65271999999999</v>
      </c>
      <c r="D83" s="36"/>
      <c r="E83" s="35"/>
      <c r="F83" s="35"/>
      <c r="G83" s="36"/>
      <c r="H83" s="36"/>
      <c r="I83" s="36"/>
      <c r="J83" s="36"/>
      <c r="K83" s="36"/>
      <c r="L83" s="37">
        <f t="shared" ref="L83:L84" si="33">B83+C83+D83+E83+F83+G83+H83+I83+J83+K83</f>
        <v>156.65271999999999</v>
      </c>
      <c r="M83" s="86">
        <v>37440</v>
      </c>
      <c r="N83" s="61">
        <f>L83*O82</f>
        <v>37440.000079999998</v>
      </c>
      <c r="O83" s="81">
        <v>239</v>
      </c>
    </row>
    <row r="84" spans="1:19" ht="15.75" thickBot="1">
      <c r="A84" s="8" t="s">
        <v>18</v>
      </c>
      <c r="B84" s="38"/>
      <c r="C84" s="39">
        <v>6372.8033500000001</v>
      </c>
      <c r="D84" s="39"/>
      <c r="E84" s="38"/>
      <c r="F84" s="38"/>
      <c r="G84" s="39"/>
      <c r="H84" s="39"/>
      <c r="I84" s="39"/>
      <c r="J84" s="39"/>
      <c r="K84" s="39"/>
      <c r="L84" s="40">
        <f t="shared" si="33"/>
        <v>6372.8033500000001</v>
      </c>
      <c r="M84" s="86">
        <v>1523100</v>
      </c>
      <c r="N84" s="61">
        <f>L84*O82</f>
        <v>1523100.0006500001</v>
      </c>
    </row>
    <row r="85" spans="1:19">
      <c r="A85" s="3" t="s">
        <v>23</v>
      </c>
      <c r="B85" s="32">
        <f>B86+B87</f>
        <v>0</v>
      </c>
      <c r="C85" s="33">
        <f>C86+C87</f>
        <v>8211.7708300000013</v>
      </c>
      <c r="D85" s="33">
        <f>D86+D87</f>
        <v>0</v>
      </c>
      <c r="E85" s="32">
        <f>E86+E87</f>
        <v>0</v>
      </c>
      <c r="F85" s="32">
        <f t="shared" ref="F85:K85" si="34">F86+F87</f>
        <v>0</v>
      </c>
      <c r="G85" s="33">
        <f t="shared" si="34"/>
        <v>0</v>
      </c>
      <c r="H85" s="33">
        <f t="shared" si="34"/>
        <v>0</v>
      </c>
      <c r="I85" s="33">
        <f t="shared" si="34"/>
        <v>0</v>
      </c>
      <c r="J85" s="33">
        <f t="shared" si="34"/>
        <v>0</v>
      </c>
      <c r="K85" s="33">
        <f t="shared" si="34"/>
        <v>0</v>
      </c>
      <c r="L85" s="34">
        <f>B85+C85+D85+E85+F85+G85+H85+I85+J85+K85</f>
        <v>8211.7708300000013</v>
      </c>
      <c r="M85" s="86">
        <f>M86+M87</f>
        <v>1576660</v>
      </c>
      <c r="N85" s="61">
        <f>N86+N87</f>
        <v>1576659.99936</v>
      </c>
      <c r="O85" s="81">
        <v>192</v>
      </c>
      <c r="P85" s="11">
        <f>M85-N85</f>
        <v>6.399999838322401E-4</v>
      </c>
    </row>
    <row r="86" spans="1:19">
      <c r="A86" s="7" t="s">
        <v>17</v>
      </c>
      <c r="B86" s="35"/>
      <c r="C86" s="36">
        <v>292.5</v>
      </c>
      <c r="D86" s="36"/>
      <c r="E86" s="35"/>
      <c r="F86" s="35"/>
      <c r="G86" s="36"/>
      <c r="H86" s="36"/>
      <c r="I86" s="36"/>
      <c r="J86" s="36"/>
      <c r="K86" s="36"/>
      <c r="L86" s="37">
        <f t="shared" ref="L86:L87" si="35">B86+C86+D86+E86+F86+G86+H86+I86+J86+K86</f>
        <v>292.5</v>
      </c>
      <c r="M86" s="86">
        <v>56160</v>
      </c>
      <c r="N86" s="61">
        <f>L86*O86</f>
        <v>56160</v>
      </c>
      <c r="O86" s="81">
        <v>192</v>
      </c>
    </row>
    <row r="87" spans="1:19" ht="15.75" thickBot="1">
      <c r="A87" s="8" t="s">
        <v>18</v>
      </c>
      <c r="B87" s="38"/>
      <c r="C87" s="39">
        <v>7919.2708300000004</v>
      </c>
      <c r="D87" s="39"/>
      <c r="E87" s="38"/>
      <c r="F87" s="38"/>
      <c r="G87" s="39"/>
      <c r="H87" s="39"/>
      <c r="I87" s="39"/>
      <c r="J87" s="39"/>
      <c r="K87" s="39"/>
      <c r="L87" s="40">
        <f t="shared" si="35"/>
        <v>7919.2708300000004</v>
      </c>
      <c r="M87" s="86">
        <v>1520500</v>
      </c>
      <c r="N87" s="61">
        <f>L87*O85</f>
        <v>1520499.99936</v>
      </c>
    </row>
    <row r="88" spans="1:19">
      <c r="A88" s="3" t="s">
        <v>24</v>
      </c>
      <c r="B88" s="32">
        <f>B89+B90</f>
        <v>0</v>
      </c>
      <c r="C88" s="33">
        <f>C89+C90</f>
        <v>10963.5514</v>
      </c>
      <c r="D88" s="33">
        <f>D89+D90</f>
        <v>0</v>
      </c>
      <c r="E88" s="32">
        <f>E89+E90</f>
        <v>0</v>
      </c>
      <c r="F88" s="32">
        <f t="shared" ref="F88:K88" si="36">F89+F90</f>
        <v>0</v>
      </c>
      <c r="G88" s="33">
        <f t="shared" si="36"/>
        <v>0</v>
      </c>
      <c r="H88" s="33">
        <f t="shared" si="36"/>
        <v>0</v>
      </c>
      <c r="I88" s="33">
        <f t="shared" si="36"/>
        <v>0</v>
      </c>
      <c r="J88" s="33">
        <f t="shared" si="36"/>
        <v>0</v>
      </c>
      <c r="K88" s="33">
        <f t="shared" si="36"/>
        <v>0</v>
      </c>
      <c r="L88" s="34">
        <f>B88+C88+D88+E88+F88+G88+H88+I88+J88+K88</f>
        <v>10963.5514</v>
      </c>
      <c r="M88" s="86">
        <f>M89+M90</f>
        <v>2346200</v>
      </c>
      <c r="N88" s="61">
        <f>N89+N90</f>
        <v>2346199.9995999997</v>
      </c>
      <c r="O88" s="81">
        <v>214</v>
      </c>
      <c r="P88" s="11">
        <f>M88-N88</f>
        <v>4.0000025182962418E-4</v>
      </c>
    </row>
    <row r="89" spans="1:19">
      <c r="A89" s="7" t="s">
        <v>17</v>
      </c>
      <c r="B89" s="35"/>
      <c r="C89" s="36">
        <v>5685.9813100000001</v>
      </c>
      <c r="D89" s="36"/>
      <c r="E89" s="35"/>
      <c r="F89" s="35"/>
      <c r="G89" s="36"/>
      <c r="H89" s="36"/>
      <c r="I89" s="36"/>
      <c r="J89" s="36"/>
      <c r="K89" s="36"/>
      <c r="L89" s="37">
        <f t="shared" ref="L89:L90" si="37">B89+C89+D89+E89+F89+G89+H89+I89+J89+K89</f>
        <v>5685.9813100000001</v>
      </c>
      <c r="M89" s="86">
        <v>1216800</v>
      </c>
      <c r="N89" s="61">
        <f>L89*O89</f>
        <v>1216800.00034</v>
      </c>
      <c r="O89" s="81">
        <v>214</v>
      </c>
    </row>
    <row r="90" spans="1:19" ht="15.75" thickBot="1">
      <c r="A90" s="8" t="s">
        <v>18</v>
      </c>
      <c r="B90" s="38"/>
      <c r="C90" s="39">
        <v>5277.5700900000002</v>
      </c>
      <c r="D90" s="39"/>
      <c r="E90" s="38"/>
      <c r="F90" s="38"/>
      <c r="G90" s="39"/>
      <c r="H90" s="39"/>
      <c r="I90" s="39"/>
      <c r="J90" s="39"/>
      <c r="K90" s="39"/>
      <c r="L90" s="40">
        <f t="shared" si="37"/>
        <v>5277.5700900000002</v>
      </c>
      <c r="M90" s="86">
        <v>1129400</v>
      </c>
      <c r="N90" s="61">
        <f>L90*O88</f>
        <v>1129399.99926</v>
      </c>
    </row>
    <row r="91" spans="1:19">
      <c r="A91" s="3" t="s">
        <v>25</v>
      </c>
      <c r="B91" s="32">
        <f>B92+B93</f>
        <v>0</v>
      </c>
      <c r="C91" s="33">
        <f>C92+C93</f>
        <v>6373.0263199999999</v>
      </c>
      <c r="D91" s="33">
        <f>D92+D93</f>
        <v>0</v>
      </c>
      <c r="E91" s="32">
        <f>E92+E93</f>
        <v>0</v>
      </c>
      <c r="F91" s="32">
        <f t="shared" ref="F91:K91" si="38">F92+F93</f>
        <v>0</v>
      </c>
      <c r="G91" s="33">
        <f t="shared" si="38"/>
        <v>0</v>
      </c>
      <c r="H91" s="33">
        <f t="shared" si="38"/>
        <v>0</v>
      </c>
      <c r="I91" s="33">
        <f t="shared" si="38"/>
        <v>0</v>
      </c>
      <c r="J91" s="33">
        <f t="shared" si="38"/>
        <v>0</v>
      </c>
      <c r="K91" s="33">
        <f t="shared" si="38"/>
        <v>0</v>
      </c>
      <c r="L91" s="34">
        <f>B91+C91+D91+E91+F91+G91+H91+I91+J91+K91</f>
        <v>6373.0263199999999</v>
      </c>
      <c r="M91" s="86">
        <f>M92+M93</f>
        <v>968700</v>
      </c>
      <c r="N91" s="61">
        <f>N92+N93</f>
        <v>968700.00063999998</v>
      </c>
      <c r="O91" s="81">
        <v>152</v>
      </c>
      <c r="P91" s="11">
        <f>M91-N91</f>
        <v>-6.399999838322401E-4</v>
      </c>
    </row>
    <row r="92" spans="1:19">
      <c r="A92" s="7" t="s">
        <v>17</v>
      </c>
      <c r="B92" s="35"/>
      <c r="C92" s="36">
        <v>0</v>
      </c>
      <c r="D92" s="36"/>
      <c r="E92" s="35"/>
      <c r="F92" s="35"/>
      <c r="G92" s="36"/>
      <c r="H92" s="36"/>
      <c r="I92" s="36"/>
      <c r="J92" s="36"/>
      <c r="K92" s="36"/>
      <c r="L92" s="37">
        <f t="shared" ref="L92:L93" si="39">B92+C92+D92+E92+F92+G92+H92+I92+J92+K92</f>
        <v>0</v>
      </c>
      <c r="M92" s="86">
        <v>0</v>
      </c>
      <c r="N92" s="61">
        <f>L92*O92</f>
        <v>0</v>
      </c>
      <c r="O92" s="81">
        <v>152</v>
      </c>
    </row>
    <row r="93" spans="1:19" ht="15.75" thickBot="1">
      <c r="A93" s="8" t="s">
        <v>18</v>
      </c>
      <c r="B93" s="38"/>
      <c r="C93" s="39">
        <v>6373.0263199999999</v>
      </c>
      <c r="D93" s="39"/>
      <c r="E93" s="38"/>
      <c r="F93" s="38"/>
      <c r="G93" s="39"/>
      <c r="H93" s="39"/>
      <c r="I93" s="39"/>
      <c r="J93" s="39"/>
      <c r="K93" s="39"/>
      <c r="L93" s="40">
        <f t="shared" si="39"/>
        <v>6373.0263199999999</v>
      </c>
      <c r="M93" s="86">
        <v>968700</v>
      </c>
      <c r="N93" s="61">
        <f>L93*O91</f>
        <v>968700.00063999998</v>
      </c>
      <c r="O93" s="81">
        <v>152</v>
      </c>
    </row>
    <row r="94" spans="1:19" s="49" customFormat="1">
      <c r="A94" s="45" t="s">
        <v>52</v>
      </c>
      <c r="B94" s="46">
        <f>B95+B96</f>
        <v>0</v>
      </c>
      <c r="C94" s="47">
        <f>C95+C96</f>
        <v>11160</v>
      </c>
      <c r="D94" s="47">
        <f>D95+D96</f>
        <v>0</v>
      </c>
      <c r="E94" s="46">
        <f>E95+E96</f>
        <v>0</v>
      </c>
      <c r="F94" s="46">
        <f t="shared" ref="F94:K94" si="40">F95+F96</f>
        <v>0</v>
      </c>
      <c r="G94" s="47">
        <f t="shared" si="40"/>
        <v>0</v>
      </c>
      <c r="H94" s="47">
        <f t="shared" si="40"/>
        <v>0</v>
      </c>
      <c r="I94" s="47">
        <f t="shared" si="40"/>
        <v>0</v>
      </c>
      <c r="J94" s="47">
        <f t="shared" si="40"/>
        <v>0</v>
      </c>
      <c r="K94" s="47">
        <f t="shared" si="40"/>
        <v>0</v>
      </c>
      <c r="L94" s="48">
        <f>B94+C94+D94+E94+F94+G94+H94+I94+J94+K94</f>
        <v>11160</v>
      </c>
      <c r="M94" s="85">
        <f>M95+M96</f>
        <v>379440</v>
      </c>
      <c r="N94" s="62">
        <f>N95+N96</f>
        <v>379440</v>
      </c>
      <c r="O94" s="82">
        <v>34</v>
      </c>
      <c r="P94" s="50">
        <f>M94-N94</f>
        <v>0</v>
      </c>
      <c r="Q94" s="51"/>
      <c r="R94" s="51"/>
      <c r="S94" s="51"/>
    </row>
    <row r="95" spans="1:19" s="49" customFormat="1">
      <c r="A95" s="52" t="s">
        <v>17</v>
      </c>
      <c r="B95" s="53"/>
      <c r="C95" s="54">
        <v>1101.1764700000001</v>
      </c>
      <c r="D95" s="54"/>
      <c r="E95" s="53"/>
      <c r="F95" s="53"/>
      <c r="G95" s="54"/>
      <c r="H95" s="54"/>
      <c r="I95" s="54"/>
      <c r="J95" s="54"/>
      <c r="K95" s="54"/>
      <c r="L95" s="55">
        <f t="shared" ref="L95:L96" si="41">B95+C95+D95+E95+F95+G95+H95+I95+J95+K95</f>
        <v>1101.1764700000001</v>
      </c>
      <c r="M95" s="85">
        <v>37440</v>
      </c>
      <c r="N95" s="62">
        <f>L95*O94</f>
        <v>37439.999980000001</v>
      </c>
      <c r="O95" s="82">
        <v>34</v>
      </c>
      <c r="Q95" s="51"/>
      <c r="R95" s="51"/>
      <c r="S95" s="51"/>
    </row>
    <row r="96" spans="1:19" s="49" customFormat="1" ht="15.75" thickBot="1">
      <c r="A96" s="56" t="s">
        <v>18</v>
      </c>
      <c r="B96" s="57"/>
      <c r="C96" s="58">
        <v>10058.82353</v>
      </c>
      <c r="D96" s="58"/>
      <c r="E96" s="57"/>
      <c r="F96" s="57"/>
      <c r="G96" s="58"/>
      <c r="H96" s="58"/>
      <c r="I96" s="58"/>
      <c r="J96" s="58"/>
      <c r="K96" s="58"/>
      <c r="L96" s="59">
        <f t="shared" si="41"/>
        <v>10058.82353</v>
      </c>
      <c r="M96" s="85">
        <v>342000</v>
      </c>
      <c r="N96" s="62">
        <f>L96*O94</f>
        <v>342000.00001999998</v>
      </c>
      <c r="O96" s="82">
        <v>34</v>
      </c>
      <c r="Q96" s="51"/>
      <c r="R96" s="51"/>
      <c r="S96" s="51"/>
    </row>
    <row r="97" spans="1:16">
      <c r="A97" s="3" t="s">
        <v>26</v>
      </c>
      <c r="B97" s="32">
        <f>B98+B99</f>
        <v>0</v>
      </c>
      <c r="C97" s="33">
        <f>C98+C99</f>
        <v>7525.6603800000003</v>
      </c>
      <c r="D97" s="33">
        <f>D98+D99</f>
        <v>0</v>
      </c>
      <c r="E97" s="32">
        <f>E98+E99</f>
        <v>0</v>
      </c>
      <c r="F97" s="32">
        <f t="shared" ref="F97:K97" si="42">F98+F99</f>
        <v>0</v>
      </c>
      <c r="G97" s="33">
        <f t="shared" si="42"/>
        <v>0</v>
      </c>
      <c r="H97" s="33">
        <f t="shared" si="42"/>
        <v>0</v>
      </c>
      <c r="I97" s="33">
        <f t="shared" si="42"/>
        <v>0</v>
      </c>
      <c r="J97" s="33">
        <f t="shared" si="42"/>
        <v>0</v>
      </c>
      <c r="K97" s="33">
        <f t="shared" si="42"/>
        <v>0</v>
      </c>
      <c r="L97" s="34">
        <f>B97+C97+D97+E97+F97+G97+H97+I97+J97+K97</f>
        <v>7525.6603800000003</v>
      </c>
      <c r="M97" s="86">
        <f>M98+M99</f>
        <v>1595440</v>
      </c>
      <c r="N97" s="61">
        <f>N98+N99</f>
        <v>1595440.0005600001</v>
      </c>
      <c r="O97" s="81">
        <v>212</v>
      </c>
      <c r="P97" s="11">
        <f>M97-N97</f>
        <v>-5.6000007316470146E-4</v>
      </c>
    </row>
    <row r="98" spans="1:16">
      <c r="A98" s="7" t="s">
        <v>17</v>
      </c>
      <c r="B98" s="35"/>
      <c r="C98" s="36">
        <v>353.01886999999999</v>
      </c>
      <c r="D98" s="36"/>
      <c r="E98" s="35"/>
      <c r="F98" s="35"/>
      <c r="G98" s="36"/>
      <c r="H98" s="36"/>
      <c r="I98" s="36"/>
      <c r="J98" s="36"/>
      <c r="K98" s="36"/>
      <c r="L98" s="37">
        <f t="shared" ref="L98:L99" si="43">B98+C98+D98+E98+F98+G98+H98+I98+J98+K98</f>
        <v>353.01886999999999</v>
      </c>
      <c r="M98" s="86">
        <v>74840</v>
      </c>
      <c r="N98" s="61">
        <f>L98*O97</f>
        <v>74840.000440000003</v>
      </c>
      <c r="O98" s="81">
        <v>212</v>
      </c>
    </row>
    <row r="99" spans="1:16" ht="15.75" thickBot="1">
      <c r="A99" s="8" t="s">
        <v>18</v>
      </c>
      <c r="B99" s="38"/>
      <c r="C99" s="39">
        <v>7172.6415100000004</v>
      </c>
      <c r="D99" s="39"/>
      <c r="E99" s="38"/>
      <c r="F99" s="38"/>
      <c r="G99" s="39"/>
      <c r="H99" s="39"/>
      <c r="I99" s="39"/>
      <c r="J99" s="39"/>
      <c r="K99" s="39"/>
      <c r="L99" s="40">
        <f t="shared" si="43"/>
        <v>7172.6415100000004</v>
      </c>
      <c r="M99" s="86">
        <v>1520600</v>
      </c>
      <c r="N99" s="61">
        <f>L99*O97</f>
        <v>1520600.00012</v>
      </c>
      <c r="O99" s="81">
        <v>212</v>
      </c>
    </row>
    <row r="100" spans="1:16">
      <c r="A100" s="3" t="s">
        <v>27</v>
      </c>
      <c r="B100" s="32">
        <f>B101+B102</f>
        <v>0</v>
      </c>
      <c r="C100" s="33">
        <f>C101+C102</f>
        <v>7114.12698</v>
      </c>
      <c r="D100" s="33">
        <f>D101+D102</f>
        <v>0</v>
      </c>
      <c r="E100" s="32">
        <f>E101+E102</f>
        <v>0</v>
      </c>
      <c r="F100" s="32">
        <f t="shared" ref="F100:K100" si="44">F101+F102</f>
        <v>0</v>
      </c>
      <c r="G100" s="33">
        <f t="shared" si="44"/>
        <v>0</v>
      </c>
      <c r="H100" s="33">
        <f t="shared" si="44"/>
        <v>0</v>
      </c>
      <c r="I100" s="33">
        <f t="shared" si="44"/>
        <v>0</v>
      </c>
      <c r="J100" s="33">
        <f t="shared" si="44"/>
        <v>0</v>
      </c>
      <c r="K100" s="33">
        <f t="shared" si="44"/>
        <v>0</v>
      </c>
      <c r="L100" s="34">
        <f>B100+C100+D100+E100+F100+G100+H100+I100+J100+K100</f>
        <v>7114.12698</v>
      </c>
      <c r="M100" s="86">
        <f>M101+M102</f>
        <v>1792760</v>
      </c>
      <c r="N100" s="61">
        <f>N101+N102</f>
        <v>1792759.99896</v>
      </c>
      <c r="O100" s="81">
        <v>252</v>
      </c>
      <c r="P100" s="11">
        <f>M100-N100</f>
        <v>1.0400000028312206E-3</v>
      </c>
    </row>
    <row r="101" spans="1:16">
      <c r="A101" s="7" t="s">
        <v>17</v>
      </c>
      <c r="B101" s="35"/>
      <c r="C101" s="36">
        <v>594.28570999999999</v>
      </c>
      <c r="D101" s="36"/>
      <c r="E101" s="35"/>
      <c r="F101" s="35"/>
      <c r="G101" s="36"/>
      <c r="H101" s="36"/>
      <c r="I101" s="36"/>
      <c r="J101" s="36"/>
      <c r="K101" s="36"/>
      <c r="L101" s="37">
        <f t="shared" ref="L101:L102" si="45">B101+C101+D101+E101+F101+G101+H101+I101+J101+K101</f>
        <v>594.28570999999999</v>
      </c>
      <c r="M101" s="86">
        <v>149760</v>
      </c>
      <c r="N101" s="64">
        <f>L101*O101</f>
        <v>149759.99892000001</v>
      </c>
      <c r="O101" s="81">
        <v>252</v>
      </c>
    </row>
    <row r="102" spans="1:16" ht="15.75" thickBot="1">
      <c r="A102" s="8" t="s">
        <v>18</v>
      </c>
      <c r="B102" s="38"/>
      <c r="C102" s="39">
        <v>6519.8412699999999</v>
      </c>
      <c r="D102" s="39"/>
      <c r="E102" s="38"/>
      <c r="F102" s="38"/>
      <c r="G102" s="39"/>
      <c r="H102" s="39"/>
      <c r="I102" s="39"/>
      <c r="J102" s="39"/>
      <c r="K102" s="39"/>
      <c r="L102" s="40">
        <f t="shared" si="45"/>
        <v>6519.8412699999999</v>
      </c>
      <c r="M102" s="86">
        <v>1643000</v>
      </c>
      <c r="N102" s="61">
        <f>L102*O100</f>
        <v>1643000.0000400001</v>
      </c>
      <c r="O102" s="81">
        <v>252</v>
      </c>
    </row>
    <row r="103" spans="1:16">
      <c r="A103" s="3" t="s">
        <v>51</v>
      </c>
      <c r="B103" s="32">
        <f>B104+B105</f>
        <v>0</v>
      </c>
      <c r="C103" s="33">
        <f>C104+C105</f>
        <v>11970.30769</v>
      </c>
      <c r="D103" s="33">
        <f>D104+D105</f>
        <v>0</v>
      </c>
      <c r="E103" s="32">
        <f>E104+E105</f>
        <v>0</v>
      </c>
      <c r="F103" s="32">
        <f t="shared" ref="F103:K103" si="46">F104+F105</f>
        <v>0</v>
      </c>
      <c r="G103" s="33">
        <f t="shared" si="46"/>
        <v>0</v>
      </c>
      <c r="H103" s="33">
        <f t="shared" si="46"/>
        <v>0</v>
      </c>
      <c r="I103" s="33">
        <f t="shared" si="46"/>
        <v>0</v>
      </c>
      <c r="J103" s="33">
        <f t="shared" si="46"/>
        <v>0</v>
      </c>
      <c r="K103" s="33">
        <f t="shared" si="46"/>
        <v>0</v>
      </c>
      <c r="L103" s="34">
        <f>B103+C103+D103+E103+F103+G103+H103+I103+J103+K103</f>
        <v>11970.30769</v>
      </c>
      <c r="M103" s="86">
        <f>M104+M105</f>
        <v>1556140</v>
      </c>
      <c r="N103" s="61">
        <f>N104+N105</f>
        <v>1556139.9997</v>
      </c>
      <c r="O103" s="81">
        <v>130</v>
      </c>
      <c r="P103" s="11">
        <f>M103-N103</f>
        <v>2.9999995604157448E-4</v>
      </c>
    </row>
    <row r="104" spans="1:16">
      <c r="A104" s="7" t="s">
        <v>17</v>
      </c>
      <c r="B104" s="35"/>
      <c r="C104" s="36">
        <v>288</v>
      </c>
      <c r="D104" s="36"/>
      <c r="E104" s="35"/>
      <c r="F104" s="35"/>
      <c r="G104" s="36"/>
      <c r="H104" s="36"/>
      <c r="I104" s="36"/>
      <c r="J104" s="36"/>
      <c r="K104" s="36"/>
      <c r="L104" s="37">
        <f t="shared" ref="L104:L105" si="47">B104+C104+D104+E104+F104+G104+H104+I104+J104+K104</f>
        <v>288</v>
      </c>
      <c r="M104" s="86">
        <v>37440</v>
      </c>
      <c r="N104" s="61">
        <f>L104*O103</f>
        <v>37440</v>
      </c>
      <c r="O104" s="81">
        <v>130</v>
      </c>
    </row>
    <row r="105" spans="1:16" ht="15.75" thickBot="1">
      <c r="A105" s="8" t="s">
        <v>18</v>
      </c>
      <c r="B105" s="38"/>
      <c r="C105" s="39">
        <v>11682.30769</v>
      </c>
      <c r="D105" s="39"/>
      <c r="E105" s="38"/>
      <c r="F105" s="38"/>
      <c r="G105" s="39"/>
      <c r="H105" s="39"/>
      <c r="I105" s="39"/>
      <c r="J105" s="39"/>
      <c r="K105" s="39"/>
      <c r="L105" s="40">
        <f t="shared" si="47"/>
        <v>11682.30769</v>
      </c>
      <c r="M105" s="86">
        <v>1518700</v>
      </c>
      <c r="N105" s="61">
        <f>L105*O103</f>
        <v>1518699.9997</v>
      </c>
      <c r="O105" s="81">
        <v>130</v>
      </c>
    </row>
    <row r="106" spans="1:16">
      <c r="A106" s="3" t="s">
        <v>28</v>
      </c>
      <c r="B106" s="32">
        <f>B107+B108</f>
        <v>0</v>
      </c>
      <c r="C106" s="33">
        <f>C107+C108</f>
        <v>7763.52</v>
      </c>
      <c r="D106" s="33">
        <f>D107+D108</f>
        <v>0</v>
      </c>
      <c r="E106" s="32">
        <f>E107+E108</f>
        <v>0</v>
      </c>
      <c r="F106" s="32">
        <f t="shared" ref="F106:K106" si="48">F107+F108</f>
        <v>0</v>
      </c>
      <c r="G106" s="33">
        <f t="shared" si="48"/>
        <v>0</v>
      </c>
      <c r="H106" s="33">
        <f t="shared" si="48"/>
        <v>0</v>
      </c>
      <c r="I106" s="33">
        <f t="shared" si="48"/>
        <v>0</v>
      </c>
      <c r="J106" s="33">
        <f t="shared" si="48"/>
        <v>0</v>
      </c>
      <c r="K106" s="33">
        <f t="shared" si="48"/>
        <v>0</v>
      </c>
      <c r="L106" s="34">
        <f>B106+C106+D106+E106+F106+G106+H106+I106+J106+K106</f>
        <v>7763.52</v>
      </c>
      <c r="M106" s="86">
        <f>M107+M108</f>
        <v>970440</v>
      </c>
      <c r="N106" s="61">
        <f>N107+N108</f>
        <v>970440</v>
      </c>
      <c r="O106" s="81">
        <v>125</v>
      </c>
      <c r="P106" s="11">
        <f>M106-N106</f>
        <v>0</v>
      </c>
    </row>
    <row r="107" spans="1:16">
      <c r="A107" s="7" t="s">
        <v>17</v>
      </c>
      <c r="B107" s="35"/>
      <c r="C107" s="36">
        <v>299.52</v>
      </c>
      <c r="D107" s="36"/>
      <c r="E107" s="35"/>
      <c r="F107" s="35"/>
      <c r="G107" s="36"/>
      <c r="H107" s="36"/>
      <c r="I107" s="36"/>
      <c r="J107" s="36"/>
      <c r="K107" s="36"/>
      <c r="L107" s="37">
        <f t="shared" ref="L107:L108" si="49">B107+C107+D107+E107+F107+G107+H107+I107+J107+K107</f>
        <v>299.52</v>
      </c>
      <c r="M107" s="86">
        <v>37440</v>
      </c>
      <c r="N107" s="61">
        <f>L107*O107</f>
        <v>37440</v>
      </c>
      <c r="O107" s="81">
        <v>125</v>
      </c>
    </row>
    <row r="108" spans="1:16" ht="15.75" thickBot="1">
      <c r="A108" s="8" t="s">
        <v>18</v>
      </c>
      <c r="B108" s="38"/>
      <c r="C108" s="39">
        <v>7464</v>
      </c>
      <c r="D108" s="39"/>
      <c r="E108" s="38"/>
      <c r="F108" s="38"/>
      <c r="G108" s="39"/>
      <c r="H108" s="39"/>
      <c r="I108" s="39"/>
      <c r="J108" s="39"/>
      <c r="K108" s="39"/>
      <c r="L108" s="40">
        <f t="shared" si="49"/>
        <v>7464</v>
      </c>
      <c r="M108" s="86">
        <v>933000</v>
      </c>
      <c r="N108" s="61">
        <f>L108*O106</f>
        <v>933000</v>
      </c>
      <c r="O108" s="81">
        <v>125</v>
      </c>
    </row>
    <row r="109" spans="1:16">
      <c r="A109" s="3" t="s">
        <v>29</v>
      </c>
      <c r="B109" s="32">
        <f>B110+B111</f>
        <v>0</v>
      </c>
      <c r="C109" s="33">
        <f>C110+C111</f>
        <v>6769.10995</v>
      </c>
      <c r="D109" s="33">
        <f>D110+D111</f>
        <v>0</v>
      </c>
      <c r="E109" s="32">
        <f>E110+E111</f>
        <v>0</v>
      </c>
      <c r="F109" s="32">
        <f t="shared" ref="F109:K109" si="50">F110+F111</f>
        <v>0</v>
      </c>
      <c r="G109" s="33">
        <f t="shared" si="50"/>
        <v>0</v>
      </c>
      <c r="H109" s="33">
        <f t="shared" si="50"/>
        <v>0</v>
      </c>
      <c r="I109" s="33">
        <f t="shared" si="50"/>
        <v>0</v>
      </c>
      <c r="J109" s="33">
        <f t="shared" si="50"/>
        <v>0</v>
      </c>
      <c r="K109" s="33">
        <f t="shared" si="50"/>
        <v>0</v>
      </c>
      <c r="L109" s="34">
        <f>B109+C109+D109+E109+F109+G109+H109+I109+J109+K109</f>
        <v>6769.10995</v>
      </c>
      <c r="M109" s="86">
        <f>M110+M111</f>
        <v>1292900</v>
      </c>
      <c r="N109" s="87">
        <f>N110+N111</f>
        <v>1292900.0004499999</v>
      </c>
      <c r="O109" s="81">
        <v>191</v>
      </c>
      <c r="P109" s="11">
        <f>M109-N109</f>
        <v>-4.4999993406236172E-4</v>
      </c>
    </row>
    <row r="110" spans="1:16">
      <c r="A110" s="7" t="s">
        <v>17</v>
      </c>
      <c r="B110" s="35"/>
      <c r="C110" s="36">
        <v>490.05236000000002</v>
      </c>
      <c r="D110" s="36"/>
      <c r="E110" s="35"/>
      <c r="F110" s="35"/>
      <c r="G110" s="36"/>
      <c r="H110" s="36"/>
      <c r="I110" s="36"/>
      <c r="J110" s="36"/>
      <c r="K110" s="36"/>
      <c r="L110" s="37">
        <f t="shared" ref="L110:L111" si="51">B110+C110+D110+E110+F110+G110+H110+I110+J110+K110</f>
        <v>490.05236000000002</v>
      </c>
      <c r="M110" s="86">
        <v>93600</v>
      </c>
      <c r="N110" s="88">
        <f>L110*O110</f>
        <v>93600.00076000001</v>
      </c>
      <c r="O110" s="81">
        <v>191</v>
      </c>
    </row>
    <row r="111" spans="1:16" ht="15.75" thickBot="1">
      <c r="A111" s="8" t="s">
        <v>18</v>
      </c>
      <c r="B111" s="38"/>
      <c r="C111" s="39">
        <v>6279.0575900000003</v>
      </c>
      <c r="D111" s="39"/>
      <c r="E111" s="38"/>
      <c r="F111" s="38"/>
      <c r="G111" s="39"/>
      <c r="H111" s="39"/>
      <c r="I111" s="39"/>
      <c r="J111" s="39"/>
      <c r="K111" s="39"/>
      <c r="L111" s="40">
        <f t="shared" si="51"/>
        <v>6279.0575900000003</v>
      </c>
      <c r="M111" s="86">
        <v>1199300</v>
      </c>
      <c r="N111" s="87">
        <f>L111*O109</f>
        <v>1199299.99969</v>
      </c>
      <c r="O111" s="81">
        <v>191</v>
      </c>
    </row>
    <row r="112" spans="1:16">
      <c r="A112" s="3" t="s">
        <v>30</v>
      </c>
      <c r="B112" s="32">
        <f>B113+B114</f>
        <v>0</v>
      </c>
      <c r="C112" s="33">
        <f>C113+C114</f>
        <v>8483.1906600000002</v>
      </c>
      <c r="D112" s="33">
        <f>D113+D114</f>
        <v>0</v>
      </c>
      <c r="E112" s="32">
        <f>E113+E114</f>
        <v>0</v>
      </c>
      <c r="F112" s="32">
        <f t="shared" ref="F112:K112" si="52">F113+F114</f>
        <v>0</v>
      </c>
      <c r="G112" s="33">
        <f t="shared" si="52"/>
        <v>0</v>
      </c>
      <c r="H112" s="33">
        <f t="shared" si="52"/>
        <v>0</v>
      </c>
      <c r="I112" s="33">
        <f t="shared" si="52"/>
        <v>0</v>
      </c>
      <c r="J112" s="33">
        <f t="shared" si="52"/>
        <v>0</v>
      </c>
      <c r="K112" s="33">
        <f t="shared" si="52"/>
        <v>0</v>
      </c>
      <c r="L112" s="34">
        <f>B112+C112+D112+E112+F112+G112+H112+I112+J112+K112</f>
        <v>8483.1906600000002</v>
      </c>
      <c r="M112" s="86">
        <f>M113+M114</f>
        <v>2180180</v>
      </c>
      <c r="N112" s="64">
        <f>N113+N114</f>
        <v>2180179.9996199999</v>
      </c>
      <c r="O112" s="81">
        <v>257</v>
      </c>
      <c r="P112" s="11">
        <f>M112-N112</f>
        <v>3.8000009953975677E-4</v>
      </c>
    </row>
    <row r="113" spans="1:19">
      <c r="A113" s="7" t="s">
        <v>17</v>
      </c>
      <c r="B113" s="35"/>
      <c r="C113" s="36">
        <v>291.36187000000001</v>
      </c>
      <c r="D113" s="36"/>
      <c r="E113" s="35"/>
      <c r="F113" s="35"/>
      <c r="G113" s="36"/>
      <c r="H113" s="36"/>
      <c r="I113" s="36"/>
      <c r="J113" s="36"/>
      <c r="K113" s="36"/>
      <c r="L113" s="37">
        <f t="shared" ref="L113:L114" si="53">B113+C113+D113+E113+F113+G113+H113+I113+J113+K113</f>
        <v>291.36187000000001</v>
      </c>
      <c r="M113" s="86">
        <v>74880</v>
      </c>
      <c r="N113" s="64">
        <f>L113*O113</f>
        <v>74880.000589999996</v>
      </c>
      <c r="O113" s="81">
        <v>257</v>
      </c>
    </row>
    <row r="114" spans="1:19" ht="15.75" thickBot="1">
      <c r="A114" s="8" t="s">
        <v>18</v>
      </c>
      <c r="B114" s="38"/>
      <c r="C114" s="39">
        <v>8191.8287899999996</v>
      </c>
      <c r="D114" s="39"/>
      <c r="E114" s="38"/>
      <c r="F114" s="38"/>
      <c r="G114" s="39"/>
      <c r="H114" s="39"/>
      <c r="I114" s="39"/>
      <c r="J114" s="39"/>
      <c r="K114" s="39"/>
      <c r="L114" s="40">
        <f t="shared" si="53"/>
        <v>8191.8287899999996</v>
      </c>
      <c r="M114" s="86">
        <v>2105300</v>
      </c>
      <c r="N114" s="61">
        <f>L114*O112</f>
        <v>2105299.9990300001</v>
      </c>
      <c r="O114" s="81">
        <v>257</v>
      </c>
    </row>
    <row r="115" spans="1:19" ht="15.75" thickBot="1">
      <c r="B115" s="30"/>
      <c r="C115" s="30"/>
      <c r="D115" s="30"/>
      <c r="E115" s="30"/>
      <c r="F115" s="30"/>
      <c r="G115" s="30"/>
      <c r="H115" s="30"/>
      <c r="I115" s="30"/>
      <c r="J115" s="30"/>
      <c r="K115" s="30"/>
      <c r="L115" s="30"/>
    </row>
    <row r="116" spans="1:19">
      <c r="A116" s="3" t="s">
        <v>31</v>
      </c>
      <c r="B116" s="32">
        <f>B117+B118</f>
        <v>0</v>
      </c>
      <c r="C116" s="33">
        <f>C117+C118</f>
        <v>6595.6962000000003</v>
      </c>
      <c r="D116" s="33">
        <f>D117+D118</f>
        <v>0</v>
      </c>
      <c r="E116" s="32">
        <f>E117+E118</f>
        <v>0</v>
      </c>
      <c r="F116" s="32">
        <f t="shared" ref="F116:K116" si="54">F117+F118</f>
        <v>0</v>
      </c>
      <c r="G116" s="33">
        <f t="shared" si="54"/>
        <v>0</v>
      </c>
      <c r="H116" s="33">
        <f t="shared" si="54"/>
        <v>0</v>
      </c>
      <c r="I116" s="33">
        <f t="shared" si="54"/>
        <v>0</v>
      </c>
      <c r="J116" s="33">
        <f t="shared" si="54"/>
        <v>0</v>
      </c>
      <c r="K116" s="33">
        <f t="shared" si="54"/>
        <v>0</v>
      </c>
      <c r="L116" s="34">
        <f>B116+C116+D116+E116+F116+G116+H116+I116+J116+K116</f>
        <v>6595.6962000000003</v>
      </c>
      <c r="M116" s="86">
        <f>M117+M118</f>
        <v>2084240</v>
      </c>
      <c r="N116" s="61">
        <f>N117+N118</f>
        <v>2084239.9992</v>
      </c>
      <c r="O116" s="81">
        <v>316</v>
      </c>
      <c r="P116" s="11">
        <f>M116-N116</f>
        <v>8.0000003799796104E-4</v>
      </c>
    </row>
    <row r="117" spans="1:19">
      <c r="A117" s="7" t="s">
        <v>17</v>
      </c>
      <c r="B117" s="35"/>
      <c r="C117" s="36">
        <v>414.68353999999999</v>
      </c>
      <c r="D117" s="36"/>
      <c r="E117" s="35"/>
      <c r="F117" s="35"/>
      <c r="G117" s="36"/>
      <c r="H117" s="36"/>
      <c r="I117" s="36"/>
      <c r="J117" s="36"/>
      <c r="K117" s="36"/>
      <c r="L117" s="37">
        <f t="shared" ref="L117:L118" si="55">B117+C117+D117+E117+F117+G117+H117+I117+J117+K117</f>
        <v>414.68353999999999</v>
      </c>
      <c r="M117" s="86">
        <v>131040</v>
      </c>
      <c r="N117" s="64">
        <f>L117*O117</f>
        <v>131039.99864000001</v>
      </c>
      <c r="O117" s="81">
        <v>316</v>
      </c>
    </row>
    <row r="118" spans="1:19" ht="15.75" thickBot="1">
      <c r="A118" s="8" t="s">
        <v>18</v>
      </c>
      <c r="B118" s="38"/>
      <c r="C118" s="39">
        <v>6181.0126600000003</v>
      </c>
      <c r="D118" s="39"/>
      <c r="E118" s="38"/>
      <c r="F118" s="38"/>
      <c r="G118" s="39"/>
      <c r="H118" s="39"/>
      <c r="I118" s="39"/>
      <c r="J118" s="39"/>
      <c r="K118" s="39"/>
      <c r="L118" s="40">
        <f t="shared" si="55"/>
        <v>6181.0126600000003</v>
      </c>
      <c r="M118" s="86">
        <v>1953200</v>
      </c>
      <c r="N118" s="64">
        <f>L118*O116</f>
        <v>1953200.0005600001</v>
      </c>
      <c r="O118" s="81">
        <v>316</v>
      </c>
    </row>
    <row r="119" spans="1:19">
      <c r="A119" s="3" t="s">
        <v>32</v>
      </c>
      <c r="B119" s="32">
        <f>B120+B121</f>
        <v>0</v>
      </c>
      <c r="C119" s="33">
        <f>C120+C121</f>
        <v>7715.4613399999998</v>
      </c>
      <c r="D119" s="33">
        <f>D120+D121</f>
        <v>0</v>
      </c>
      <c r="E119" s="32">
        <f>E120+E121</f>
        <v>0</v>
      </c>
      <c r="F119" s="32">
        <f t="shared" ref="F119:K119" si="56">F120+F121</f>
        <v>0</v>
      </c>
      <c r="G119" s="33">
        <f t="shared" si="56"/>
        <v>0</v>
      </c>
      <c r="H119" s="33">
        <f t="shared" si="56"/>
        <v>0</v>
      </c>
      <c r="I119" s="33">
        <f t="shared" si="56"/>
        <v>0</v>
      </c>
      <c r="J119" s="33">
        <f t="shared" si="56"/>
        <v>0</v>
      </c>
      <c r="K119" s="33">
        <f t="shared" si="56"/>
        <v>0</v>
      </c>
      <c r="L119" s="34">
        <f>B119+C119+D119+E119+F119+G119+H119+I119+J119+K119</f>
        <v>7715.4613399999998</v>
      </c>
      <c r="M119" s="86">
        <f>M120+M121</f>
        <v>3093900</v>
      </c>
      <c r="N119" s="61">
        <f>N120+N121</f>
        <v>3093899.9973399998</v>
      </c>
      <c r="O119" s="81">
        <v>401</v>
      </c>
      <c r="P119" s="11">
        <f>M119-N119</f>
        <v>2.6600002311170101E-3</v>
      </c>
    </row>
    <row r="120" spans="1:19">
      <c r="A120" s="7" t="s">
        <v>17</v>
      </c>
      <c r="B120" s="35"/>
      <c r="C120" s="36">
        <v>373.46633000000003</v>
      </c>
      <c r="D120" s="36"/>
      <c r="E120" s="35"/>
      <c r="F120" s="35"/>
      <c r="G120" s="36"/>
      <c r="H120" s="36"/>
      <c r="I120" s="36"/>
      <c r="J120" s="36"/>
      <c r="K120" s="36"/>
      <c r="L120" s="37">
        <f t="shared" ref="L120:L121" si="57">B120+C120+D120+E120+F120+G120+H120+I120+J120+K120</f>
        <v>373.46633000000003</v>
      </c>
      <c r="M120" s="86">
        <v>149760</v>
      </c>
      <c r="N120" s="64">
        <f>L120*O120</f>
        <v>149759.99833</v>
      </c>
      <c r="O120" s="81">
        <v>401</v>
      </c>
    </row>
    <row r="121" spans="1:19" ht="15.75" thickBot="1">
      <c r="A121" s="8" t="s">
        <v>18</v>
      </c>
      <c r="B121" s="38"/>
      <c r="C121" s="39">
        <v>7341.9950099999996</v>
      </c>
      <c r="D121" s="39"/>
      <c r="E121" s="38"/>
      <c r="F121" s="38"/>
      <c r="G121" s="39"/>
      <c r="H121" s="39"/>
      <c r="I121" s="39"/>
      <c r="J121" s="39"/>
      <c r="K121" s="39"/>
      <c r="L121" s="40">
        <f t="shared" si="57"/>
        <v>7341.9950099999996</v>
      </c>
      <c r="M121" s="86">
        <v>2944140</v>
      </c>
      <c r="N121" s="61">
        <f>L121*O119</f>
        <v>2944139.9990099999</v>
      </c>
      <c r="O121" s="81">
        <v>401</v>
      </c>
    </row>
    <row r="122" spans="1:19">
      <c r="A122" s="24"/>
      <c r="B122" s="25"/>
      <c r="C122" s="26"/>
      <c r="D122" s="26"/>
      <c r="E122" s="25"/>
      <c r="F122" s="25"/>
      <c r="G122" s="26"/>
      <c r="H122" s="26"/>
      <c r="I122" s="26"/>
      <c r="J122" s="26"/>
      <c r="K122" s="26"/>
      <c r="L122" s="25"/>
      <c r="M122" s="5">
        <f>M82+M85+M88+M91+M94+M97+M100+M103+M106+M109+M112+M116+M119</f>
        <v>21397540</v>
      </c>
    </row>
    <row r="123" spans="1:19">
      <c r="Q123" s="68" t="s">
        <v>45</v>
      </c>
      <c r="R123" s="68"/>
      <c r="S123" s="68"/>
    </row>
    <row r="124" spans="1:19">
      <c r="K124" s="17" t="s">
        <v>44</v>
      </c>
      <c r="L124" s="17" t="s">
        <v>43</v>
      </c>
      <c r="M124" s="18" t="s">
        <v>19</v>
      </c>
      <c r="N124" s="20" t="s">
        <v>20</v>
      </c>
      <c r="O124" s="83" t="s">
        <v>44</v>
      </c>
      <c r="P124" s="21" t="s">
        <v>43</v>
      </c>
      <c r="Q124" s="28" t="s">
        <v>46</v>
      </c>
      <c r="R124" s="28" t="s">
        <v>44</v>
      </c>
      <c r="S124" s="28" t="s">
        <v>43</v>
      </c>
    </row>
    <row r="125" spans="1:19">
      <c r="J125" s="1">
        <v>39</v>
      </c>
      <c r="K125" s="19">
        <f>M10+M84</f>
        <v>9812622.7300000004</v>
      </c>
      <c r="L125" s="19">
        <f>M125-K125</f>
        <v>18375640</v>
      </c>
      <c r="M125" s="19">
        <f>M8+M82</f>
        <v>28188262.73</v>
      </c>
      <c r="N125" s="22">
        <f>N8+N82</f>
        <v>28188262.834480003</v>
      </c>
      <c r="O125" s="84">
        <f>N10+N84</f>
        <v>9812622.7299300004</v>
      </c>
      <c r="P125" s="23">
        <f>N125-O125</f>
        <v>18375640.104550004</v>
      </c>
      <c r="Q125" s="13">
        <f>N125-M125</f>
        <v>0.10448000207543373</v>
      </c>
      <c r="R125" s="13">
        <f>O125-K125</f>
        <v>-7.0000067353248596E-5</v>
      </c>
      <c r="S125" s="13">
        <f>P125-L125</f>
        <v>0.10455000400543213</v>
      </c>
    </row>
    <row r="126" spans="1:19">
      <c r="J126" s="1">
        <v>29</v>
      </c>
      <c r="K126" s="19">
        <f>M13+M87</f>
        <v>9023476.3399999999</v>
      </c>
      <c r="L126" s="19">
        <f t="shared" ref="L126:L137" si="58">M126-K126</f>
        <v>18912560</v>
      </c>
      <c r="M126" s="19">
        <f>M11+M85</f>
        <v>27936036.34</v>
      </c>
      <c r="N126" s="22">
        <f>N11+N85</f>
        <v>27936036.335999999</v>
      </c>
      <c r="O126" s="84">
        <f>N13+N87</f>
        <v>9023476.3372799996</v>
      </c>
      <c r="P126" s="23">
        <f t="shared" ref="P126:P137" si="59">N126-O126</f>
        <v>18912559.998719998</v>
      </c>
      <c r="Q126" s="13">
        <f t="shared" ref="Q126:Q137" si="60">N126-M126</f>
        <v>-4.0000006556510925E-3</v>
      </c>
      <c r="R126" s="13">
        <f t="shared" ref="R126:R137" si="61">O126-K126</f>
        <v>-2.720000222325325E-3</v>
      </c>
      <c r="S126" s="13">
        <f t="shared" ref="S126:S137" si="62">P126-L126</f>
        <v>-1.2800022959709167E-3</v>
      </c>
    </row>
    <row r="127" spans="1:19">
      <c r="J127" s="1">
        <v>30</v>
      </c>
      <c r="K127" s="19">
        <f>M90+M16</f>
        <v>8718471.2400000002</v>
      </c>
      <c r="L127" s="19">
        <f t="shared" si="58"/>
        <v>17261900</v>
      </c>
      <c r="M127" s="19">
        <f>M88+M14</f>
        <v>25980371.240000002</v>
      </c>
      <c r="N127" s="22">
        <f>N88+N14</f>
        <v>25980371.238880001</v>
      </c>
      <c r="O127" s="84">
        <f>N90+N16</f>
        <v>8718471.2414800003</v>
      </c>
      <c r="P127" s="23">
        <f t="shared" si="59"/>
        <v>17261899.997400001</v>
      </c>
      <c r="Q127" s="13">
        <f t="shared" si="60"/>
        <v>-1.1200010776519775E-3</v>
      </c>
      <c r="R127" s="13">
        <f t="shared" si="61"/>
        <v>1.4800000935792923E-3</v>
      </c>
      <c r="S127" s="13">
        <f t="shared" si="62"/>
        <v>-2.5999993085861206E-3</v>
      </c>
    </row>
    <row r="128" spans="1:19">
      <c r="J128" s="1">
        <v>34</v>
      </c>
      <c r="K128" s="19">
        <f>M19+M93</f>
        <v>5752126.3099999996</v>
      </c>
      <c r="L128" s="19">
        <f t="shared" si="58"/>
        <v>12016800</v>
      </c>
      <c r="M128" s="19">
        <f>M91+M17</f>
        <v>17768926.309999999</v>
      </c>
      <c r="N128" s="22">
        <f>N91+N17</f>
        <v>17768926.41536</v>
      </c>
      <c r="O128" s="84">
        <f>N93+N19</f>
        <v>5752126.31152</v>
      </c>
      <c r="P128" s="23">
        <f t="shared" si="59"/>
        <v>12016800.103840001</v>
      </c>
      <c r="Q128" s="13">
        <f t="shared" si="60"/>
        <v>0.1053600013256073</v>
      </c>
      <c r="R128" s="13">
        <f t="shared" si="61"/>
        <v>1.5200003981590271E-3</v>
      </c>
      <c r="S128" s="13">
        <f t="shared" si="62"/>
        <v>0.10384000092744827</v>
      </c>
    </row>
    <row r="129" spans="10:19">
      <c r="J129" s="60" t="s">
        <v>54</v>
      </c>
      <c r="K129" s="19">
        <f>M96+M22</f>
        <v>723808</v>
      </c>
      <c r="L129" s="19">
        <f t="shared" si="58"/>
        <v>2855640</v>
      </c>
      <c r="M129" s="19">
        <f>M94+M20</f>
        <v>3579448</v>
      </c>
      <c r="N129" s="22">
        <f>N94+N20</f>
        <v>3579447.9999999995</v>
      </c>
      <c r="O129" s="84">
        <f>N96+N22</f>
        <v>723808.00001999992</v>
      </c>
      <c r="P129" s="23">
        <f t="shared" si="59"/>
        <v>2855639.9999799998</v>
      </c>
      <c r="Q129" s="13">
        <f t="shared" si="60"/>
        <v>0</v>
      </c>
      <c r="R129" s="13">
        <f t="shared" si="61"/>
        <v>1.9999919459223747E-5</v>
      </c>
      <c r="S129" s="13">
        <f t="shared" si="62"/>
        <v>-2.0000152289867401E-5</v>
      </c>
    </row>
    <row r="130" spans="10:19">
      <c r="J130" s="60">
        <v>51</v>
      </c>
      <c r="K130" s="19">
        <f>M99+M25</f>
        <v>8424298.6799999997</v>
      </c>
      <c r="L130" s="19">
        <f t="shared" si="58"/>
        <v>15886240</v>
      </c>
      <c r="M130" s="19">
        <f>M97+M23</f>
        <v>24310538.68</v>
      </c>
      <c r="N130" s="22">
        <f>N97+N23</f>
        <v>24310538.676999997</v>
      </c>
      <c r="O130" s="84">
        <f>N99+N25</f>
        <v>8424298.6790399998</v>
      </c>
      <c r="P130" s="23">
        <f t="shared" si="59"/>
        <v>15886239.997959998</v>
      </c>
      <c r="Q130" s="13">
        <f t="shared" si="60"/>
        <v>-3.0000023543834686E-3</v>
      </c>
      <c r="R130" s="13">
        <f t="shared" si="61"/>
        <v>-9.5999985933303833E-4</v>
      </c>
      <c r="S130" s="13">
        <f t="shared" si="62"/>
        <v>-2.0400024950504303E-3</v>
      </c>
    </row>
    <row r="131" spans="10:19">
      <c r="J131" s="60">
        <v>37</v>
      </c>
      <c r="K131" s="19">
        <f>M102+M28</f>
        <v>8750873.5999999996</v>
      </c>
      <c r="L131" s="19">
        <f t="shared" si="58"/>
        <v>19639460</v>
      </c>
      <c r="M131" s="19">
        <f>M100+M26</f>
        <v>28390333.600000001</v>
      </c>
      <c r="N131" s="22">
        <f>N100+N26</f>
        <v>28390333.607999995</v>
      </c>
      <c r="O131" s="84">
        <f>N102+N28</f>
        <v>8750873.6002799999</v>
      </c>
      <c r="P131" s="23">
        <f t="shared" si="59"/>
        <v>19639460.007719994</v>
      </c>
      <c r="Q131" s="13">
        <f t="shared" si="60"/>
        <v>7.9999938607215881E-3</v>
      </c>
      <c r="R131" s="13">
        <f t="shared" si="61"/>
        <v>2.8000026941299438E-4</v>
      </c>
      <c r="S131" s="13">
        <f t="shared" si="62"/>
        <v>7.7199935913085938E-3</v>
      </c>
    </row>
    <row r="132" spans="10:19">
      <c r="J132" s="60" t="s">
        <v>53</v>
      </c>
      <c r="K132" s="19">
        <f>M105+M31</f>
        <v>4354137.84</v>
      </c>
      <c r="L132" s="19">
        <f t="shared" si="58"/>
        <v>9150140</v>
      </c>
      <c r="M132" s="19">
        <f>M103+M29</f>
        <v>13504277.84</v>
      </c>
      <c r="N132" s="22">
        <f>N103+N29</f>
        <v>13504277.835099999</v>
      </c>
      <c r="O132" s="84">
        <f>N105+N31</f>
        <v>4354137.8387000002</v>
      </c>
      <c r="P132" s="23">
        <f t="shared" si="59"/>
        <v>9150139.9963999987</v>
      </c>
      <c r="Q132" s="13">
        <f t="shared" si="60"/>
        <v>-4.9000009894371033E-3</v>
      </c>
      <c r="R132" s="13">
        <f t="shared" si="61"/>
        <v>-1.2999996542930603E-3</v>
      </c>
      <c r="S132" s="13">
        <f t="shared" si="62"/>
        <v>-3.600001335144043E-3</v>
      </c>
    </row>
    <row r="133" spans="10:19">
      <c r="J133" s="1">
        <v>35</v>
      </c>
      <c r="K133" s="19">
        <f>M108+M34</f>
        <v>6001420.8499999996</v>
      </c>
      <c r="L133" s="19">
        <f t="shared" si="58"/>
        <v>11414140.000000002</v>
      </c>
      <c r="M133" s="19">
        <f>M106+M32</f>
        <v>17415560.850000001</v>
      </c>
      <c r="N133" s="22">
        <f>N106+N32</f>
        <v>17415560.946249999</v>
      </c>
      <c r="O133" s="84">
        <f>N108+N34</f>
        <v>6001420.8499999996</v>
      </c>
      <c r="P133" s="23">
        <f t="shared" si="59"/>
        <v>11414140.096249999</v>
      </c>
      <c r="Q133" s="13">
        <f t="shared" si="60"/>
        <v>9.6249997615814209E-2</v>
      </c>
      <c r="R133" s="13">
        <f t="shared" si="61"/>
        <v>0</v>
      </c>
      <c r="S133" s="13">
        <f t="shared" si="62"/>
        <v>9.6249997615814209E-2</v>
      </c>
    </row>
    <row r="134" spans="10:19">
      <c r="J134" s="1">
        <v>32</v>
      </c>
      <c r="K134" s="19">
        <f>M111+M37</f>
        <v>8066722.3300000001</v>
      </c>
      <c r="L134" s="19">
        <f t="shared" si="58"/>
        <v>24675400</v>
      </c>
      <c r="M134" s="19">
        <f>M109+M35</f>
        <v>32742122.329999998</v>
      </c>
      <c r="N134" s="22">
        <f>N109+N35</f>
        <v>32742122.33557</v>
      </c>
      <c r="O134" s="84">
        <f>N111+N37</f>
        <v>8066722.3329399992</v>
      </c>
      <c r="P134" s="23">
        <f t="shared" si="59"/>
        <v>24675400.002630003</v>
      </c>
      <c r="Q134" s="13">
        <f t="shared" si="60"/>
        <v>5.5700019001960754E-3</v>
      </c>
      <c r="R134" s="13">
        <f t="shared" si="61"/>
        <v>2.9399991035461426E-3</v>
      </c>
      <c r="S134" s="13">
        <f t="shared" si="62"/>
        <v>2.6300027966499329E-3</v>
      </c>
    </row>
    <row r="135" spans="10:19">
      <c r="J135" s="1">
        <v>50</v>
      </c>
      <c r="K135" s="19">
        <f>M114+M40</f>
        <v>10912192.08</v>
      </c>
      <c r="L135" s="19">
        <f t="shared" si="58"/>
        <v>23520780</v>
      </c>
      <c r="M135" s="19">
        <f>M112+M38</f>
        <v>34432972.079999998</v>
      </c>
      <c r="N135" s="22">
        <f>N112+N38</f>
        <v>34432972.082840003</v>
      </c>
      <c r="O135" s="84">
        <f>N114+N40</f>
        <v>10912192.079519998</v>
      </c>
      <c r="P135" s="23">
        <f t="shared" si="59"/>
        <v>23520780.003320005</v>
      </c>
      <c r="Q135" s="13">
        <f t="shared" si="60"/>
        <v>2.8400048613548279E-3</v>
      </c>
      <c r="R135" s="13">
        <f t="shared" si="61"/>
        <v>-4.800017923116684E-4</v>
      </c>
      <c r="S135" s="13">
        <f t="shared" si="62"/>
        <v>3.320004791021347E-3</v>
      </c>
    </row>
    <row r="136" spans="10:19">
      <c r="J136" s="1">
        <v>33</v>
      </c>
      <c r="K136" s="19">
        <f>M118+M44</f>
        <v>13580184.24</v>
      </c>
      <c r="L136" s="19">
        <f t="shared" si="58"/>
        <v>24963040</v>
      </c>
      <c r="M136" s="19">
        <f>M116+M42</f>
        <v>38543224.240000002</v>
      </c>
      <c r="N136" s="22">
        <f>N116+N42</f>
        <v>38543224.245399997</v>
      </c>
      <c r="O136" s="84">
        <f>N118+N44</f>
        <v>13580184.239800001</v>
      </c>
      <c r="P136" s="23">
        <f t="shared" si="59"/>
        <v>24963040.005599998</v>
      </c>
      <c r="Q136" s="13">
        <f t="shared" si="60"/>
        <v>5.3999945521354675E-3</v>
      </c>
      <c r="R136" s="13">
        <f t="shared" si="61"/>
        <v>-1.9999966025352478E-4</v>
      </c>
      <c r="S136" s="13">
        <f t="shared" si="62"/>
        <v>5.5999979376792908E-3</v>
      </c>
    </row>
    <row r="137" spans="10:19">
      <c r="J137" s="1">
        <v>28</v>
      </c>
      <c r="K137" s="19">
        <f>M121+M47</f>
        <v>17111075.760000002</v>
      </c>
      <c r="L137" s="19">
        <f t="shared" si="58"/>
        <v>36570260</v>
      </c>
      <c r="M137" s="19">
        <f>M119+M45</f>
        <v>53681335.760000005</v>
      </c>
      <c r="N137" s="22">
        <f>N119+N45</f>
        <v>53681335.755719997</v>
      </c>
      <c r="O137" s="84">
        <f>N121+N47</f>
        <v>17111075.755860001</v>
      </c>
      <c r="P137" s="23">
        <f t="shared" si="59"/>
        <v>36570259.999859996</v>
      </c>
      <c r="Q137" s="13">
        <f t="shared" si="60"/>
        <v>-4.2800083756446838E-3</v>
      </c>
      <c r="R137" s="13">
        <f t="shared" si="61"/>
        <v>-4.1400007903575897E-3</v>
      </c>
      <c r="S137" s="13">
        <f t="shared" si="62"/>
        <v>-1.4000385999679565E-4</v>
      </c>
    </row>
  </sheetData>
  <mergeCells count="9">
    <mergeCell ref="Q123:S123"/>
    <mergeCell ref="B5:D5"/>
    <mergeCell ref="A5:A6"/>
    <mergeCell ref="L5:L6"/>
    <mergeCell ref="E5:K5"/>
    <mergeCell ref="A79:A80"/>
    <mergeCell ref="B79:D79"/>
    <mergeCell ref="E79:K79"/>
    <mergeCell ref="L79:L80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39"/>
  <sheetViews>
    <sheetView tabSelected="1" workbookViewId="0">
      <selection activeCell="F14" sqref="F14:F16"/>
    </sheetView>
  </sheetViews>
  <sheetFormatPr defaultRowHeight="15"/>
  <cols>
    <col min="1" max="1" width="18.28515625" customWidth="1"/>
    <col min="2" max="2" width="10.140625" customWidth="1"/>
    <col min="3" max="3" width="16.42578125" customWidth="1"/>
    <col min="4" max="4" width="16" customWidth="1"/>
    <col min="5" max="5" width="15" customWidth="1"/>
    <col min="6" max="6" width="15.7109375" customWidth="1"/>
    <col min="7" max="7" width="18.5703125" customWidth="1"/>
    <col min="8" max="8" width="17.5703125" customWidth="1"/>
    <col min="9" max="9" width="12.85546875" customWidth="1"/>
    <col min="11" max="11" width="20.7109375" customWidth="1"/>
  </cols>
  <sheetData>
    <row r="1" spans="1:14">
      <c r="A1" t="s">
        <v>0</v>
      </c>
    </row>
    <row r="2" spans="1:14" ht="18.75">
      <c r="A2" s="9" t="s">
        <v>21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.75" thickBot="1"/>
    <row r="4" spans="1:14">
      <c r="A4" s="73" t="s">
        <v>40</v>
      </c>
      <c r="B4" s="75" t="s">
        <v>35</v>
      </c>
      <c r="C4" s="75" t="s">
        <v>33</v>
      </c>
      <c r="D4" s="75"/>
      <c r="E4" s="75"/>
      <c r="F4" s="77" t="s">
        <v>39</v>
      </c>
      <c r="G4" s="75" t="s">
        <v>47</v>
      </c>
      <c r="H4" s="75"/>
      <c r="I4" s="79" t="s">
        <v>37</v>
      </c>
    </row>
    <row r="5" spans="1:14" ht="45.95" customHeight="1" thickBot="1">
      <c r="A5" s="74"/>
      <c r="B5" s="76"/>
      <c r="C5" s="14" t="s">
        <v>17</v>
      </c>
      <c r="D5" s="14" t="s">
        <v>34</v>
      </c>
      <c r="E5" s="14" t="s">
        <v>38</v>
      </c>
      <c r="F5" s="78"/>
      <c r="G5" s="15" t="s">
        <v>15</v>
      </c>
      <c r="H5" s="15" t="s">
        <v>36</v>
      </c>
      <c r="I5" s="80"/>
      <c r="J5" s="12"/>
    </row>
    <row r="6" spans="1:14" s="93" customFormat="1" ht="15" customHeight="1">
      <c r="A6" s="94" t="s">
        <v>16</v>
      </c>
      <c r="B6" s="94">
        <v>239</v>
      </c>
      <c r="C6" s="95">
        <f>дошк.обр!L9</f>
        <v>76728.870729999995</v>
      </c>
      <c r="D6" s="95">
        <f>дошк.обр!L10</f>
        <v>34684.195520000001</v>
      </c>
      <c r="E6" s="95">
        <f>D6+C6</f>
        <v>111413.06625</v>
      </c>
      <c r="F6" s="95">
        <v>105545.92702</v>
      </c>
      <c r="G6" s="92">
        <f>F6*B6</f>
        <v>25225476.557780001</v>
      </c>
      <c r="H6" s="92">
        <v>26627722.699999999</v>
      </c>
      <c r="I6" s="95">
        <f>H6/G6</f>
        <v>1.0555884896369785</v>
      </c>
      <c r="J6" s="96" t="s">
        <v>42</v>
      </c>
    </row>
    <row r="7" spans="1:14" s="93" customFormat="1">
      <c r="A7" s="89" t="s">
        <v>23</v>
      </c>
      <c r="B7" s="89">
        <v>192</v>
      </c>
      <c r="C7" s="90">
        <f>дошк.обр!L12</f>
        <v>98210.416660000003</v>
      </c>
      <c r="D7" s="90">
        <f>дошк.обр!L13</f>
        <v>39078.001759999999</v>
      </c>
      <c r="E7" s="90">
        <f t="shared" ref="E7:E19" si="0">D7+C7</f>
        <v>137288.41842</v>
      </c>
      <c r="F7" s="95">
        <v>105545.92702</v>
      </c>
      <c r="G7" s="91">
        <f t="shared" ref="G7:G19" si="1">F7*B7</f>
        <v>20264817.987840001</v>
      </c>
      <c r="H7" s="92">
        <v>26359376.300000001</v>
      </c>
      <c r="I7" s="90">
        <f t="shared" ref="I7:I19" si="2">H7/G7</f>
        <v>1.3007457711101609</v>
      </c>
      <c r="J7" s="96"/>
    </row>
    <row r="8" spans="1:14" s="93" customFormat="1">
      <c r="A8" s="89" t="s">
        <v>24</v>
      </c>
      <c r="B8" s="89">
        <v>214</v>
      </c>
      <c r="C8" s="90">
        <f>дошк.обр!L15</f>
        <v>74977.102790000004</v>
      </c>
      <c r="D8" s="90">
        <f>дошк.обр!L16</f>
        <v>35462.94973</v>
      </c>
      <c r="E8" s="90">
        <f t="shared" si="0"/>
        <v>110440.05252</v>
      </c>
      <c r="F8" s="95">
        <v>105545.92702</v>
      </c>
      <c r="G8" s="91">
        <f t="shared" si="1"/>
        <v>22586828.38228</v>
      </c>
      <c r="H8" s="92">
        <v>23634171.199999999</v>
      </c>
      <c r="I8" s="90">
        <f t="shared" si="2"/>
        <v>1.0463696274657874</v>
      </c>
      <c r="J8" s="96"/>
    </row>
    <row r="9" spans="1:14" s="93" customFormat="1">
      <c r="A9" s="89" t="s">
        <v>25</v>
      </c>
      <c r="B9" s="89">
        <v>152</v>
      </c>
      <c r="C9" s="90">
        <f>дошк.обр!L18</f>
        <v>79057.895420000001</v>
      </c>
      <c r="D9" s="90">
        <f>дошк.обр!L19</f>
        <v>31469.909939999998</v>
      </c>
      <c r="E9" s="90">
        <f t="shared" si="0"/>
        <v>110527.80536</v>
      </c>
      <c r="F9" s="95">
        <v>105545.92702</v>
      </c>
      <c r="G9" s="91">
        <f t="shared" si="1"/>
        <v>16042980.90704</v>
      </c>
      <c r="H9" s="92">
        <v>16800226.300000001</v>
      </c>
      <c r="I9" s="90">
        <f t="shared" si="2"/>
        <v>1.0472010405888912</v>
      </c>
      <c r="J9" s="96"/>
    </row>
    <row r="10" spans="1:14" s="67" customFormat="1">
      <c r="A10" s="42" t="s">
        <v>52</v>
      </c>
      <c r="B10" s="42">
        <v>35</v>
      </c>
      <c r="C10" s="44">
        <f>дошк.обр!L21</f>
        <v>80519.999999999985</v>
      </c>
      <c r="D10" s="44">
        <f>дошк.обр!L22</f>
        <v>10908.8</v>
      </c>
      <c r="E10" s="44">
        <f t="shared" si="0"/>
        <v>91428.799999999988</v>
      </c>
      <c r="F10" s="44">
        <f>E10</f>
        <v>91428.799999999988</v>
      </c>
      <c r="G10" s="43">
        <f t="shared" si="1"/>
        <v>3200007.9999999995</v>
      </c>
      <c r="H10" s="65">
        <v>3200008</v>
      </c>
      <c r="I10" s="44">
        <f t="shared" si="2"/>
        <v>1.0000000000000002</v>
      </c>
      <c r="J10" s="96"/>
    </row>
    <row r="11" spans="1:14" s="93" customFormat="1">
      <c r="A11" s="89" t="s">
        <v>26</v>
      </c>
      <c r="B11" s="89">
        <v>212</v>
      </c>
      <c r="C11" s="90">
        <f>дошк.обр!L24</f>
        <v>74582.075459999993</v>
      </c>
      <c r="D11" s="90">
        <f>дошк.обр!L25</f>
        <v>32564.616409999999</v>
      </c>
      <c r="E11" s="90">
        <f t="shared" si="0"/>
        <v>107146.69187</v>
      </c>
      <c r="F11" s="95">
        <v>105545.92702</v>
      </c>
      <c r="G11" s="91">
        <f t="shared" si="1"/>
        <v>22375736.528239999</v>
      </c>
      <c r="H11" s="92">
        <v>22715098.699999999</v>
      </c>
      <c r="I11" s="90">
        <f t="shared" si="2"/>
        <v>1.0151665251926656</v>
      </c>
      <c r="J11" s="96"/>
    </row>
    <row r="12" spans="1:14" s="67" customFormat="1">
      <c r="A12" s="42" t="s">
        <v>27</v>
      </c>
      <c r="B12" s="42">
        <v>252</v>
      </c>
      <c r="C12" s="44">
        <f>дошк.обр!L27</f>
        <v>77340.079399999988</v>
      </c>
      <c r="D12" s="44">
        <f>дошк.обр!L28</f>
        <v>28205.84762</v>
      </c>
      <c r="E12" s="44">
        <f t="shared" si="0"/>
        <v>105545.92701999999</v>
      </c>
      <c r="F12" s="66">
        <v>105545.92702</v>
      </c>
      <c r="G12" s="43">
        <f>F12*B12</f>
        <v>26597573.60904</v>
      </c>
      <c r="H12" s="65">
        <v>26597573.600000001</v>
      </c>
      <c r="I12" s="44">
        <f t="shared" si="2"/>
        <v>0.99999999966011943</v>
      </c>
      <c r="J12" s="96"/>
    </row>
    <row r="13" spans="1:14" s="93" customFormat="1">
      <c r="A13" s="89" t="s">
        <v>51</v>
      </c>
      <c r="B13" s="89">
        <v>130</v>
      </c>
      <c r="C13" s="90">
        <f>дошк.обр!L30</f>
        <v>70097.692279999988</v>
      </c>
      <c r="D13" s="90">
        <f>дошк.обр!L31</f>
        <v>21811.060300000001</v>
      </c>
      <c r="E13" s="90">
        <f t="shared" si="0"/>
        <v>91908.752579999986</v>
      </c>
      <c r="F13" s="95">
        <v>91428.800000000003</v>
      </c>
      <c r="G13" s="91">
        <f t="shared" si="1"/>
        <v>11885744</v>
      </c>
      <c r="H13" s="92">
        <v>11948137.800000001</v>
      </c>
      <c r="I13" s="90">
        <f t="shared" si="2"/>
        <v>1.0052494652417217</v>
      </c>
      <c r="J13" s="96"/>
    </row>
    <row r="14" spans="1:14" s="93" customFormat="1">
      <c r="A14" s="89" t="s">
        <v>28</v>
      </c>
      <c r="B14" s="89">
        <v>125</v>
      </c>
      <c r="C14" s="90">
        <f>дошк.обр!L33</f>
        <v>91013.600770000005</v>
      </c>
      <c r="D14" s="90">
        <f>дошк.обр!L34</f>
        <v>40547.366799999996</v>
      </c>
      <c r="E14" s="90">
        <f t="shared" si="0"/>
        <v>131560.96757000001</v>
      </c>
      <c r="F14" s="95">
        <v>105545.92702</v>
      </c>
      <c r="G14" s="91">
        <f t="shared" si="1"/>
        <v>13193240.877499999</v>
      </c>
      <c r="H14" s="92">
        <v>16445120.9</v>
      </c>
      <c r="I14" s="90">
        <f t="shared" si="2"/>
        <v>1.2464807587986828</v>
      </c>
      <c r="J14" s="96"/>
    </row>
    <row r="15" spans="1:14" s="93" customFormat="1">
      <c r="A15" s="89" t="s">
        <v>29</v>
      </c>
      <c r="B15" s="89">
        <v>191</v>
      </c>
      <c r="C15" s="90">
        <f>дошк.обр!L36</f>
        <v>128700.52357</v>
      </c>
      <c r="D15" s="90">
        <f>дошк.обр!L37</f>
        <v>35955.090749999996</v>
      </c>
      <c r="E15" s="90">
        <f t="shared" si="0"/>
        <v>164655.61431999999</v>
      </c>
      <c r="F15" s="95">
        <v>105545.92702</v>
      </c>
      <c r="G15" s="91">
        <f t="shared" si="1"/>
        <v>20159272.060820002</v>
      </c>
      <c r="H15" s="92">
        <v>31449222.300000001</v>
      </c>
      <c r="I15" s="90">
        <f t="shared" si="2"/>
        <v>1.560037594865455</v>
      </c>
      <c r="J15" s="96"/>
    </row>
    <row r="16" spans="1:14" s="93" customFormat="1">
      <c r="A16" s="89" t="s">
        <v>30</v>
      </c>
      <c r="B16" s="89">
        <v>257</v>
      </c>
      <c r="C16" s="90">
        <f>дошк.обр!L39</f>
        <v>91229.182890000011</v>
      </c>
      <c r="D16" s="90">
        <f>дошк.обр!L40</f>
        <v>34268.062569999995</v>
      </c>
      <c r="E16" s="90">
        <f t="shared" si="0"/>
        <v>125497.24546000001</v>
      </c>
      <c r="F16" s="95">
        <v>105545.92702</v>
      </c>
      <c r="G16" s="91">
        <f t="shared" si="1"/>
        <v>27125303.244139999</v>
      </c>
      <c r="H16" s="92">
        <v>32252792.100000001</v>
      </c>
      <c r="I16" s="90">
        <f t="shared" si="2"/>
        <v>1.1890297339613232</v>
      </c>
      <c r="J16" s="96"/>
    </row>
    <row r="17" spans="1:12" s="93" customFormat="1">
      <c r="A17" s="89"/>
      <c r="B17" s="89"/>
      <c r="C17" s="90"/>
      <c r="D17" s="90"/>
      <c r="E17" s="90">
        <f t="shared" si="0"/>
        <v>0</v>
      </c>
      <c r="F17" s="90"/>
      <c r="G17" s="91"/>
      <c r="H17" s="92">
        <f t="shared" ref="H17" si="3">E17*B17</f>
        <v>0</v>
      </c>
      <c r="I17" s="90"/>
    </row>
    <row r="18" spans="1:12" s="67" customFormat="1">
      <c r="A18" s="42" t="s">
        <v>31</v>
      </c>
      <c r="B18" s="42">
        <v>317</v>
      </c>
      <c r="C18" s="44">
        <f>дошк.обр!L43</f>
        <v>78334.384879999983</v>
      </c>
      <c r="D18" s="44">
        <f>дошк.обр!L44</f>
        <v>36678.183720000001</v>
      </c>
      <c r="E18" s="44">
        <f t="shared" si="0"/>
        <v>115012.56859999998</v>
      </c>
      <c r="F18" s="44">
        <f>E18</f>
        <v>115012.56859999998</v>
      </c>
      <c r="G18" s="43">
        <f t="shared" si="1"/>
        <v>36458984.246199995</v>
      </c>
      <c r="H18" s="65">
        <v>36458984.200000003</v>
      </c>
      <c r="I18" s="44">
        <f t="shared" si="2"/>
        <v>0.99999999873282286</v>
      </c>
      <c r="J18" s="97" t="s">
        <v>41</v>
      </c>
    </row>
    <row r="19" spans="1:12" s="93" customFormat="1">
      <c r="A19" s="89" t="s">
        <v>32</v>
      </c>
      <c r="B19" s="89">
        <v>401</v>
      </c>
      <c r="C19" s="90">
        <f>дошк.обр!L46</f>
        <v>90824.189530000003</v>
      </c>
      <c r="D19" s="90">
        <f>дошк.обр!L47</f>
        <v>35329.01685</v>
      </c>
      <c r="E19" s="90">
        <f t="shared" si="0"/>
        <v>126153.20638</v>
      </c>
      <c r="F19" s="90">
        <f>F18</f>
        <v>115012.56859999998</v>
      </c>
      <c r="G19" s="91">
        <f t="shared" si="1"/>
        <v>46120040.008599997</v>
      </c>
      <c r="H19" s="92">
        <v>50587435.799999997</v>
      </c>
      <c r="I19" s="90">
        <f t="shared" si="2"/>
        <v>1.0968645254983944</v>
      </c>
      <c r="J19" s="97"/>
    </row>
    <row r="20" spans="1:12">
      <c r="B20">
        <f>SUM(B6:B19)</f>
        <v>2717</v>
      </c>
      <c r="G20" s="27">
        <f>SUM(G6:G19)</f>
        <v>291236006.40947998</v>
      </c>
      <c r="H20" s="27">
        <f>SUM(H6:H19)</f>
        <v>325075869.90000004</v>
      </c>
      <c r="I20" s="29"/>
    </row>
    <row r="21" spans="1:12" ht="18.75">
      <c r="A21" s="9" t="s">
        <v>22</v>
      </c>
      <c r="B21" s="1"/>
      <c r="C21" s="1"/>
      <c r="D21" s="10"/>
      <c r="E21" s="1"/>
      <c r="F21" s="1"/>
      <c r="G21" s="1"/>
      <c r="H21" s="1"/>
      <c r="I21" s="30"/>
      <c r="J21" s="1"/>
      <c r="K21" s="1"/>
      <c r="L21" s="1"/>
    </row>
    <row r="22" spans="1:12" ht="15.75" thickBot="1">
      <c r="I22" s="29"/>
    </row>
    <row r="23" spans="1:12">
      <c r="A23" s="73" t="s">
        <v>40</v>
      </c>
      <c r="B23" s="75" t="s">
        <v>35</v>
      </c>
      <c r="C23" s="75" t="s">
        <v>33</v>
      </c>
      <c r="D23" s="75"/>
      <c r="E23" s="75"/>
      <c r="F23" s="77" t="s">
        <v>39</v>
      </c>
      <c r="G23" s="75" t="s">
        <v>47</v>
      </c>
      <c r="H23" s="75"/>
      <c r="I23" s="71" t="s">
        <v>37</v>
      </c>
    </row>
    <row r="24" spans="1:12" ht="45.95" customHeight="1" thickBot="1">
      <c r="A24" s="74"/>
      <c r="B24" s="76"/>
      <c r="C24" s="14" t="s">
        <v>17</v>
      </c>
      <c r="D24" s="14" t="s">
        <v>34</v>
      </c>
      <c r="E24" s="14" t="s">
        <v>38</v>
      </c>
      <c r="F24" s="78"/>
      <c r="G24" s="15" t="s">
        <v>15</v>
      </c>
      <c r="H24" s="15" t="s">
        <v>36</v>
      </c>
      <c r="I24" s="72"/>
      <c r="J24" s="12"/>
    </row>
    <row r="25" spans="1:12" s="93" customFormat="1" ht="15" customHeight="1">
      <c r="A25" s="94" t="s">
        <v>16</v>
      </c>
      <c r="B25" s="94">
        <v>239</v>
      </c>
      <c r="C25" s="95">
        <v>156.65271999999999</v>
      </c>
      <c r="D25" s="95">
        <v>6372.8033500000001</v>
      </c>
      <c r="E25" s="95">
        <f>D25+C25</f>
        <v>6529.4560700000002</v>
      </c>
      <c r="F25" s="95">
        <v>6373.0263199999999</v>
      </c>
      <c r="G25" s="92">
        <f>F25*B25</f>
        <v>1523153.29048</v>
      </c>
      <c r="H25" s="92">
        <v>1560540</v>
      </c>
      <c r="I25" s="95">
        <f>H25/G25</f>
        <v>1.0245455987612502</v>
      </c>
      <c r="J25" s="96" t="s">
        <v>42</v>
      </c>
    </row>
    <row r="26" spans="1:12" s="93" customFormat="1">
      <c r="A26" s="89" t="s">
        <v>23</v>
      </c>
      <c r="B26" s="89">
        <v>192</v>
      </c>
      <c r="C26" s="90">
        <v>292.5</v>
      </c>
      <c r="D26" s="90">
        <v>7919.2708300000004</v>
      </c>
      <c r="E26" s="90">
        <f t="shared" ref="E26:E31" si="4">D26+C26</f>
        <v>8211.7708300000013</v>
      </c>
      <c r="F26" s="95">
        <f>F25</f>
        <v>6373.0263199999999</v>
      </c>
      <c r="G26" s="91">
        <f t="shared" ref="G26:G31" si="5">F26*B26</f>
        <v>1223621.0534399999</v>
      </c>
      <c r="H26" s="92">
        <v>1576660</v>
      </c>
      <c r="I26" s="90">
        <f t="shared" ref="I26:I31" si="6">H26/G26</f>
        <v>1.2885198367317168</v>
      </c>
      <c r="J26" s="96"/>
    </row>
    <row r="27" spans="1:12" s="93" customFormat="1">
      <c r="A27" s="89" t="s">
        <v>24</v>
      </c>
      <c r="B27" s="89">
        <v>214</v>
      </c>
      <c r="C27" s="90">
        <v>5685.9813100000001</v>
      </c>
      <c r="D27" s="90">
        <v>5277.5700900000002</v>
      </c>
      <c r="E27" s="90">
        <f t="shared" si="4"/>
        <v>10963.5514</v>
      </c>
      <c r="F27" s="95">
        <f>F26</f>
        <v>6373.0263199999999</v>
      </c>
      <c r="G27" s="91">
        <f t="shared" si="5"/>
        <v>1363827.6324799999</v>
      </c>
      <c r="H27" s="92">
        <v>2346200</v>
      </c>
      <c r="I27" s="90">
        <f t="shared" si="6"/>
        <v>1.7203053700661886</v>
      </c>
      <c r="J27" s="96"/>
    </row>
    <row r="28" spans="1:12" s="67" customFormat="1">
      <c r="A28" s="42" t="s">
        <v>25</v>
      </c>
      <c r="B28" s="42">
        <v>152</v>
      </c>
      <c r="C28" s="44">
        <v>0</v>
      </c>
      <c r="D28" s="44">
        <v>6373.0263199999999</v>
      </c>
      <c r="E28" s="44">
        <f t="shared" si="4"/>
        <v>6373.0263199999999</v>
      </c>
      <c r="F28" s="66">
        <v>6373.0263199999999</v>
      </c>
      <c r="G28" s="43">
        <f t="shared" si="5"/>
        <v>968700.00063999998</v>
      </c>
      <c r="H28" s="65">
        <v>968700</v>
      </c>
      <c r="I28" s="44">
        <f t="shared" si="6"/>
        <v>0.99999999933932071</v>
      </c>
      <c r="J28" s="96"/>
    </row>
    <row r="29" spans="1:12" s="93" customFormat="1">
      <c r="A29" s="89" t="s">
        <v>26</v>
      </c>
      <c r="B29" s="89">
        <v>212</v>
      </c>
      <c r="C29" s="90">
        <v>353.01886999999999</v>
      </c>
      <c r="D29" s="90">
        <v>7172.6415100000004</v>
      </c>
      <c r="E29" s="90">
        <f t="shared" si="4"/>
        <v>7525.6603800000003</v>
      </c>
      <c r="F29" s="95">
        <v>6373.0263199999999</v>
      </c>
      <c r="G29" s="91">
        <f t="shared" si="5"/>
        <v>1351081.57984</v>
      </c>
      <c r="H29" s="92">
        <v>1595440</v>
      </c>
      <c r="I29" s="90">
        <f t="shared" si="6"/>
        <v>1.1808613364330951</v>
      </c>
      <c r="J29" s="96"/>
    </row>
    <row r="30" spans="1:12" s="93" customFormat="1">
      <c r="A30" s="89" t="s">
        <v>27</v>
      </c>
      <c r="B30" s="89">
        <v>252</v>
      </c>
      <c r="C30" s="90">
        <v>594.28570999999999</v>
      </c>
      <c r="D30" s="90">
        <v>6519.8412699999999</v>
      </c>
      <c r="E30" s="90">
        <f t="shared" si="4"/>
        <v>7114.12698</v>
      </c>
      <c r="F30" s="95">
        <v>6373.0263199999999</v>
      </c>
      <c r="G30" s="91">
        <f t="shared" si="5"/>
        <v>1606002.63264</v>
      </c>
      <c r="H30" s="92">
        <v>1792760</v>
      </c>
      <c r="I30" s="90">
        <f t="shared" si="6"/>
        <v>1.1162870866861545</v>
      </c>
      <c r="J30" s="96"/>
    </row>
    <row r="31" spans="1:12" s="93" customFormat="1">
      <c r="A31" s="89" t="s">
        <v>28</v>
      </c>
      <c r="B31" s="89">
        <v>125</v>
      </c>
      <c r="C31" s="90">
        <v>299.52</v>
      </c>
      <c r="D31" s="90">
        <v>7464</v>
      </c>
      <c r="E31" s="90">
        <f t="shared" si="4"/>
        <v>7763.52</v>
      </c>
      <c r="F31" s="95">
        <v>6373.0263199999999</v>
      </c>
      <c r="G31" s="91">
        <f t="shared" si="5"/>
        <v>796628.29</v>
      </c>
      <c r="H31" s="92">
        <v>970440</v>
      </c>
      <c r="I31" s="90">
        <f t="shared" si="6"/>
        <v>1.218184204831591</v>
      </c>
      <c r="J31" s="96"/>
    </row>
    <row r="32" spans="1:12" s="93" customFormat="1">
      <c r="A32" s="89" t="s">
        <v>29</v>
      </c>
      <c r="B32" s="89">
        <v>191</v>
      </c>
      <c r="C32" s="90">
        <v>490.05236000000002</v>
      </c>
      <c r="D32" s="90">
        <v>6279.0575900000003</v>
      </c>
      <c r="E32" s="90">
        <f t="shared" ref="E32:E38" si="7">D32+C32</f>
        <v>6769.10995</v>
      </c>
      <c r="F32" s="95">
        <v>6373.0263199999999</v>
      </c>
      <c r="G32" s="91">
        <f t="shared" ref="G32" si="8">F32*B32</f>
        <v>1217248.02712</v>
      </c>
      <c r="H32" s="92">
        <v>1292900</v>
      </c>
      <c r="I32" s="90">
        <f t="shared" ref="I32:I35" si="9">H32/G32</f>
        <v>1.0621500065676772</v>
      </c>
      <c r="J32" s="96"/>
    </row>
    <row r="33" spans="1:10" s="93" customFormat="1">
      <c r="A33" s="89" t="s">
        <v>30</v>
      </c>
      <c r="B33" s="89">
        <v>257</v>
      </c>
      <c r="C33" s="90">
        <v>291.36187000000001</v>
      </c>
      <c r="D33" s="90">
        <v>8191.8287899999996</v>
      </c>
      <c r="E33" s="90">
        <f t="shared" si="7"/>
        <v>8483.1906600000002</v>
      </c>
      <c r="F33" s="95">
        <v>6373.0263199999999</v>
      </c>
      <c r="G33" s="91">
        <f>F33*B33</f>
        <v>1637867.7642399999</v>
      </c>
      <c r="H33" s="92">
        <v>2180180</v>
      </c>
      <c r="I33" s="90">
        <f t="shared" si="9"/>
        <v>1.3311086814213251</v>
      </c>
      <c r="J33" s="96"/>
    </row>
    <row r="34" spans="1:10" s="67" customFormat="1">
      <c r="A34" s="42" t="s">
        <v>52</v>
      </c>
      <c r="B34" s="42">
        <v>34</v>
      </c>
      <c r="C34" s="44">
        <v>1101.1764700000001</v>
      </c>
      <c r="D34" s="44">
        <v>10058.82353</v>
      </c>
      <c r="E34" s="44">
        <f t="shared" si="7"/>
        <v>11160</v>
      </c>
      <c r="F34" s="66">
        <v>11160</v>
      </c>
      <c r="G34" s="43">
        <f t="shared" ref="G34:G35" si="10">F34*B34</f>
        <v>379440</v>
      </c>
      <c r="H34" s="65">
        <v>379440</v>
      </c>
      <c r="I34" s="44">
        <f t="shared" si="9"/>
        <v>1</v>
      </c>
      <c r="J34" s="100"/>
    </row>
    <row r="35" spans="1:10" s="93" customFormat="1">
      <c r="A35" s="89" t="s">
        <v>51</v>
      </c>
      <c r="B35" s="89">
        <v>130</v>
      </c>
      <c r="C35" s="90">
        <v>288</v>
      </c>
      <c r="D35" s="90">
        <v>11682.30769</v>
      </c>
      <c r="E35" s="90">
        <f t="shared" si="7"/>
        <v>11970.30769</v>
      </c>
      <c r="F35" s="95">
        <v>11160</v>
      </c>
      <c r="G35" s="91">
        <f t="shared" si="10"/>
        <v>1450800</v>
      </c>
      <c r="H35" s="92">
        <v>1556140</v>
      </c>
      <c r="I35" s="90">
        <f t="shared" si="9"/>
        <v>1.0726082161566033</v>
      </c>
      <c r="J35" s="99"/>
    </row>
    <row r="36" spans="1:10" s="93" customFormat="1">
      <c r="A36" s="89"/>
      <c r="B36" s="89"/>
      <c r="C36" s="90"/>
      <c r="D36" s="90"/>
      <c r="E36" s="90">
        <f t="shared" si="7"/>
        <v>0</v>
      </c>
      <c r="F36" s="90"/>
      <c r="G36" s="91"/>
      <c r="H36" s="92">
        <f t="shared" ref="H36" si="11">E36*B36</f>
        <v>0</v>
      </c>
      <c r="I36" s="98"/>
    </row>
    <row r="37" spans="1:10" s="67" customFormat="1">
      <c r="A37" s="42" t="s">
        <v>31</v>
      </c>
      <c r="B37" s="42">
        <v>316</v>
      </c>
      <c r="C37" s="44">
        <v>414.68353999999999</v>
      </c>
      <c r="D37" s="44">
        <v>6181.0126600000003</v>
      </c>
      <c r="E37" s="44">
        <f t="shared" si="7"/>
        <v>6595.6962000000003</v>
      </c>
      <c r="F37" s="44">
        <v>6595.6962000000003</v>
      </c>
      <c r="G37" s="43">
        <f t="shared" ref="G37" si="12">F37*B37</f>
        <v>2084239.9992000002</v>
      </c>
      <c r="H37" s="65">
        <v>2084240</v>
      </c>
      <c r="I37" s="44">
        <f t="shared" ref="I37:I38" si="13">H37/G37</f>
        <v>1.000000000383833</v>
      </c>
      <c r="J37" s="97" t="s">
        <v>41</v>
      </c>
    </row>
    <row r="38" spans="1:10" s="93" customFormat="1">
      <c r="A38" s="89" t="s">
        <v>32</v>
      </c>
      <c r="B38" s="89">
        <v>401</v>
      </c>
      <c r="C38" s="90">
        <v>373.46633000000003</v>
      </c>
      <c r="D38" s="90">
        <v>7341.9950099999996</v>
      </c>
      <c r="E38" s="90">
        <f t="shared" si="7"/>
        <v>7715.4613399999998</v>
      </c>
      <c r="F38" s="90">
        <f>F37</f>
        <v>6595.6962000000003</v>
      </c>
      <c r="G38" s="91">
        <f>F38*B38</f>
        <v>2644874.1762000001</v>
      </c>
      <c r="H38" s="92">
        <v>3093900</v>
      </c>
      <c r="I38" s="90">
        <f t="shared" si="13"/>
        <v>1.1697720926918096</v>
      </c>
      <c r="J38" s="97"/>
    </row>
    <row r="39" spans="1:10">
      <c r="B39">
        <f>SUM(B25:B38)</f>
        <v>2715</v>
      </c>
      <c r="H39" s="31">
        <f>SUM(H25:H38)</f>
        <v>21397540</v>
      </c>
    </row>
  </sheetData>
  <mergeCells count="16">
    <mergeCell ref="I23:I24"/>
    <mergeCell ref="J37:J38"/>
    <mergeCell ref="J6:J16"/>
    <mergeCell ref="J25:J33"/>
    <mergeCell ref="A4:A5"/>
    <mergeCell ref="G4:H4"/>
    <mergeCell ref="A23:A24"/>
    <mergeCell ref="B23:B24"/>
    <mergeCell ref="C23:E23"/>
    <mergeCell ref="F23:F24"/>
    <mergeCell ref="G23:H23"/>
    <mergeCell ref="I4:I5"/>
    <mergeCell ref="J18:J19"/>
    <mergeCell ref="B4:B5"/>
    <mergeCell ref="F4:F5"/>
    <mergeCell ref="C4:E4"/>
  </mergeCells>
  <pageMargins left="0.31496062992125984" right="0" top="0.15748031496062992" bottom="0" header="0.31496062992125984" footer="0.31496062992125984"/>
  <pageSetup paperSize="9" scale="8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дошк.обр</vt:lpstr>
      <vt:lpstr>свод</vt:lpstr>
      <vt:lpstr>Лист3</vt:lpstr>
      <vt:lpstr>свод!Область_печати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2021-01-12T08:14:02Z</dcterms:modified>
</cp:coreProperties>
</file>