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activeTab="1"/>
  </bookViews>
  <sheets>
    <sheet name="СВОД" sheetId="10" r:id="rId1"/>
    <sheet name="Услуга №1 " sheetId="4" r:id="rId2"/>
    <sheet name="Услуга №2" sheetId="6" r:id="rId3"/>
    <sheet name="Услуга №3" sheetId="14" r:id="rId4"/>
  </sheets>
  <calcPr calcId="162913"/>
</workbook>
</file>

<file path=xl/calcChain.xml><?xml version="1.0" encoding="utf-8"?>
<calcChain xmlns="http://schemas.openxmlformats.org/spreadsheetml/2006/main">
  <c r="L115" i="4" l="1"/>
  <c r="I115" i="4"/>
  <c r="I63" i="4"/>
  <c r="I54" i="4"/>
  <c r="I84" i="6"/>
  <c r="L115" i="14"/>
  <c r="I115" i="14"/>
  <c r="I115" i="6"/>
  <c r="I84" i="14"/>
  <c r="G84" i="14"/>
  <c r="G84" i="6"/>
  <c r="G84" i="4"/>
  <c r="G54" i="4"/>
  <c r="M54" i="4" l="1"/>
  <c r="N54" i="4" s="1"/>
  <c r="F35" i="4" l="1"/>
  <c r="F34" i="14"/>
  <c r="F34" i="6"/>
  <c r="L34" i="14"/>
  <c r="L34" i="6"/>
  <c r="L35" i="4"/>
  <c r="F31" i="14"/>
  <c r="F31" i="6"/>
  <c r="F32" i="4"/>
  <c r="L18" i="14"/>
  <c r="L17" i="14"/>
  <c r="F30" i="14"/>
  <c r="F29" i="14"/>
  <c r="F28" i="14"/>
  <c r="F27" i="14"/>
  <c r="F26" i="14"/>
  <c r="F25" i="14"/>
  <c r="F24" i="14"/>
  <c r="F23" i="14"/>
  <c r="F22" i="14"/>
  <c r="F21" i="14"/>
  <c r="F20" i="14"/>
  <c r="F19" i="14"/>
  <c r="F18" i="14"/>
  <c r="F17" i="14"/>
  <c r="L18" i="6"/>
  <c r="L17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L19" i="4"/>
  <c r="L18" i="4"/>
  <c r="F31" i="4"/>
  <c r="F28" i="4"/>
  <c r="F24" i="4"/>
  <c r="F22" i="4"/>
  <c r="F19" i="4"/>
  <c r="F20" i="4"/>
  <c r="F21" i="4"/>
  <c r="F23" i="4"/>
  <c r="F25" i="4"/>
  <c r="F26" i="4"/>
  <c r="F27" i="4"/>
  <c r="F29" i="4"/>
  <c r="F30" i="4"/>
  <c r="F18" i="4"/>
  <c r="M106" i="4" l="1"/>
  <c r="M101" i="4"/>
  <c r="M89" i="4"/>
  <c r="M78" i="4"/>
  <c r="M71" i="4"/>
  <c r="I62" i="4"/>
  <c r="J106" i="14"/>
  <c r="I105" i="14"/>
  <c r="I106" i="14" s="1"/>
  <c r="J101" i="14"/>
  <c r="J105" i="14" s="1"/>
  <c r="I100" i="14"/>
  <c r="I101" i="14" s="1"/>
  <c r="J95" i="14"/>
  <c r="J100" i="14" s="1"/>
  <c r="I95" i="14"/>
  <c r="J89" i="14"/>
  <c r="J94" i="14" s="1"/>
  <c r="K94" i="14" s="1"/>
  <c r="K95" i="14" s="1"/>
  <c r="I89" i="14"/>
  <c r="J88" i="14"/>
  <c r="I88" i="14"/>
  <c r="K88" i="14" s="1"/>
  <c r="K89" i="14" s="1"/>
  <c r="J84" i="14"/>
  <c r="K84" i="14"/>
  <c r="I112" i="14" s="1"/>
  <c r="J83" i="14"/>
  <c r="H83" i="14"/>
  <c r="I83" i="14" s="1"/>
  <c r="K83" i="14" s="1"/>
  <c r="F83" i="14"/>
  <c r="H82" i="14"/>
  <c r="I82" i="14" s="1"/>
  <c r="K82" i="14" s="1"/>
  <c r="F82" i="14"/>
  <c r="J78" i="14"/>
  <c r="I77" i="14"/>
  <c r="I76" i="14"/>
  <c r="I78" i="14" s="1"/>
  <c r="J75" i="14"/>
  <c r="J76" i="14" s="1"/>
  <c r="I75" i="14"/>
  <c r="K75" i="14" s="1"/>
  <c r="J71" i="14"/>
  <c r="I70" i="14"/>
  <c r="I69" i="14"/>
  <c r="K69" i="14" s="1"/>
  <c r="J68" i="14"/>
  <c r="I68" i="14"/>
  <c r="K68" i="14" s="1"/>
  <c r="J67" i="14"/>
  <c r="J69" i="14" s="1"/>
  <c r="J70" i="14" s="1"/>
  <c r="I67" i="14"/>
  <c r="I71" i="14" s="1"/>
  <c r="I62" i="14"/>
  <c r="I61" i="14"/>
  <c r="I60" i="14"/>
  <c r="J59" i="14"/>
  <c r="I59" i="14"/>
  <c r="K59" i="14" s="1"/>
  <c r="J58" i="14"/>
  <c r="I58" i="14"/>
  <c r="F52" i="14"/>
  <c r="H52" i="14" s="1"/>
  <c r="I52" i="14" s="1"/>
  <c r="H51" i="14"/>
  <c r="I51" i="14" s="1"/>
  <c r="F51" i="14"/>
  <c r="F50" i="14"/>
  <c r="H50" i="14" s="1"/>
  <c r="I50" i="14" s="1"/>
  <c r="K50" i="14" s="1"/>
  <c r="H49" i="14"/>
  <c r="I49" i="14" s="1"/>
  <c r="F49" i="14"/>
  <c r="F48" i="14"/>
  <c r="H48" i="14" s="1"/>
  <c r="I48" i="14" s="1"/>
  <c r="K48" i="14" s="1"/>
  <c r="H47" i="14"/>
  <c r="I47" i="14" s="1"/>
  <c r="F47" i="14"/>
  <c r="F46" i="14"/>
  <c r="H46" i="14" s="1"/>
  <c r="I46" i="14" s="1"/>
  <c r="H45" i="14"/>
  <c r="I45" i="14" s="1"/>
  <c r="F45" i="14"/>
  <c r="F44" i="14"/>
  <c r="H44" i="14" s="1"/>
  <c r="I44" i="14" s="1"/>
  <c r="K44" i="14" s="1"/>
  <c r="H43" i="14"/>
  <c r="I43" i="14" s="1"/>
  <c r="F43" i="14"/>
  <c r="F42" i="14"/>
  <c r="H42" i="14" s="1"/>
  <c r="I42" i="14" s="1"/>
  <c r="K42" i="14" s="1"/>
  <c r="J41" i="14"/>
  <c r="H41" i="14"/>
  <c r="I41" i="14" s="1"/>
  <c r="K41" i="14" s="1"/>
  <c r="F41" i="14"/>
  <c r="F40" i="14"/>
  <c r="H40" i="14" s="1"/>
  <c r="I40" i="14" s="1"/>
  <c r="K40" i="14" s="1"/>
  <c r="H39" i="14"/>
  <c r="I39" i="14" s="1"/>
  <c r="F39" i="14"/>
  <c r="J38" i="14"/>
  <c r="J40" i="14" s="1"/>
  <c r="J42" i="14" s="1"/>
  <c r="J44" i="14" s="1"/>
  <c r="J48" i="14" s="1"/>
  <c r="J50" i="14" s="1"/>
  <c r="J51" i="14" s="1"/>
  <c r="J52" i="14" s="1"/>
  <c r="J53" i="14" s="1"/>
  <c r="I38" i="14"/>
  <c r="K38" i="14" s="1"/>
  <c r="F38" i="14"/>
  <c r="H38" i="14" s="1"/>
  <c r="G53" i="14"/>
  <c r="I53" i="14" s="1"/>
  <c r="I105" i="6"/>
  <c r="I100" i="6"/>
  <c r="I88" i="6"/>
  <c r="I77" i="6"/>
  <c r="I76" i="6"/>
  <c r="I75" i="6"/>
  <c r="I70" i="6"/>
  <c r="I69" i="6"/>
  <c r="I68" i="6"/>
  <c r="I67" i="6"/>
  <c r="J94" i="6"/>
  <c r="J105" i="6"/>
  <c r="J100" i="6"/>
  <c r="J88" i="6"/>
  <c r="J76" i="6"/>
  <c r="J70" i="6"/>
  <c r="J69" i="6"/>
  <c r="J68" i="6"/>
  <c r="I62" i="6"/>
  <c r="I61" i="6"/>
  <c r="I60" i="6"/>
  <c r="I59" i="6"/>
  <c r="I58" i="6"/>
  <c r="I105" i="4"/>
  <c r="I100" i="4"/>
  <c r="J94" i="4"/>
  <c r="J95" i="4"/>
  <c r="I88" i="4"/>
  <c r="I77" i="4"/>
  <c r="I76" i="4"/>
  <c r="I75" i="4"/>
  <c r="I70" i="4"/>
  <c r="I69" i="4"/>
  <c r="I68" i="4"/>
  <c r="I67" i="4"/>
  <c r="I61" i="4"/>
  <c r="I60" i="4"/>
  <c r="I59" i="4"/>
  <c r="I58" i="4"/>
  <c r="J105" i="4"/>
  <c r="J106" i="4"/>
  <c r="J100" i="4"/>
  <c r="J76" i="4"/>
  <c r="K53" i="14" l="1"/>
  <c r="A112" i="14" s="1"/>
  <c r="K52" i="14"/>
  <c r="K60" i="14"/>
  <c r="K51" i="14"/>
  <c r="J43" i="14"/>
  <c r="J45" i="14"/>
  <c r="K45" i="14" s="1"/>
  <c r="J47" i="14"/>
  <c r="J49" i="14" s="1"/>
  <c r="K49" i="14" s="1"/>
  <c r="I63" i="14"/>
  <c r="K58" i="14"/>
  <c r="J60" i="14"/>
  <c r="J62" i="14" s="1"/>
  <c r="J61" i="14"/>
  <c r="J63" i="14" s="1"/>
  <c r="K62" i="14"/>
  <c r="K70" i="14"/>
  <c r="K67" i="14"/>
  <c r="K71" i="14" s="1"/>
  <c r="E112" i="14" s="1"/>
  <c r="K76" i="14"/>
  <c r="J77" i="14"/>
  <c r="K77" i="14" s="1"/>
  <c r="K100" i="14"/>
  <c r="K101" i="14" s="1"/>
  <c r="J112" i="14" s="1"/>
  <c r="K105" i="14"/>
  <c r="K106" i="14" s="1"/>
  <c r="K78" i="14" l="1"/>
  <c r="G112" i="14" s="1"/>
  <c r="K112" i="14" s="1"/>
  <c r="J46" i="14"/>
  <c r="K46" i="14" s="1"/>
  <c r="J39" i="14"/>
  <c r="K39" i="14" s="1"/>
  <c r="K47" i="14"/>
  <c r="K43" i="14"/>
  <c r="K63" i="14"/>
  <c r="D112" i="14" s="1"/>
  <c r="K61" i="14"/>
  <c r="I84" i="4"/>
  <c r="H82" i="4" l="1"/>
  <c r="I71" i="4" l="1"/>
  <c r="J75" i="6" l="1"/>
  <c r="J67" i="6"/>
  <c r="J58" i="6"/>
  <c r="J106" i="6" l="1"/>
  <c r="J101" i="6"/>
  <c r="J95" i="6"/>
  <c r="J89" i="6"/>
  <c r="J84" i="6"/>
  <c r="K84" i="6" s="1"/>
  <c r="J78" i="6"/>
  <c r="J71" i="6"/>
  <c r="J101" i="4"/>
  <c r="J89" i="4"/>
  <c r="J84" i="4"/>
  <c r="K84" i="4" s="1"/>
  <c r="J78" i="4"/>
  <c r="J71" i="4"/>
  <c r="J63" i="4"/>
  <c r="J54" i="4"/>
  <c r="I106" i="6" l="1"/>
  <c r="K105" i="6"/>
  <c r="K106" i="6" s="1"/>
  <c r="I101" i="6"/>
  <c r="K100" i="6"/>
  <c r="K101" i="6" s="1"/>
  <c r="K105" i="4"/>
  <c r="K106" i="4" s="1"/>
  <c r="K100" i="4"/>
  <c r="K101" i="4" s="1"/>
  <c r="I95" i="6"/>
  <c r="K94" i="6"/>
  <c r="K95" i="6" s="1"/>
  <c r="I89" i="6"/>
  <c r="K88" i="6"/>
  <c r="K89" i="6" s="1"/>
  <c r="K94" i="4"/>
  <c r="K95" i="4" s="1"/>
  <c r="I78" i="6"/>
  <c r="K76" i="6"/>
  <c r="J77" i="6"/>
  <c r="K77" i="6" s="1"/>
  <c r="K76" i="4"/>
  <c r="I71" i="6"/>
  <c r="K70" i="6"/>
  <c r="K69" i="6"/>
  <c r="K68" i="6"/>
  <c r="K67" i="6"/>
  <c r="I63" i="6"/>
  <c r="K58" i="6"/>
  <c r="M63" i="4"/>
  <c r="J112" i="4" l="1"/>
  <c r="J112" i="6"/>
  <c r="I106" i="4"/>
  <c r="I101" i="4"/>
  <c r="I95" i="4"/>
  <c r="K75" i="6"/>
  <c r="K78" i="6" s="1"/>
  <c r="G112" i="6" s="1"/>
  <c r="K71" i="6"/>
  <c r="E112" i="6" s="1"/>
  <c r="J59" i="6"/>
  <c r="K54" i="4" l="1"/>
  <c r="K59" i="6"/>
  <c r="J61" i="6"/>
  <c r="J60" i="6"/>
  <c r="K61" i="6" l="1"/>
  <c r="J63" i="6"/>
  <c r="K63" i="6" s="1"/>
  <c r="D112" i="6" s="1"/>
  <c r="K60" i="6"/>
  <c r="J62" i="6"/>
  <c r="K62" i="6" s="1"/>
  <c r="F83" i="6" l="1"/>
  <c r="F82" i="6"/>
  <c r="F51" i="6"/>
  <c r="F52" i="6"/>
  <c r="F50" i="6"/>
  <c r="F48" i="6"/>
  <c r="F49" i="6"/>
  <c r="F47" i="6"/>
  <c r="F45" i="6"/>
  <c r="F46" i="6"/>
  <c r="F44" i="6"/>
  <c r="F43" i="6"/>
  <c r="F42" i="6"/>
  <c r="F40" i="6"/>
  <c r="F41" i="6"/>
  <c r="F39" i="6"/>
  <c r="F38" i="6"/>
  <c r="H82" i="6" l="1"/>
  <c r="I78" i="4"/>
  <c r="H83" i="6" l="1"/>
  <c r="I83" i="6" s="1"/>
  <c r="I82" i="6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J38" i="6"/>
  <c r="J41" i="6" s="1"/>
  <c r="H38" i="6"/>
  <c r="I38" i="6" s="1"/>
  <c r="G53" i="6"/>
  <c r="I53" i="6" s="1"/>
  <c r="H83" i="4"/>
  <c r="I82" i="4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39" i="4"/>
  <c r="I39" i="4" s="1"/>
  <c r="J39" i="4"/>
  <c r="J42" i="4" s="1"/>
  <c r="I83" i="4" l="1"/>
  <c r="J41" i="4"/>
  <c r="J43" i="4" s="1"/>
  <c r="J45" i="4" s="1"/>
  <c r="K42" i="4"/>
  <c r="K38" i="6"/>
  <c r="K39" i="4"/>
  <c r="K41" i="6"/>
  <c r="J40" i="6"/>
  <c r="K53" i="6" l="1"/>
  <c r="J46" i="4"/>
  <c r="K46" i="4" s="1"/>
  <c r="K43" i="4"/>
  <c r="J44" i="4"/>
  <c r="K44" i="4" s="1"/>
  <c r="K41" i="4"/>
  <c r="J48" i="4"/>
  <c r="J49" i="4"/>
  <c r="K45" i="4"/>
  <c r="J43" i="6"/>
  <c r="J42" i="6"/>
  <c r="K40" i="6"/>
  <c r="J40" i="4" l="1"/>
  <c r="K40" i="4" s="1"/>
  <c r="J47" i="4"/>
  <c r="K47" i="4" s="1"/>
  <c r="J50" i="4"/>
  <c r="K48" i="4"/>
  <c r="J51" i="4"/>
  <c r="K49" i="4"/>
  <c r="J46" i="6"/>
  <c r="K46" i="6" s="1"/>
  <c r="J39" i="6"/>
  <c r="K39" i="6" s="1"/>
  <c r="K43" i="6"/>
  <c r="J45" i="6"/>
  <c r="K45" i="6" s="1"/>
  <c r="J44" i="6"/>
  <c r="K42" i="6"/>
  <c r="K50" i="4" l="1"/>
  <c r="J52" i="4"/>
  <c r="K51" i="4"/>
  <c r="J48" i="6"/>
  <c r="J47" i="6"/>
  <c r="K44" i="6"/>
  <c r="K52" i="4" l="1"/>
  <c r="J53" i="4"/>
  <c r="J49" i="6"/>
  <c r="K47" i="6"/>
  <c r="J50" i="6"/>
  <c r="K48" i="6"/>
  <c r="K53" i="4" l="1"/>
  <c r="A112" i="4" s="1"/>
  <c r="J58" i="4"/>
  <c r="J59" i="4" s="1"/>
  <c r="J51" i="6"/>
  <c r="K50" i="6"/>
  <c r="K49" i="6"/>
  <c r="K51" i="6" l="1"/>
  <c r="J52" i="6"/>
  <c r="J53" i="6" s="1"/>
  <c r="J61" i="4"/>
  <c r="J69" i="4" s="1"/>
  <c r="J67" i="4"/>
  <c r="J60" i="4"/>
  <c r="J68" i="4" s="1"/>
  <c r="J62" i="4" l="1"/>
  <c r="K63" i="4" s="1"/>
  <c r="D112" i="4" s="1"/>
  <c r="K112" i="4" s="1"/>
  <c r="K52" i="6"/>
  <c r="A112" i="6" s="1"/>
  <c r="K62" i="4" l="1"/>
  <c r="J70" i="4"/>
  <c r="J75" i="4" l="1"/>
  <c r="J77" i="4" s="1"/>
  <c r="K77" i="4" s="1"/>
  <c r="K70" i="4"/>
  <c r="K82" i="6" l="1"/>
  <c r="J83" i="6"/>
  <c r="N35" i="4"/>
  <c r="K83" i="6" l="1"/>
  <c r="I112" i="6" s="1"/>
  <c r="K112" i="6" s="1"/>
  <c r="L115" i="6" s="1"/>
  <c r="K69" i="4"/>
  <c r="K68" i="4"/>
  <c r="K67" i="4"/>
  <c r="K71" i="4" l="1"/>
  <c r="E112" i="4" s="1"/>
  <c r="K61" i="4"/>
  <c r="K59" i="4"/>
  <c r="K60" i="4" l="1"/>
  <c r="K58" i="4"/>
  <c r="I89" i="4" l="1"/>
  <c r="A2" i="10" s="1"/>
  <c r="B4" i="10" s="1"/>
  <c r="J82" i="4" l="1"/>
  <c r="K75" i="4"/>
  <c r="K78" i="4" s="1"/>
  <c r="G112" i="4" s="1"/>
  <c r="J83" i="4" l="1"/>
  <c r="K82" i="4"/>
  <c r="J88" i="4" l="1"/>
  <c r="K83" i="4"/>
  <c r="I112" i="4" s="1"/>
  <c r="K88" i="4" l="1"/>
  <c r="K89" i="4" s="1"/>
  <c r="B2" i="10" l="1"/>
</calcChain>
</file>

<file path=xl/sharedStrings.xml><?xml version="1.0" encoding="utf-8"?>
<sst xmlns="http://schemas.openxmlformats.org/spreadsheetml/2006/main" count="540" uniqueCount="112">
  <si>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</si>
  <si>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</si>
  <si>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</si>
  <si>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</si>
  <si>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</si>
  <si>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</si>
  <si>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</si>
  <si>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</si>
  <si>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</si>
  <si>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</si>
  <si>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</si>
  <si>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</si>
  <si>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</si>
  <si>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</si>
  <si>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</si>
  <si>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</si>
  <si>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</si>
  <si>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</si>
  <si>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</si>
  <si>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</si>
  <si>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</si>
  <si>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</si>
  <si>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</si>
  <si>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</si>
  <si>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</si>
  <si>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</si>
  <si>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</si>
  <si>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</si>
  <si>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</si>
  <si>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</si>
  <si>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</si>
  <si>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</si>
  <si>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</si>
  <si>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</si>
  <si>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</si>
  <si>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</si>
  <si>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</si>
  <si>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</si>
  <si>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</si>
  <si>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</si>
  <si>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</si>
  <si>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</si>
  <si>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</si>
  <si>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</si>
  <si>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Тех.обслуживание КТС</t>
  </si>
  <si>
    <t>Зам. директора (по основной деятельности)</t>
  </si>
  <si>
    <t>Заведующий отделом(отдел по финансово-хозяйственной деятельности)</t>
  </si>
  <si>
    <t>Заместитель директора (по основной деятельности)</t>
  </si>
  <si>
    <t>Хормейстер</t>
  </si>
  <si>
    <t>Руководитель студии</t>
  </si>
  <si>
    <t xml:space="preserve">ИСХОДНЫЕ ДАННЫЕ И РЕЗУЛЬТАТЫ РАСЧЕТОВ  МБУК  "КДЦ"ЮБИЛЕЙНЫЙ"г.НАЗАРОВО </t>
  </si>
  <si>
    <t>Утверждаю</t>
  </si>
  <si>
    <t xml:space="preserve">Приказ № ____  от _________________ </t>
  </si>
  <si>
    <t>_______________________ Н.Н.Гурулев</t>
  </si>
  <si>
    <t>"________"____________20      г.</t>
  </si>
  <si>
    <t>Директор МБУК "КДЦ "Юбилейный"</t>
  </si>
  <si>
    <t>8(39155) 7-45-95</t>
  </si>
  <si>
    <t>С.М. Веденякин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</si>
  <si>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</si>
  <si>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</si>
  <si>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</si>
  <si>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</si>
  <si>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</si>
  <si>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</si>
  <si>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Сумма в год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</si>
  <si>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</si>
  <si>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Реагирование на срабатывание средств тревожной сигнализации</t>
  </si>
  <si>
    <t>Затраты на прочие расходы</t>
  </si>
  <si>
    <t>Итого прочие расходы</t>
  </si>
  <si>
    <t>Прочие затраты</t>
  </si>
  <si>
    <t>Контролер билетов</t>
  </si>
  <si>
    <t>Старший администратор</t>
  </si>
  <si>
    <t>Руководитель коллектива</t>
  </si>
  <si>
    <t>Заведующий  отделом( отдел по работе с детьми)</t>
  </si>
  <si>
    <t>Администратор</t>
  </si>
  <si>
    <t>Методист</t>
  </si>
  <si>
    <t>Художественный руководитель</t>
  </si>
  <si>
    <t>Аккомпаниатор</t>
  </si>
  <si>
    <t>Художник-декоратор</t>
  </si>
  <si>
    <t>Кассир билетный</t>
  </si>
  <si>
    <t>Звукорежиссер</t>
  </si>
  <si>
    <t>Итого работники,  связанные с оказанием услуг</t>
  </si>
  <si>
    <t>Затраты на услуги связи</t>
  </si>
  <si>
    <t>Интернет</t>
  </si>
  <si>
    <t>кол-во точек, ед</t>
  </si>
  <si>
    <t>СВОД (рубли)</t>
  </si>
  <si>
    <t>СВОД (норматив)</t>
  </si>
  <si>
    <t xml:space="preserve">ИСХОДНЫЕ ДАННЫЕ И РЕЗУЛЬТАТЫ РАСЧЕТОВ  МБУК  "КДЦ "ЮБИЛЕЙНЫЙ" г.НАЗАРОВО </t>
  </si>
  <si>
    <t>БАЗОВОГО НОРМАТИВА ЗАТРАТ НА ОКАЗАНИЕ МУНИЦИПАЛЬНЫХ УСЛУГ (РАБОТ)</t>
  </si>
  <si>
    <t>Опллата услуг ОПС, автоматического пожаротушения</t>
  </si>
  <si>
    <t>Тех.обслуживание узла учета тепловой энергии</t>
  </si>
  <si>
    <t>ТО системы дымоудаления</t>
  </si>
  <si>
    <t>Услуги междугородней связи</t>
  </si>
  <si>
    <t>Социальные пособия и коипенсация персоналу в денежной форме</t>
  </si>
  <si>
    <t>Компенс.выплата по уходу за ребенком до 3-х лет</t>
  </si>
  <si>
    <t>Итого соц. пособия</t>
  </si>
  <si>
    <t xml:space="preserve">Увеличение стоимости прочих оборотных активов </t>
  </si>
  <si>
    <t>Мероприятия</t>
  </si>
  <si>
    <t>Увеличение стоимости материальных запасов однократного применения</t>
  </si>
  <si>
    <t>Итого прочих активов</t>
  </si>
  <si>
    <t>Призовая продукция</t>
  </si>
  <si>
    <t>Итого призовая продукция</t>
  </si>
  <si>
    <t>Лонская Клавдия Алексеевна</t>
  </si>
  <si>
    <t xml:space="preserve"> НА 2021г. </t>
  </si>
  <si>
    <t>Штатное расписание: 21,1 человек</t>
  </si>
  <si>
    <t>Услуга: Организация деятельности клубных формирований и формирований самодеятельного народного творчества</t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</si>
  <si>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"Культурно-досуговый центр «Юбилейный»" г. Назарово Красноярского края</t>
    </r>
  </si>
  <si>
    <r>
      <t xml:space="preserve">Содержание услуги:  </t>
    </r>
    <r>
      <rPr>
        <sz val="11"/>
        <rFont val="Times New Roman"/>
        <family val="1"/>
        <charset val="204"/>
      </rPr>
      <t>Стационар</t>
    </r>
  </si>
  <si>
    <r>
      <t>Наименование показателя объема: 638</t>
    </r>
    <r>
      <rPr>
        <sz val="11"/>
        <rFont val="Times New Roman"/>
        <family val="1"/>
        <charset val="204"/>
      </rPr>
      <t xml:space="preserve"> человек.</t>
    </r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</si>
  <si>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"Культурно-досуговый центр «Юбилейный» г. Назарово Красноярского края</t>
    </r>
  </si>
  <si>
    <r>
      <t xml:space="preserve">Услуга: </t>
    </r>
    <r>
      <rPr>
        <sz val="11"/>
        <rFont val="Times New Roman"/>
        <family val="1"/>
        <charset val="204"/>
      </rPr>
      <t xml:space="preserve"> Организация и проведение мероприятий </t>
    </r>
  </si>
  <si>
    <r>
      <t xml:space="preserve">Наименование показателя объема: 661 </t>
    </r>
    <r>
      <rPr>
        <sz val="11"/>
        <rFont val="Times New Roman"/>
        <family val="1"/>
        <charset val="204"/>
      </rPr>
      <t>человек.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</si>
</sst>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4" fontId="4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/>
    <xf numFmtId="4" fontId="8" fillId="0" borderId="0" xfId="0" applyNumberFormat="1" applyFont="1"/>
    <xf numFmtId="4" fontId="0" fillId="0" borderId="0" xfId="0" applyNumberFormat="1"/>
    <xf numFmtId="4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7" fillId="0" borderId="0" xfId="0" applyNumberFormat="1" applyFont="1" applyBorder="1" applyAlignment="1"/>
    <xf numFmtId="4" fontId="7" fillId="0" borderId="5" xfId="0" applyNumberFormat="1" applyFont="1" applyBorder="1" applyAlignment="1"/>
    <xf numFmtId="4" fontId="2" fillId="0" borderId="0" xfId="0" applyNumberFormat="1" applyFont="1"/>
    <xf numFmtId="4" fontId="2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/>
    </xf>
    <xf numFmtId="4" fontId="7" fillId="0" borderId="0" xfId="0" applyNumberFormat="1" applyFont="1"/>
    <xf numFmtId="4" fontId="8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/>
    <xf numFmtId="4" fontId="8" fillId="0" borderId="6" xfId="0" applyNumberFormat="1" applyFont="1" applyBorder="1"/>
    <xf numFmtId="4" fontId="8" fillId="0" borderId="2" xfId="0" applyNumberFormat="1" applyFont="1" applyFill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4" fontId="6" fillId="0" borderId="1" xfId="0" applyNumberFormat="1" applyFont="1" applyBorder="1"/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8" fillId="0" borderId="0" xfId="0" applyNumberFormat="1" applyFont="1" applyBorder="1" applyAlignment="1">
      <alignment horizontal="center"/>
    </xf>
    <xf numFmtId="4" fontId="8" fillId="0" borderId="0" xfId="0" applyNumberFormat="1" applyFont="1" applyBorder="1"/>
    <xf numFmtId="4" fontId="8" fillId="0" borderId="6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right" wrapText="1"/>
    </xf>
    <xf numFmtId="4" fontId="8" fillId="0" borderId="2" xfId="0" applyNumberFormat="1" applyFont="1" applyBorder="1" applyAlignment="1">
      <alignment wrapText="1"/>
    </xf>
    <xf numFmtId="4" fontId="8" fillId="0" borderId="0" xfId="0" applyNumberFormat="1" applyFont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horizontal="left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 applyBorder="1" applyAlignment="1">
      <alignment horizontal="left"/>
    </xf>
    <xf numFmtId="4" fontId="7" fillId="0" borderId="5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/>
    <xf numFmtId="4" fontId="8" fillId="0" borderId="0" xfId="0" applyNumberFormat="1" applyFont="1" applyAlignment="1"/>
    <xf numFmtId="4" fontId="5" fillId="0" borderId="0" xfId="0" applyNumberFormat="1" applyFont="1"/>
    <xf numFmtId="4" fontId="7" fillId="0" borderId="1" xfId="0" applyNumberFormat="1" applyFont="1" applyBorder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7" fillId="0" borderId="0" xfId="0" applyNumberFormat="1" applyFont="1" applyAlignment="1">
      <alignment horizontal="center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/>
    <xf numFmtId="4" fontId="1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/>
    <xf numFmtId="4" fontId="7" fillId="0" borderId="1" xfId="0" applyNumberFormat="1" applyFont="1" applyBorder="1" applyAlignment="1">
      <alignment horizontal="left"/>
    </xf>
    <xf numFmtId="4" fontId="8" fillId="0" borderId="12" xfId="0" applyNumberFormat="1" applyFont="1" applyBorder="1"/>
    <xf numFmtId="4" fontId="7" fillId="0" borderId="11" xfId="0" applyNumberFormat="1" applyFont="1" applyBorder="1"/>
    <xf numFmtId="4" fontId="8" fillId="0" borderId="12" xfId="0" applyNumberFormat="1" applyFont="1" applyBorder="1" applyAlignment="1">
      <alignment horizontal="right"/>
    </xf>
    <xf numFmtId="4" fontId="7" fillId="0" borderId="11" xfId="0" applyNumberFormat="1" applyFont="1" applyBorder="1" applyAlignment="1">
      <alignment horizontal="right"/>
    </xf>
    <xf numFmtId="4" fontId="7" fillId="0" borderId="3" xfId="0" applyNumberFormat="1" applyFont="1" applyBorder="1" applyAlignment="1">
      <alignment horizontal="right"/>
    </xf>
    <xf numFmtId="4" fontId="8" fillId="0" borderId="13" xfId="0" applyNumberFormat="1" applyFont="1" applyBorder="1" applyAlignment="1">
      <alignment horizontal="center" wrapText="1"/>
    </xf>
    <xf numFmtId="4" fontId="7" fillId="0" borderId="3" xfId="0" applyNumberFormat="1" applyFont="1" applyBorder="1"/>
    <xf numFmtId="4" fontId="6" fillId="0" borderId="12" xfId="0" applyNumberFormat="1" applyFont="1" applyBorder="1"/>
    <xf numFmtId="4" fontId="4" fillId="0" borderId="11" xfId="0" applyNumberFormat="1" applyFont="1" applyBorder="1"/>
    <xf numFmtId="4" fontId="6" fillId="0" borderId="1" xfId="0" applyNumberFormat="1" applyFont="1" applyFill="1" applyBorder="1"/>
    <xf numFmtId="4" fontId="6" fillId="0" borderId="1" xfId="0" applyNumberFormat="1" applyFont="1" applyBorder="1" applyAlignment="1">
      <alignment horizontal="center" wrapText="1"/>
    </xf>
    <xf numFmtId="4" fontId="4" fillId="0" borderId="0" xfId="0" applyNumberFormat="1" applyFont="1"/>
    <xf numFmtId="4" fontId="6" fillId="0" borderId="0" xfId="0" applyNumberFormat="1" applyFont="1"/>
    <xf numFmtId="4" fontId="8" fillId="0" borderId="7" xfId="0" applyNumberFormat="1" applyFont="1" applyBorder="1" applyAlignment="1">
      <alignment horizontal="right" wrapText="1"/>
    </xf>
    <xf numFmtId="4" fontId="8" fillId="0" borderId="7" xfId="0" applyNumberFormat="1" applyFont="1" applyBorder="1" applyAlignment="1">
      <alignment wrapText="1"/>
    </xf>
    <xf numFmtId="4" fontId="7" fillId="0" borderId="11" xfId="0" applyNumberFormat="1" applyFont="1" applyBorder="1" applyAlignment="1"/>
    <xf numFmtId="4" fontId="7" fillId="0" borderId="3" xfId="0" applyNumberFormat="1" applyFont="1" applyBorder="1" applyAlignment="1"/>
    <xf numFmtId="4" fontId="8" fillId="0" borderId="7" xfId="0" applyNumberFormat="1" applyFont="1" applyBorder="1"/>
    <xf numFmtId="4" fontId="7" fillId="0" borderId="2" xfId="0" applyNumberFormat="1" applyFont="1" applyBorder="1"/>
    <xf numFmtId="4" fontId="4" fillId="2" borderId="11" xfId="0" applyNumberFormat="1" applyFont="1" applyFill="1" applyBorder="1"/>
    <xf numFmtId="164" fontId="8" fillId="0" borderId="0" xfId="0" applyNumberFormat="1" applyFont="1"/>
    <xf numFmtId="4" fontId="8" fillId="0" borderId="2" xfId="0" applyNumberFormat="1" applyFont="1" applyBorder="1" applyAlignment="1">
      <alignment horizontal="left" wrapText="1"/>
    </xf>
    <xf numFmtId="4" fontId="8" fillId="0" borderId="3" xfId="0" applyNumberFormat="1" applyFont="1" applyBorder="1" applyAlignment="1">
      <alignment horizontal="left" wrapText="1"/>
    </xf>
    <xf numFmtId="4" fontId="8" fillId="0" borderId="4" xfId="0" applyNumberFormat="1" applyFont="1" applyBorder="1" applyAlignment="1">
      <alignment horizontal="left" wrapText="1"/>
    </xf>
    <xf numFmtId="4" fontId="8" fillId="0" borderId="2" xfId="0" applyNumberFormat="1" applyFont="1" applyBorder="1"/>
    <xf numFmtId="4" fontId="8" fillId="0" borderId="4" xfId="0" applyNumberFormat="1" applyFont="1" applyBorder="1"/>
    <xf numFmtId="4" fontId="8" fillId="0" borderId="2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left"/>
    </xf>
    <xf numFmtId="4" fontId="7" fillId="3" borderId="0" xfId="0" applyNumberFormat="1" applyFont="1" applyFill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center"/>
    </xf>
    <xf numFmtId="4" fontId="7" fillId="3" borderId="5" xfId="0" applyNumberFormat="1" applyFont="1" applyFill="1" applyBorder="1" applyAlignment="1">
      <alignment horizontal="center"/>
    </xf>
    <xf numFmtId="4" fontId="7" fillId="3" borderId="0" xfId="0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left"/>
    </xf>
    <xf numFmtId="4" fontId="8" fillId="0" borderId="2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left" wrapText="1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/>
    <xf numFmtId="4" fontId="2" fillId="0" borderId="0" xfId="0" applyNumberFormat="1" applyFont="1" applyAlignment="1"/>
    <xf numFmtId="4" fontId="1" fillId="0" borderId="0" xfId="0" applyNumberFormat="1" applyFont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left" wrapText="1"/>
    </xf>
    <xf numFmtId="4" fontId="6" fillId="0" borderId="3" xfId="0" applyNumberFormat="1" applyFont="1" applyBorder="1" applyAlignment="1">
      <alignment horizontal="left" wrapText="1"/>
    </xf>
    <xf numFmtId="4" fontId="6" fillId="0" borderId="4" xfId="0" applyNumberFormat="1" applyFont="1" applyBorder="1" applyAlignment="1">
      <alignment horizontal="left" wrapText="1"/>
    </xf>
    <xf numFmtId="4" fontId="4" fillId="0" borderId="1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left"/>
    </xf>
    <xf numFmtId="4" fontId="6" fillId="0" borderId="3" xfId="0" applyNumberFormat="1" applyFont="1" applyBorder="1" applyAlignment="1">
      <alignment horizontal="left"/>
    </xf>
    <xf numFmtId="4" fontId="6" fillId="0" borderId="4" xfId="0" applyNumberFormat="1" applyFont="1" applyBorder="1" applyAlignment="1">
      <alignment horizontal="left"/>
    </xf>
    <xf numFmtId="4" fontId="8" fillId="0" borderId="1" xfId="0" applyNumberFormat="1" applyFont="1" applyBorder="1" applyAlignment="1">
      <alignment horizontal="left" wrapText="1"/>
    </xf>
    <xf numFmtId="4" fontId="0" fillId="0" borderId="3" xfId="0" applyNumberFormat="1" applyBorder="1" applyAlignment="1">
      <alignment horizontal="left"/>
    </xf>
    <xf numFmtId="4" fontId="7" fillId="0" borderId="2" xfId="0" applyNumberFormat="1" applyFont="1" applyBorder="1" applyAlignment="1">
      <alignment horizontal="left" wrapText="1"/>
    </xf>
    <xf numFmtId="4" fontId="7" fillId="0" borderId="3" xfId="0" applyNumberFormat="1" applyFont="1" applyBorder="1" applyAlignment="1">
      <alignment horizontal="left" wrapText="1"/>
    </xf>
    <xf numFmtId="4" fontId="8" fillId="0" borderId="7" xfId="0" applyNumberFormat="1" applyFont="1" applyBorder="1" applyAlignment="1">
      <alignment horizontal="center" wrapText="1"/>
    </xf>
    <xf numFmtId="4" fontId="8" fillId="0" borderId="8" xfId="0" applyNumberFormat="1" applyFont="1" applyBorder="1" applyAlignment="1">
      <alignment horizontal="center" wrapText="1"/>
    </xf>
    <xf numFmtId="4" fontId="8" fillId="0" borderId="9" xfId="0" applyNumberFormat="1" applyFont="1" applyBorder="1" applyAlignment="1">
      <alignment horizontal="center" wrapText="1"/>
    </xf>
    <xf numFmtId="4" fontId="8" fillId="0" borderId="1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5" sqref="B5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10" t="s">
        <v>85</v>
      </c>
      <c r="B1" s="10" t="s">
        <v>86</v>
      </c>
    </row>
    <row r="2" spans="1:2" ht="42" customHeight="1" x14ac:dyDescent="0.25">
      <c r="A2" s="11">
        <f>'Услуга №1 '!I115+'Услуга №2'!I115+'Услуга №3'!I115</f>
        <v>9074671.4744399991</v>
      </c>
      <c r="B2" s="11">
        <f>'Услуга №1 '!L115+'Услуга №2'!L115+'Услуга №3'!L115</f>
        <v>9074671.474440001</v>
      </c>
    </row>
    <row r="4" spans="1:2" x14ac:dyDescent="0.25">
      <c r="A4" s="8">
        <v>9074671.4700000007</v>
      </c>
      <c r="B4" s="8">
        <f>A2-A4</f>
        <v>4.4399984180927277E-3</v>
      </c>
    </row>
    <row r="5" spans="1:2" x14ac:dyDescent="0.25">
      <c r="A5" s="8"/>
      <c r="B5" s="8"/>
    </row>
    <row r="6" spans="1:2" x14ac:dyDescent="0.25">
      <c r="A6" s="8"/>
      <c r="B6" s="8"/>
    </row>
    <row r="7" spans="1:2" x14ac:dyDescent="0.25">
      <c r="A7" s="8"/>
      <c r="B7" s="8"/>
    </row>
    <row r="8" spans="1:2" x14ac:dyDescent="0.25">
      <c r="A8" s="8"/>
      <c r="B8" s="8"/>
    </row>
    <row r="9" spans="1:2" x14ac:dyDescent="0.25">
      <c r="A9" s="8"/>
      <c r="B9" s="8"/>
    </row>
    <row r="10" spans="1:2" x14ac:dyDescent="0.25">
      <c r="A10" s="8"/>
      <c r="B10" s="8"/>
    </row>
    <row r="11" spans="1:2" x14ac:dyDescent="0.25">
      <c r="A11" s="8"/>
    </row>
    <row r="13" spans="1:2" x14ac:dyDescent="0.25">
      <c r="A13" s="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9"/>
  <sheetViews>
    <sheetView tabSelected="1" zoomScale="90" zoomScaleNormal="90" workbookViewId="0">
      <selection activeCell="L66" sqref="L66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1.285156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hidden="1" customWidth="1"/>
    <col min="14" max="14" width="11.5703125" style="7" hidden="1" customWidth="1"/>
    <col min="15" max="16384" width="9.140625" style="7"/>
  </cols>
  <sheetData>
    <row r="1" spans="1:12" ht="15.75" x14ac:dyDescent="0.25">
      <c r="A1" s="14" t="s">
        <v>51</v>
      </c>
      <c r="B1" s="14"/>
      <c r="C1" s="14"/>
    </row>
    <row r="2" spans="1:12" ht="15.75" x14ac:dyDescent="0.25">
      <c r="A2" s="15" t="s">
        <v>52</v>
      </c>
      <c r="B2" s="15"/>
      <c r="C2" s="15"/>
    </row>
    <row r="3" spans="1:12" ht="15.75" x14ac:dyDescent="0.25">
      <c r="A3" s="16"/>
      <c r="B3" s="16"/>
      <c r="C3" s="16"/>
    </row>
    <row r="4" spans="1:12" ht="15.75" x14ac:dyDescent="0.25">
      <c r="A4" s="100" t="s">
        <v>53</v>
      </c>
      <c r="B4" s="100"/>
      <c r="C4" s="100"/>
      <c r="D4" s="101"/>
      <c r="E4" s="101"/>
    </row>
    <row r="5" spans="1:12" ht="15.75" x14ac:dyDescent="0.25">
      <c r="A5" s="15"/>
      <c r="B5" s="15"/>
      <c r="C5" s="15"/>
    </row>
    <row r="6" spans="1:12" ht="15.75" x14ac:dyDescent="0.25">
      <c r="A6" s="102" t="s">
        <v>54</v>
      </c>
      <c r="B6" s="102"/>
      <c r="C6" s="102"/>
      <c r="D6" s="101"/>
      <c r="E6" s="101"/>
    </row>
    <row r="8" spans="1:12" ht="15.75" x14ac:dyDescent="0.25">
      <c r="A8" s="103" t="s">
        <v>87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</row>
    <row r="9" spans="1:12" ht="15.75" x14ac:dyDescent="0.25">
      <c r="A9" s="103" t="s">
        <v>88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ht="15.75" x14ac:dyDescent="0.25">
      <c r="A10" s="103" t="s">
        <v>103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1" spans="1:12" ht="11.25" customHeight="1" x14ac:dyDescent="0.25"/>
    <row r="12" spans="1:12" x14ac:dyDescent="0.25">
      <c r="A12" s="68" t="s">
        <v>106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</row>
    <row r="13" spans="1:12" x14ac:dyDescent="0.25">
      <c r="A13" s="68" t="s">
        <v>105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x14ac:dyDescent="0.25">
      <c r="A14" s="68" t="s">
        <v>107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x14ac:dyDescent="0.25">
      <c r="A15" s="68" t="s">
        <v>108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x14ac:dyDescent="0.25">
      <c r="A16" s="68" t="s">
        <v>104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</row>
    <row r="17" spans="1:13" ht="33" customHeight="1" x14ac:dyDescent="0.25">
      <c r="A17" s="104" t="s">
        <v>0</v>
      </c>
      <c r="B17" s="104"/>
      <c r="C17" s="104"/>
      <c r="D17" s="104"/>
      <c r="E17" s="104"/>
      <c r="F17" s="67" t="s">
        <v>1</v>
      </c>
      <c r="G17" s="104" t="s">
        <v>2</v>
      </c>
      <c r="H17" s="104"/>
      <c r="I17" s="104"/>
      <c r="J17" s="104"/>
      <c r="K17" s="104"/>
      <c r="L17" s="23" t="s">
        <v>1</v>
      </c>
    </row>
    <row r="18" spans="1:13" ht="30" customHeight="1" x14ac:dyDescent="0.25">
      <c r="A18" s="105" t="s">
        <v>46</v>
      </c>
      <c r="B18" s="106"/>
      <c r="C18" s="106"/>
      <c r="D18" s="106"/>
      <c r="E18" s="107"/>
      <c r="F18" s="23">
        <f>1*32.56%</f>
        <v>0.3256</v>
      </c>
      <c r="G18" s="99" t="s">
        <v>3</v>
      </c>
      <c r="H18" s="99"/>
      <c r="I18" s="99"/>
      <c r="J18" s="99"/>
      <c r="K18" s="99"/>
      <c r="L18" s="23">
        <f>1*32.56%</f>
        <v>0.3256</v>
      </c>
      <c r="M18" s="20"/>
    </row>
    <row r="19" spans="1:13" x14ac:dyDescent="0.25">
      <c r="A19" s="98" t="s">
        <v>73</v>
      </c>
      <c r="B19" s="98"/>
      <c r="C19" s="98"/>
      <c r="D19" s="98"/>
      <c r="E19" s="98"/>
      <c r="F19" s="23">
        <f t="shared" ref="F19:F30" si="0">1*32.56%</f>
        <v>0.3256</v>
      </c>
      <c r="G19" s="99" t="s">
        <v>47</v>
      </c>
      <c r="H19" s="99"/>
      <c r="I19" s="99"/>
      <c r="J19" s="99"/>
      <c r="K19" s="99"/>
      <c r="L19" s="23">
        <f>1*32.56%</f>
        <v>0.3256</v>
      </c>
      <c r="M19" s="20"/>
    </row>
    <row r="20" spans="1:13" ht="15" customHeight="1" x14ac:dyDescent="0.25">
      <c r="A20" s="98" t="s">
        <v>76</v>
      </c>
      <c r="B20" s="98"/>
      <c r="C20" s="98"/>
      <c r="D20" s="98"/>
      <c r="E20" s="98"/>
      <c r="F20" s="23">
        <f t="shared" si="0"/>
        <v>0.3256</v>
      </c>
      <c r="G20" s="98"/>
      <c r="H20" s="98"/>
      <c r="I20" s="98"/>
      <c r="J20" s="98"/>
      <c r="K20" s="98"/>
      <c r="L20" s="23"/>
      <c r="M20" s="20"/>
    </row>
    <row r="21" spans="1:13" ht="17.25" customHeight="1" x14ac:dyDescent="0.25">
      <c r="A21" s="98" t="s">
        <v>71</v>
      </c>
      <c r="B21" s="98"/>
      <c r="C21" s="98"/>
      <c r="D21" s="98"/>
      <c r="E21" s="98"/>
      <c r="F21" s="23">
        <f t="shared" si="0"/>
        <v>0.3256</v>
      </c>
      <c r="G21" s="99"/>
      <c r="H21" s="99"/>
      <c r="I21" s="99"/>
      <c r="J21" s="99"/>
      <c r="K21" s="99"/>
      <c r="L21" s="23"/>
      <c r="M21" s="20"/>
    </row>
    <row r="22" spans="1:13" ht="14.25" customHeight="1" x14ac:dyDescent="0.25">
      <c r="A22" s="98" t="s">
        <v>74</v>
      </c>
      <c r="B22" s="98"/>
      <c r="C22" s="98"/>
      <c r="D22" s="98"/>
      <c r="E22" s="98"/>
      <c r="F22" s="23">
        <f>0.5*32.56%</f>
        <v>0.1628</v>
      </c>
      <c r="G22" s="99"/>
      <c r="H22" s="99"/>
      <c r="I22" s="99"/>
      <c r="J22" s="99"/>
      <c r="K22" s="99"/>
      <c r="L22" s="23"/>
      <c r="M22" s="20"/>
    </row>
    <row r="23" spans="1:13" ht="15" customHeight="1" x14ac:dyDescent="0.25">
      <c r="A23" s="98" t="s">
        <v>78</v>
      </c>
      <c r="B23" s="98"/>
      <c r="C23" s="98"/>
      <c r="D23" s="98"/>
      <c r="E23" s="98"/>
      <c r="F23" s="23">
        <f t="shared" si="0"/>
        <v>0.3256</v>
      </c>
      <c r="G23" s="99"/>
      <c r="H23" s="99"/>
      <c r="I23" s="99"/>
      <c r="J23" s="99"/>
      <c r="K23" s="99"/>
      <c r="L23" s="23"/>
      <c r="M23" s="20"/>
    </row>
    <row r="24" spans="1:13" ht="15" customHeight="1" x14ac:dyDescent="0.25">
      <c r="A24" s="99" t="s">
        <v>41</v>
      </c>
      <c r="B24" s="99"/>
      <c r="C24" s="99"/>
      <c r="D24" s="99"/>
      <c r="E24" s="99"/>
      <c r="F24" s="23">
        <f>0.23*32.56%</f>
        <v>7.488800000000001E-2</v>
      </c>
      <c r="G24" s="99"/>
      <c r="H24" s="99"/>
      <c r="I24" s="99"/>
      <c r="J24" s="99"/>
      <c r="K24" s="99"/>
      <c r="L24" s="23"/>
      <c r="M24" s="20"/>
    </row>
    <row r="25" spans="1:13" x14ac:dyDescent="0.25">
      <c r="A25" s="111" t="s">
        <v>79</v>
      </c>
      <c r="B25" s="112"/>
      <c r="C25" s="112"/>
      <c r="D25" s="112"/>
      <c r="E25" s="113"/>
      <c r="F25" s="23">
        <f t="shared" si="0"/>
        <v>0.3256</v>
      </c>
      <c r="G25" s="99"/>
      <c r="H25" s="99"/>
      <c r="I25" s="99"/>
      <c r="J25" s="99"/>
      <c r="K25" s="99"/>
      <c r="L25" s="66"/>
      <c r="M25" s="20"/>
    </row>
    <row r="26" spans="1:13" x14ac:dyDescent="0.25">
      <c r="A26" s="98" t="s">
        <v>70</v>
      </c>
      <c r="B26" s="98"/>
      <c r="C26" s="98"/>
      <c r="D26" s="98"/>
      <c r="E26" s="98"/>
      <c r="F26" s="23">
        <f t="shared" si="0"/>
        <v>0.3256</v>
      </c>
      <c r="G26" s="98"/>
      <c r="H26" s="98"/>
      <c r="I26" s="98"/>
      <c r="J26" s="98"/>
      <c r="K26" s="98"/>
      <c r="L26" s="23"/>
      <c r="M26" s="20"/>
    </row>
    <row r="27" spans="1:13" ht="15" customHeight="1" x14ac:dyDescent="0.25">
      <c r="A27" s="98" t="s">
        <v>80</v>
      </c>
      <c r="B27" s="98"/>
      <c r="C27" s="98"/>
      <c r="D27" s="98"/>
      <c r="E27" s="98"/>
      <c r="F27" s="23">
        <f t="shared" si="0"/>
        <v>0.3256</v>
      </c>
      <c r="G27" s="98"/>
      <c r="H27" s="98"/>
      <c r="I27" s="98"/>
      <c r="J27" s="98"/>
      <c r="K27" s="98"/>
      <c r="L27" s="23"/>
      <c r="M27" s="20"/>
    </row>
    <row r="28" spans="1:13" ht="15" customHeight="1" x14ac:dyDescent="0.25">
      <c r="A28" s="99" t="s">
        <v>48</v>
      </c>
      <c r="B28" s="99"/>
      <c r="C28" s="99"/>
      <c r="D28" s="99"/>
      <c r="E28" s="99"/>
      <c r="F28" s="23">
        <f>3*32.56%</f>
        <v>0.9768</v>
      </c>
      <c r="G28" s="98"/>
      <c r="H28" s="98"/>
      <c r="I28" s="98"/>
      <c r="J28" s="98"/>
      <c r="K28" s="98"/>
      <c r="L28" s="23"/>
      <c r="M28" s="20"/>
    </row>
    <row r="29" spans="1:13" x14ac:dyDescent="0.25">
      <c r="A29" s="99" t="s">
        <v>77</v>
      </c>
      <c r="B29" s="99"/>
      <c r="C29" s="99"/>
      <c r="D29" s="99"/>
      <c r="E29" s="99"/>
      <c r="F29" s="23">
        <f t="shared" si="0"/>
        <v>0.3256</v>
      </c>
      <c r="G29" s="99"/>
      <c r="H29" s="99"/>
      <c r="I29" s="99"/>
      <c r="J29" s="99"/>
      <c r="K29" s="99"/>
      <c r="L29" s="66"/>
      <c r="M29" s="20"/>
    </row>
    <row r="30" spans="1:13" x14ac:dyDescent="0.25">
      <c r="A30" s="99" t="s">
        <v>72</v>
      </c>
      <c r="B30" s="99"/>
      <c r="C30" s="99"/>
      <c r="D30" s="99"/>
      <c r="E30" s="99"/>
      <c r="F30" s="23">
        <f t="shared" si="0"/>
        <v>0.3256</v>
      </c>
      <c r="G30" s="98"/>
      <c r="H30" s="98"/>
      <c r="I30" s="98"/>
      <c r="J30" s="98"/>
      <c r="K30" s="98"/>
      <c r="L30" s="23"/>
      <c r="M30" s="20"/>
    </row>
    <row r="31" spans="1:13" ht="15" customHeight="1" x14ac:dyDescent="0.25">
      <c r="A31" s="99" t="s">
        <v>75</v>
      </c>
      <c r="B31" s="99"/>
      <c r="C31" s="99"/>
      <c r="D31" s="99"/>
      <c r="E31" s="99"/>
      <c r="F31" s="23">
        <f>2.87*32.56%</f>
        <v>0.93447200000000008</v>
      </c>
      <c r="G31" s="98"/>
      <c r="H31" s="98"/>
      <c r="I31" s="98"/>
      <c r="J31" s="98"/>
      <c r="K31" s="98"/>
      <c r="L31" s="23"/>
      <c r="M31" s="20"/>
    </row>
    <row r="32" spans="1:13" ht="15.75" thickBot="1" x14ac:dyDescent="0.3">
      <c r="A32" s="99" t="s">
        <v>49</v>
      </c>
      <c r="B32" s="99"/>
      <c r="C32" s="99"/>
      <c r="D32" s="99"/>
      <c r="E32" s="99"/>
      <c r="F32" s="23">
        <f>1.5*32.56%</f>
        <v>0.4884</v>
      </c>
      <c r="G32" s="98"/>
      <c r="H32" s="98"/>
      <c r="I32" s="98"/>
      <c r="J32" s="98"/>
      <c r="K32" s="98"/>
      <c r="L32" s="23"/>
      <c r="M32" s="20"/>
    </row>
    <row r="33" spans="1:14" hidden="1" x14ac:dyDescent="0.25">
      <c r="A33" s="111"/>
      <c r="B33" s="112"/>
      <c r="C33" s="112"/>
      <c r="D33" s="112"/>
      <c r="E33" s="113"/>
      <c r="F33" s="23"/>
      <c r="G33" s="98"/>
      <c r="H33" s="98"/>
      <c r="I33" s="98"/>
      <c r="J33" s="98"/>
      <c r="K33" s="98"/>
      <c r="L33" s="23"/>
    </row>
    <row r="34" spans="1:14" ht="9.75" hidden="1" customHeight="1" x14ac:dyDescent="0.25">
      <c r="A34" s="111"/>
      <c r="B34" s="112"/>
      <c r="C34" s="112"/>
      <c r="D34" s="112"/>
      <c r="E34" s="113"/>
      <c r="F34" s="64"/>
      <c r="G34" s="105"/>
      <c r="H34" s="106"/>
      <c r="I34" s="106"/>
      <c r="J34" s="106"/>
      <c r="K34" s="107"/>
      <c r="L34" s="64"/>
    </row>
    <row r="35" spans="1:14" ht="15.75" thickBot="1" x14ac:dyDescent="0.3">
      <c r="A35" s="108" t="s">
        <v>4</v>
      </c>
      <c r="B35" s="108"/>
      <c r="C35" s="108"/>
      <c r="D35" s="108"/>
      <c r="E35" s="109"/>
      <c r="F35" s="65">
        <f>SUM(F18:F34)+0.04+0.01</f>
        <v>5.9433600000000002</v>
      </c>
      <c r="G35" s="110" t="s">
        <v>4</v>
      </c>
      <c r="H35" s="108"/>
      <c r="I35" s="108"/>
      <c r="J35" s="108"/>
      <c r="K35" s="109"/>
      <c r="L35" s="65">
        <f>SUM(L18:L34)+0.01</f>
        <v>0.66120000000000001</v>
      </c>
      <c r="M35" s="77"/>
      <c r="N35" s="7">
        <f>M35-21.1</f>
        <v>-21.1</v>
      </c>
    </row>
    <row r="36" spans="1:14" ht="15.75" thickBot="1" x14ac:dyDescent="0.3"/>
    <row r="37" spans="1:14" ht="15.75" thickBot="1" x14ac:dyDescent="0.3">
      <c r="A37" s="17" t="s">
        <v>65</v>
      </c>
      <c r="F37" s="58">
        <v>638</v>
      </c>
    </row>
    <row r="38" spans="1:14" ht="60.75" thickBot="1" x14ac:dyDescent="0.3">
      <c r="A38" s="83" t="s">
        <v>5</v>
      </c>
      <c r="B38" s="84"/>
      <c r="C38" s="84"/>
      <c r="D38" s="84"/>
      <c r="E38" s="85"/>
      <c r="F38" s="62" t="s">
        <v>6</v>
      </c>
      <c r="G38" s="18" t="s">
        <v>1</v>
      </c>
      <c r="H38" s="18" t="s">
        <v>60</v>
      </c>
      <c r="I38" s="18" t="s">
        <v>61</v>
      </c>
      <c r="J38" s="18" t="s">
        <v>62</v>
      </c>
      <c r="K38" s="44" t="s">
        <v>63</v>
      </c>
      <c r="L38" s="31"/>
    </row>
    <row r="39" spans="1:14" ht="30.75" hidden="1" customHeight="1" x14ac:dyDescent="0.25">
      <c r="A39" s="78" t="s">
        <v>46</v>
      </c>
      <c r="B39" s="79"/>
      <c r="C39" s="79"/>
      <c r="D39" s="79"/>
      <c r="E39" s="80"/>
      <c r="F39" s="23">
        <v>11538</v>
      </c>
      <c r="G39" s="9">
        <v>0.1</v>
      </c>
      <c r="H39" s="4">
        <f>G39*F39*12</f>
        <v>13845.599999999999</v>
      </c>
      <c r="I39" s="4">
        <f>H39*1.302</f>
        <v>18026.9712</v>
      </c>
      <c r="J39" s="9">
        <f>F37</f>
        <v>638</v>
      </c>
      <c r="K39" s="9">
        <f>I39/J39</f>
        <v>28.255440752351099</v>
      </c>
      <c r="L39" s="27"/>
    </row>
    <row r="40" spans="1:14" ht="14.25" hidden="1" customHeight="1" x14ac:dyDescent="0.25">
      <c r="A40" s="86" t="s">
        <v>73</v>
      </c>
      <c r="B40" s="86"/>
      <c r="C40" s="86"/>
      <c r="D40" s="86"/>
      <c r="E40" s="86"/>
      <c r="F40" s="23">
        <v>11538</v>
      </c>
      <c r="G40" s="9">
        <v>0.1</v>
      </c>
      <c r="H40" s="4">
        <f t="shared" ref="H40:H53" si="1">G40*F40*12</f>
        <v>13845.599999999999</v>
      </c>
      <c r="I40" s="4">
        <f t="shared" ref="I40:I53" si="2">H40*1.302</f>
        <v>18026.9712</v>
      </c>
      <c r="J40" s="9">
        <f>J44</f>
        <v>638</v>
      </c>
      <c r="K40" s="9">
        <f t="shared" ref="K40:K53" si="3">I40/J40</f>
        <v>28.255440752351099</v>
      </c>
      <c r="L40" s="27"/>
    </row>
    <row r="41" spans="1:14" ht="14.25" hidden="1" customHeight="1" x14ac:dyDescent="0.25">
      <c r="A41" s="86" t="s">
        <v>76</v>
      </c>
      <c r="B41" s="86"/>
      <c r="C41" s="86"/>
      <c r="D41" s="86"/>
      <c r="E41" s="86"/>
      <c r="F41" s="9">
        <v>11538</v>
      </c>
      <c r="G41" s="9">
        <v>0.1</v>
      </c>
      <c r="H41" s="4">
        <f t="shared" si="1"/>
        <v>13845.599999999999</v>
      </c>
      <c r="I41" s="4">
        <f t="shared" si="2"/>
        <v>18026.9712</v>
      </c>
      <c r="J41" s="9">
        <f>J39</f>
        <v>638</v>
      </c>
      <c r="K41" s="9">
        <f t="shared" si="3"/>
        <v>28.255440752351099</v>
      </c>
      <c r="L41" s="27"/>
    </row>
    <row r="42" spans="1:14" ht="13.5" hidden="1" customHeight="1" x14ac:dyDescent="0.25">
      <c r="A42" s="86" t="s">
        <v>71</v>
      </c>
      <c r="B42" s="86"/>
      <c r="C42" s="86"/>
      <c r="D42" s="86"/>
      <c r="E42" s="86"/>
      <c r="F42" s="23">
        <v>8837</v>
      </c>
      <c r="G42" s="9">
        <v>0.1</v>
      </c>
      <c r="H42" s="4">
        <f t="shared" si="1"/>
        <v>10604.400000000001</v>
      </c>
      <c r="I42" s="4">
        <f t="shared" si="2"/>
        <v>13806.928800000002</v>
      </c>
      <c r="J42" s="9">
        <f>J39</f>
        <v>638</v>
      </c>
      <c r="K42" s="9">
        <f t="shared" si="3"/>
        <v>21.640954231974924</v>
      </c>
      <c r="L42" s="27"/>
    </row>
    <row r="43" spans="1:14" hidden="1" x14ac:dyDescent="0.25">
      <c r="A43" s="86" t="s">
        <v>74</v>
      </c>
      <c r="B43" s="86"/>
      <c r="C43" s="86"/>
      <c r="D43" s="86"/>
      <c r="E43" s="86"/>
      <c r="F43" s="23">
        <v>4418.5</v>
      </c>
      <c r="G43" s="9">
        <v>0.05</v>
      </c>
      <c r="H43" s="4">
        <f t="shared" si="1"/>
        <v>2651.1000000000004</v>
      </c>
      <c r="I43" s="4">
        <f t="shared" si="2"/>
        <v>3451.7322000000004</v>
      </c>
      <c r="J43" s="9">
        <f>J41</f>
        <v>638</v>
      </c>
      <c r="K43" s="9">
        <f t="shared" si="3"/>
        <v>5.4102385579937309</v>
      </c>
      <c r="L43" s="27"/>
    </row>
    <row r="44" spans="1:14" hidden="1" x14ac:dyDescent="0.25">
      <c r="A44" s="86" t="s">
        <v>78</v>
      </c>
      <c r="B44" s="86"/>
      <c r="C44" s="86"/>
      <c r="D44" s="86"/>
      <c r="E44" s="86"/>
      <c r="F44" s="9">
        <v>8837</v>
      </c>
      <c r="G44" s="9">
        <v>0.1</v>
      </c>
      <c r="H44" s="4">
        <f t="shared" si="1"/>
        <v>10604.400000000001</v>
      </c>
      <c r="I44" s="4">
        <f t="shared" si="2"/>
        <v>13806.928800000002</v>
      </c>
      <c r="J44" s="9">
        <f>J41</f>
        <v>638</v>
      </c>
      <c r="K44" s="9">
        <f t="shared" si="3"/>
        <v>21.640954231974924</v>
      </c>
      <c r="L44" s="27"/>
    </row>
    <row r="45" spans="1:14" ht="15" hidden="1" customHeight="1" x14ac:dyDescent="0.25">
      <c r="A45" s="114" t="s">
        <v>41</v>
      </c>
      <c r="B45" s="114"/>
      <c r="C45" s="114"/>
      <c r="D45" s="114"/>
      <c r="E45" s="114"/>
      <c r="F45" s="9">
        <v>6556</v>
      </c>
      <c r="G45" s="9">
        <v>0.16</v>
      </c>
      <c r="H45" s="4">
        <f t="shared" si="1"/>
        <v>12587.52</v>
      </c>
      <c r="I45" s="4">
        <f t="shared" si="2"/>
        <v>16388.95104</v>
      </c>
      <c r="J45" s="9">
        <f>J43</f>
        <v>638</v>
      </c>
      <c r="K45" s="9">
        <f t="shared" si="3"/>
        <v>25.688011034482759</v>
      </c>
      <c r="L45" s="27"/>
    </row>
    <row r="46" spans="1:14" hidden="1" x14ac:dyDescent="0.25">
      <c r="A46" s="93" t="s">
        <v>79</v>
      </c>
      <c r="B46" s="94"/>
      <c r="C46" s="94"/>
      <c r="D46" s="94"/>
      <c r="E46" s="95"/>
      <c r="F46" s="23">
        <v>3933</v>
      </c>
      <c r="G46" s="9">
        <v>0.1</v>
      </c>
      <c r="H46" s="4">
        <f t="shared" si="1"/>
        <v>4719.6000000000004</v>
      </c>
      <c r="I46" s="4">
        <f t="shared" si="2"/>
        <v>6144.9192000000003</v>
      </c>
      <c r="J46" s="9">
        <f>J43</f>
        <v>638</v>
      </c>
      <c r="K46" s="9">
        <f t="shared" si="3"/>
        <v>9.6315347962382454</v>
      </c>
      <c r="L46" s="27"/>
    </row>
    <row r="47" spans="1:14" ht="15.75" hidden="1" customHeight="1" x14ac:dyDescent="0.25">
      <c r="A47" s="86" t="s">
        <v>70</v>
      </c>
      <c r="B47" s="86"/>
      <c r="C47" s="86"/>
      <c r="D47" s="86"/>
      <c r="E47" s="86"/>
      <c r="F47" s="23">
        <v>4496</v>
      </c>
      <c r="G47" s="9">
        <v>0.1</v>
      </c>
      <c r="H47" s="4">
        <f t="shared" si="1"/>
        <v>5395.2000000000007</v>
      </c>
      <c r="I47" s="4">
        <f t="shared" si="2"/>
        <v>7024.550400000001</v>
      </c>
      <c r="J47" s="9">
        <f>J44</f>
        <v>638</v>
      </c>
      <c r="K47" s="9">
        <f t="shared" si="3"/>
        <v>11.0102670846395</v>
      </c>
      <c r="L47" s="27"/>
    </row>
    <row r="48" spans="1:14" hidden="1" x14ac:dyDescent="0.25">
      <c r="A48" s="86" t="s">
        <v>80</v>
      </c>
      <c r="B48" s="86"/>
      <c r="C48" s="86"/>
      <c r="D48" s="86"/>
      <c r="E48" s="86"/>
      <c r="F48" s="9">
        <v>11538</v>
      </c>
      <c r="G48" s="9">
        <v>0.1</v>
      </c>
      <c r="H48" s="4">
        <f t="shared" si="1"/>
        <v>13845.599999999999</v>
      </c>
      <c r="I48" s="4">
        <f t="shared" si="2"/>
        <v>18026.9712</v>
      </c>
      <c r="J48" s="9">
        <f>J45</f>
        <v>638</v>
      </c>
      <c r="K48" s="9">
        <f t="shared" si="3"/>
        <v>28.255440752351099</v>
      </c>
      <c r="L48" s="27"/>
    </row>
    <row r="49" spans="1:14" ht="15" hidden="1" customHeight="1" x14ac:dyDescent="0.25">
      <c r="A49" s="114" t="s">
        <v>48</v>
      </c>
      <c r="B49" s="114"/>
      <c r="C49" s="114"/>
      <c r="D49" s="114"/>
      <c r="E49" s="114"/>
      <c r="F49" s="9">
        <v>11538</v>
      </c>
      <c r="G49" s="9">
        <v>0.3</v>
      </c>
      <c r="H49" s="4">
        <f t="shared" si="1"/>
        <v>41536.800000000003</v>
      </c>
      <c r="I49" s="4">
        <f t="shared" si="2"/>
        <v>54080.913600000007</v>
      </c>
      <c r="J49" s="9">
        <f>J45</f>
        <v>638</v>
      </c>
      <c r="K49" s="9">
        <f t="shared" si="3"/>
        <v>84.766322257053304</v>
      </c>
      <c r="L49" s="27"/>
    </row>
    <row r="50" spans="1:14" ht="15" hidden="1" customHeight="1" x14ac:dyDescent="0.25">
      <c r="A50" s="114" t="s">
        <v>77</v>
      </c>
      <c r="B50" s="114"/>
      <c r="C50" s="114"/>
      <c r="D50" s="114"/>
      <c r="E50" s="114"/>
      <c r="F50" s="9">
        <v>6556</v>
      </c>
      <c r="G50" s="9">
        <v>0.2</v>
      </c>
      <c r="H50" s="4">
        <f t="shared" si="1"/>
        <v>15734.400000000001</v>
      </c>
      <c r="I50" s="4">
        <f t="shared" si="2"/>
        <v>20486.188800000004</v>
      </c>
      <c r="J50" s="9">
        <f>J48</f>
        <v>638</v>
      </c>
      <c r="K50" s="9">
        <f t="shared" si="3"/>
        <v>32.110013793103455</v>
      </c>
      <c r="L50" s="27"/>
    </row>
    <row r="51" spans="1:14" ht="17.25" hidden="1" customHeight="1" x14ac:dyDescent="0.25">
      <c r="A51" s="114" t="s">
        <v>72</v>
      </c>
      <c r="B51" s="114"/>
      <c r="C51" s="114"/>
      <c r="D51" s="114"/>
      <c r="E51" s="114"/>
      <c r="F51" s="23">
        <v>11538</v>
      </c>
      <c r="G51" s="9">
        <v>0.1</v>
      </c>
      <c r="H51" s="4">
        <f t="shared" si="1"/>
        <v>13845.599999999999</v>
      </c>
      <c r="I51" s="4">
        <f t="shared" si="2"/>
        <v>18026.9712</v>
      </c>
      <c r="J51" s="9">
        <f>J49</f>
        <v>638</v>
      </c>
      <c r="K51" s="9">
        <f t="shared" si="3"/>
        <v>28.255440752351099</v>
      </c>
      <c r="L51" s="27"/>
    </row>
    <row r="52" spans="1:14" ht="15" hidden="1" customHeight="1" x14ac:dyDescent="0.25">
      <c r="A52" s="114" t="s">
        <v>75</v>
      </c>
      <c r="B52" s="114"/>
      <c r="C52" s="114"/>
      <c r="D52" s="114"/>
      <c r="E52" s="114"/>
      <c r="F52" s="9">
        <v>8837</v>
      </c>
      <c r="G52" s="9">
        <v>0.24</v>
      </c>
      <c r="H52" s="4">
        <f t="shared" si="1"/>
        <v>25450.560000000001</v>
      </c>
      <c r="I52" s="4">
        <f t="shared" si="2"/>
        <v>33136.629120000005</v>
      </c>
      <c r="J52" s="9">
        <f>J51</f>
        <v>638</v>
      </c>
      <c r="K52" s="9">
        <f t="shared" si="3"/>
        <v>51.938290156739818</v>
      </c>
      <c r="L52" s="27"/>
    </row>
    <row r="53" spans="1:14" ht="15" hidden="1" customHeight="1" x14ac:dyDescent="0.25">
      <c r="A53" s="114" t="s">
        <v>49</v>
      </c>
      <c r="B53" s="114"/>
      <c r="C53" s="114"/>
      <c r="D53" s="114"/>
      <c r="E53" s="114"/>
      <c r="F53" s="9">
        <v>11538</v>
      </c>
      <c r="G53" s="9">
        <v>0.1</v>
      </c>
      <c r="H53" s="4">
        <f t="shared" si="1"/>
        <v>13845.599999999999</v>
      </c>
      <c r="I53" s="59">
        <f t="shared" si="2"/>
        <v>18026.9712</v>
      </c>
      <c r="J53" s="9">
        <f>J52</f>
        <v>638</v>
      </c>
      <c r="K53" s="57">
        <f t="shared" si="3"/>
        <v>28.255440752351099</v>
      </c>
      <c r="L53" s="27"/>
    </row>
    <row r="54" spans="1:14" s="8" customFormat="1" ht="14.25" customHeight="1" thickBot="1" x14ac:dyDescent="0.3">
      <c r="A54" s="24" t="s">
        <v>81</v>
      </c>
      <c r="B54" s="25"/>
      <c r="C54" s="25"/>
      <c r="D54" s="25"/>
      <c r="E54" s="25"/>
      <c r="F54" s="3">
        <v>26225.56</v>
      </c>
      <c r="G54" s="3">
        <f>F35</f>
        <v>5.9433600000000002</v>
      </c>
      <c r="H54" s="5">
        <v>1869357.92</v>
      </c>
      <c r="I54" s="60">
        <f>(H54*1.302)-0.46-0.1</f>
        <v>2433903.4518399998</v>
      </c>
      <c r="J54" s="61">
        <f>F37</f>
        <v>638</v>
      </c>
      <c r="K54" s="60">
        <f>I54/F37</f>
        <v>3814.8956925391844</v>
      </c>
      <c r="L54" s="27"/>
      <c r="M54" s="7">
        <f>I54+I84+'Услуга №2'!I53+'Услуга №2'!I84+'Услуга №3'!I53+'Услуга №3'!I84</f>
        <v>8266526.6244399995</v>
      </c>
      <c r="N54" s="8">
        <f>M54-8266526.62</f>
        <v>4.4399993494153023E-3</v>
      </c>
    </row>
    <row r="55" spans="1:14" x14ac:dyDescent="0.25">
      <c r="A55" s="26"/>
      <c r="B55" s="26"/>
      <c r="C55" s="26"/>
      <c r="D55" s="26"/>
      <c r="E55" s="26"/>
      <c r="F55" s="27"/>
      <c r="G55" s="27"/>
      <c r="H55" s="27"/>
      <c r="I55" s="27"/>
      <c r="J55" s="27"/>
      <c r="K55" s="27"/>
      <c r="L55" s="27"/>
    </row>
    <row r="56" spans="1:14" ht="18" customHeight="1" x14ac:dyDescent="0.25">
      <c r="A56" s="87" t="s">
        <v>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</row>
    <row r="57" spans="1:14" ht="45" x14ac:dyDescent="0.25">
      <c r="A57" s="89" t="s">
        <v>9</v>
      </c>
      <c r="B57" s="89"/>
      <c r="C57" s="89"/>
      <c r="D57" s="89"/>
      <c r="E57" s="89"/>
      <c r="F57" s="18" t="s">
        <v>7</v>
      </c>
      <c r="G57" s="18" t="s">
        <v>59</v>
      </c>
      <c r="H57" s="18" t="s">
        <v>58</v>
      </c>
      <c r="I57" s="18" t="s">
        <v>64</v>
      </c>
      <c r="J57" s="18" t="s">
        <v>62</v>
      </c>
      <c r="K57" s="21" t="s">
        <v>63</v>
      </c>
      <c r="L57" s="28"/>
    </row>
    <row r="58" spans="1:14" x14ac:dyDescent="0.25">
      <c r="A58" s="93" t="s">
        <v>42</v>
      </c>
      <c r="B58" s="94"/>
      <c r="C58" s="94"/>
      <c r="D58" s="94"/>
      <c r="E58" s="95"/>
      <c r="F58" s="22" t="s">
        <v>43</v>
      </c>
      <c r="G58" s="22">
        <v>33200</v>
      </c>
      <c r="H58" s="22">
        <v>5.0999999999999996</v>
      </c>
      <c r="I58" s="29">
        <f>165847.5*32.56%</f>
        <v>53999.946000000004</v>
      </c>
      <c r="J58" s="9">
        <f>J53</f>
        <v>638</v>
      </c>
      <c r="K58" s="30">
        <f>I58/J58</f>
        <v>84.639413793103458</v>
      </c>
      <c r="L58" s="28"/>
    </row>
    <row r="59" spans="1:14" x14ac:dyDescent="0.25">
      <c r="A59" s="86" t="s">
        <v>10</v>
      </c>
      <c r="B59" s="86"/>
      <c r="C59" s="86"/>
      <c r="D59" s="86"/>
      <c r="E59" s="86"/>
      <c r="F59" s="9" t="s">
        <v>13</v>
      </c>
      <c r="G59" s="9">
        <v>150</v>
      </c>
      <c r="H59" s="9">
        <v>1703</v>
      </c>
      <c r="I59" s="29">
        <f>284809.75*32.56%</f>
        <v>92734.054600000003</v>
      </c>
      <c r="J59" s="9">
        <f>J58</f>
        <v>638</v>
      </c>
      <c r="K59" s="30">
        <f t="shared" ref="K59:K62" si="4">I59/J59</f>
        <v>145.35118275862069</v>
      </c>
      <c r="L59" s="20"/>
    </row>
    <row r="60" spans="1:14" x14ac:dyDescent="0.25">
      <c r="A60" s="86" t="s">
        <v>11</v>
      </c>
      <c r="B60" s="86"/>
      <c r="C60" s="86"/>
      <c r="D60" s="86"/>
      <c r="E60" s="86"/>
      <c r="F60" s="9" t="s">
        <v>14</v>
      </c>
      <c r="G60" s="9">
        <v>200</v>
      </c>
      <c r="H60" s="9">
        <v>41.9</v>
      </c>
      <c r="I60" s="29">
        <f>8626.18*32.56%</f>
        <v>2808.6842080000001</v>
      </c>
      <c r="J60" s="9">
        <f>J59</f>
        <v>638</v>
      </c>
      <c r="K60" s="30">
        <f t="shared" si="4"/>
        <v>4.4023263448275864</v>
      </c>
      <c r="L60" s="20"/>
    </row>
    <row r="61" spans="1:14" x14ac:dyDescent="0.25">
      <c r="A61" s="86" t="s">
        <v>12</v>
      </c>
      <c r="B61" s="86"/>
      <c r="C61" s="86"/>
      <c r="D61" s="86"/>
      <c r="E61" s="86"/>
      <c r="F61" s="9" t="s">
        <v>14</v>
      </c>
      <c r="G61" s="9">
        <v>200</v>
      </c>
      <c r="H61" s="9">
        <v>60.65</v>
      </c>
      <c r="I61" s="29">
        <f>12562.29*32.56%</f>
        <v>4090.2816240000002</v>
      </c>
      <c r="J61" s="9">
        <f>J59</f>
        <v>638</v>
      </c>
      <c r="K61" s="30">
        <f t="shared" si="4"/>
        <v>6.4110997241379311</v>
      </c>
      <c r="L61" s="20"/>
    </row>
    <row r="62" spans="1:14" ht="15.75" thickBot="1" x14ac:dyDescent="0.3">
      <c r="A62" s="93" t="s">
        <v>17</v>
      </c>
      <c r="B62" s="115"/>
      <c r="C62" s="115"/>
      <c r="D62" s="115"/>
      <c r="E62" s="115"/>
      <c r="F62" s="9" t="s">
        <v>14</v>
      </c>
      <c r="G62" s="9">
        <v>12</v>
      </c>
      <c r="H62" s="9">
        <v>956.71</v>
      </c>
      <c r="I62" s="70">
        <f>22696.01*32.56%</f>
        <v>7389.8208559999994</v>
      </c>
      <c r="J62" s="9">
        <f>J60</f>
        <v>638</v>
      </c>
      <c r="K62" s="71">
        <f t="shared" si="4"/>
        <v>11.582791310344827</v>
      </c>
      <c r="L62" s="20"/>
    </row>
    <row r="63" spans="1:14" s="8" customFormat="1" ht="15" customHeight="1" thickBot="1" x14ac:dyDescent="0.3">
      <c r="A63" s="116" t="s">
        <v>15</v>
      </c>
      <c r="B63" s="117"/>
      <c r="C63" s="117"/>
      <c r="D63" s="117"/>
      <c r="E63" s="117"/>
      <c r="F63" s="117"/>
      <c r="G63" s="117"/>
      <c r="H63" s="117"/>
      <c r="I63" s="60">
        <f>SUM(I58:I62)+0.01</f>
        <v>161022.797288</v>
      </c>
      <c r="J63" s="61">
        <f>F37</f>
        <v>638</v>
      </c>
      <c r="K63" s="60">
        <f>I63/J62</f>
        <v>252.38682960501566</v>
      </c>
      <c r="L63" s="27"/>
      <c r="M63" s="7">
        <f>I63+'Услуга №2'!I63+'Услуга №3'!I63</f>
        <v>494541.73999999987</v>
      </c>
    </row>
    <row r="65" spans="1:13" x14ac:dyDescent="0.25">
      <c r="A65" s="87" t="s">
        <v>16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</row>
    <row r="66" spans="1:13" ht="45" x14ac:dyDescent="0.25">
      <c r="A66" s="89" t="s">
        <v>20</v>
      </c>
      <c r="B66" s="89"/>
      <c r="C66" s="89"/>
      <c r="D66" s="89"/>
      <c r="E66" s="89"/>
      <c r="F66" s="22" t="s">
        <v>7</v>
      </c>
      <c r="G66" s="22" t="s">
        <v>59</v>
      </c>
      <c r="H66" s="22" t="s">
        <v>58</v>
      </c>
      <c r="I66" s="22" t="s">
        <v>64</v>
      </c>
      <c r="J66" s="22" t="s">
        <v>62</v>
      </c>
      <c r="K66" s="30" t="s">
        <v>63</v>
      </c>
      <c r="L66" s="28"/>
    </row>
    <row r="67" spans="1:13" ht="14.25" customHeight="1" x14ac:dyDescent="0.25">
      <c r="A67" s="86" t="s">
        <v>44</v>
      </c>
      <c r="B67" s="86"/>
      <c r="C67" s="86"/>
      <c r="D67" s="86"/>
      <c r="E67" s="86"/>
      <c r="F67" s="9" t="s">
        <v>18</v>
      </c>
      <c r="G67" s="9">
        <v>12</v>
      </c>
      <c r="H67" s="9">
        <v>785.4</v>
      </c>
      <c r="I67" s="9">
        <f>9424.8*32.56%</f>
        <v>3068.71488</v>
      </c>
      <c r="J67" s="9">
        <f>J59</f>
        <v>638</v>
      </c>
      <c r="K67" s="19">
        <f t="shared" ref="K67:K70" si="5">I67/J67</f>
        <v>4.8098979310344827</v>
      </c>
      <c r="L67" s="20"/>
    </row>
    <row r="68" spans="1:13" ht="14.25" customHeight="1" x14ac:dyDescent="0.25">
      <c r="A68" s="86" t="s">
        <v>89</v>
      </c>
      <c r="B68" s="86"/>
      <c r="C68" s="86"/>
      <c r="D68" s="86"/>
      <c r="E68" s="86"/>
      <c r="F68" s="9" t="s">
        <v>18</v>
      </c>
      <c r="G68" s="9">
        <v>12</v>
      </c>
      <c r="H68" s="9">
        <v>2900</v>
      </c>
      <c r="I68" s="9">
        <f>34800*32.56%</f>
        <v>11330.88</v>
      </c>
      <c r="J68" s="9">
        <f t="shared" ref="J68:J70" si="6">J60</f>
        <v>638</v>
      </c>
      <c r="K68" s="19">
        <f t="shared" si="5"/>
        <v>17.759999999999998</v>
      </c>
      <c r="L68" s="20"/>
    </row>
    <row r="69" spans="1:13" ht="14.25" customHeight="1" x14ac:dyDescent="0.25">
      <c r="A69" s="86" t="s">
        <v>90</v>
      </c>
      <c r="B69" s="86"/>
      <c r="C69" s="86"/>
      <c r="D69" s="86"/>
      <c r="E69" s="86"/>
      <c r="F69" s="9" t="s">
        <v>18</v>
      </c>
      <c r="G69" s="9">
        <v>12</v>
      </c>
      <c r="H69" s="9">
        <v>2100</v>
      </c>
      <c r="I69" s="9">
        <f>25200*32.56%</f>
        <v>8205.1200000000008</v>
      </c>
      <c r="J69" s="9">
        <f t="shared" si="6"/>
        <v>638</v>
      </c>
      <c r="K69" s="19">
        <f t="shared" si="5"/>
        <v>12.860689655172415</v>
      </c>
      <c r="L69" s="20"/>
    </row>
    <row r="70" spans="1:13" ht="23.25" customHeight="1" thickBot="1" x14ac:dyDescent="0.3">
      <c r="A70" s="78" t="s">
        <v>91</v>
      </c>
      <c r="B70" s="79"/>
      <c r="C70" s="79"/>
      <c r="D70" s="79"/>
      <c r="E70" s="80"/>
      <c r="F70" s="9" t="s">
        <v>18</v>
      </c>
      <c r="G70" s="9">
        <v>12</v>
      </c>
      <c r="H70" s="9">
        <v>800</v>
      </c>
      <c r="I70" s="57">
        <f>9600*32.56%</f>
        <v>3125.76</v>
      </c>
      <c r="J70" s="9">
        <f t="shared" si="6"/>
        <v>638</v>
      </c>
      <c r="K70" s="57">
        <f t="shared" si="5"/>
        <v>4.8993103448275868</v>
      </c>
      <c r="L70" s="27"/>
    </row>
    <row r="71" spans="1:13" s="8" customFormat="1" ht="15.75" customHeight="1" thickBot="1" x14ac:dyDescent="0.3">
      <c r="A71" s="96" t="s">
        <v>19</v>
      </c>
      <c r="B71" s="97"/>
      <c r="C71" s="97"/>
      <c r="D71" s="97"/>
      <c r="E71" s="97"/>
      <c r="F71" s="97"/>
      <c r="G71" s="97"/>
      <c r="H71" s="97"/>
      <c r="I71" s="60">
        <f>SUM(I67:I70)</f>
        <v>25730.474880000002</v>
      </c>
      <c r="J71" s="61">
        <f>F37</f>
        <v>638</v>
      </c>
      <c r="K71" s="60">
        <f>SUM(K67:K70)</f>
        <v>40.329897931034481</v>
      </c>
      <c r="L71" s="27"/>
      <c r="M71" s="7">
        <f>I71+'Услуга №2'!I71+'Услуга №3'!I71</f>
        <v>79024.800000000003</v>
      </c>
    </row>
    <row r="73" spans="1:13" x14ac:dyDescent="0.25">
      <c r="A73" s="87" t="s">
        <v>82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</row>
    <row r="74" spans="1:13" ht="45" x14ac:dyDescent="0.25">
      <c r="A74" s="83" t="s">
        <v>20</v>
      </c>
      <c r="B74" s="84"/>
      <c r="C74" s="84"/>
      <c r="D74" s="84"/>
      <c r="E74" s="85"/>
      <c r="F74" s="18" t="s">
        <v>7</v>
      </c>
      <c r="G74" s="18" t="s">
        <v>59</v>
      </c>
      <c r="H74" s="18" t="s">
        <v>58</v>
      </c>
      <c r="I74" s="18" t="s">
        <v>64</v>
      </c>
      <c r="J74" s="18" t="s">
        <v>62</v>
      </c>
      <c r="K74" s="21" t="s">
        <v>63</v>
      </c>
      <c r="L74" s="28"/>
      <c r="M74" s="31"/>
    </row>
    <row r="75" spans="1:13" ht="34.5" customHeight="1" x14ac:dyDescent="0.25">
      <c r="A75" s="86" t="s">
        <v>21</v>
      </c>
      <c r="B75" s="86"/>
      <c r="C75" s="86"/>
      <c r="D75" s="86"/>
      <c r="E75" s="86"/>
      <c r="F75" s="32" t="s">
        <v>22</v>
      </c>
      <c r="G75" s="9">
        <v>2</v>
      </c>
      <c r="H75" s="33">
        <v>400</v>
      </c>
      <c r="I75" s="9">
        <f>9600*32.56%</f>
        <v>3125.76</v>
      </c>
      <c r="J75" s="9">
        <f>J70</f>
        <v>638</v>
      </c>
      <c r="K75" s="19">
        <f>I75/J75</f>
        <v>4.8993103448275868</v>
      </c>
      <c r="L75" s="20"/>
      <c r="M75" s="27"/>
    </row>
    <row r="76" spans="1:13" ht="35.25" customHeight="1" x14ac:dyDescent="0.25">
      <c r="A76" s="93" t="s">
        <v>92</v>
      </c>
      <c r="B76" s="94"/>
      <c r="C76" s="94"/>
      <c r="D76" s="94"/>
      <c r="E76" s="95"/>
      <c r="F76" s="32" t="s">
        <v>22</v>
      </c>
      <c r="G76" s="9">
        <v>1</v>
      </c>
      <c r="H76" s="33"/>
      <c r="I76" s="9">
        <f>4200*32.56%</f>
        <v>1367.52</v>
      </c>
      <c r="J76" s="9">
        <f>J75</f>
        <v>638</v>
      </c>
      <c r="K76" s="19">
        <f>I76/J76</f>
        <v>2.143448275862069</v>
      </c>
      <c r="L76" s="20"/>
      <c r="M76" s="27"/>
    </row>
    <row r="77" spans="1:13" ht="35.25" customHeight="1" thickBot="1" x14ac:dyDescent="0.3">
      <c r="A77" s="86" t="s">
        <v>83</v>
      </c>
      <c r="B77" s="86"/>
      <c r="C77" s="86"/>
      <c r="D77" s="86"/>
      <c r="E77" s="86"/>
      <c r="F77" s="32" t="s">
        <v>84</v>
      </c>
      <c r="G77" s="9">
        <v>9</v>
      </c>
      <c r="H77" s="33">
        <v>5000</v>
      </c>
      <c r="I77" s="57">
        <f>60000*32.56%</f>
        <v>19536</v>
      </c>
      <c r="J77" s="9">
        <f>J75</f>
        <v>638</v>
      </c>
      <c r="K77" s="74">
        <f>I77/J77</f>
        <v>30.620689655172413</v>
      </c>
      <c r="L77" s="20"/>
      <c r="M77" s="27"/>
    </row>
    <row r="78" spans="1:13" ht="15.75" thickBot="1" x14ac:dyDescent="0.3">
      <c r="A78" s="96" t="s">
        <v>23</v>
      </c>
      <c r="B78" s="97"/>
      <c r="C78" s="97"/>
      <c r="D78" s="97"/>
      <c r="E78" s="97"/>
      <c r="F78" s="97"/>
      <c r="G78" s="97"/>
      <c r="H78" s="97"/>
      <c r="I78" s="72">
        <f>SUM(I75:I77)</f>
        <v>24029.279999999999</v>
      </c>
      <c r="J78" s="73">
        <f>F37</f>
        <v>638</v>
      </c>
      <c r="K78" s="72">
        <f>SUM(K75:K77)</f>
        <v>37.663448275862066</v>
      </c>
      <c r="L78" s="12"/>
      <c r="M78" s="27">
        <f>I78+'Услуга №2'!I78+'Услуга №3'!I78</f>
        <v>73800</v>
      </c>
    </row>
    <row r="80" spans="1:13" x14ac:dyDescent="0.25">
      <c r="A80" s="87" t="s">
        <v>40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</row>
    <row r="81" spans="1:13" ht="57.75" customHeight="1" thickBot="1" x14ac:dyDescent="0.3">
      <c r="A81" s="83" t="s">
        <v>5</v>
      </c>
      <c r="B81" s="84"/>
      <c r="C81" s="84"/>
      <c r="D81" s="84"/>
      <c r="E81" s="85"/>
      <c r="F81" s="45" t="s">
        <v>6</v>
      </c>
      <c r="G81" s="45" t="s">
        <v>1</v>
      </c>
      <c r="H81" s="45" t="s">
        <v>60</v>
      </c>
      <c r="I81" s="45" t="s">
        <v>61</v>
      </c>
      <c r="J81" s="45" t="s">
        <v>62</v>
      </c>
      <c r="K81" s="46" t="s">
        <v>63</v>
      </c>
      <c r="L81" s="28"/>
    </row>
    <row r="82" spans="1:13" hidden="1" x14ac:dyDescent="0.25">
      <c r="A82" s="86" t="s">
        <v>3</v>
      </c>
      <c r="B82" s="86"/>
      <c r="C82" s="86"/>
      <c r="D82" s="86"/>
      <c r="E82" s="86"/>
      <c r="F82" s="23">
        <v>15898</v>
      </c>
      <c r="G82" s="9">
        <v>0.1</v>
      </c>
      <c r="H82" s="4">
        <f>F82*G82*12</f>
        <v>19077.600000000002</v>
      </c>
      <c r="I82" s="9">
        <f>H82*1.302-0.03</f>
        <v>24839.005200000003</v>
      </c>
      <c r="J82" s="9">
        <f>J75</f>
        <v>638</v>
      </c>
      <c r="K82" s="19">
        <f>I82/J82</f>
        <v>38.93261003134797</v>
      </c>
      <c r="L82" s="20"/>
    </row>
    <row r="83" spans="1:13" ht="18.75" hidden="1" customHeight="1" x14ac:dyDescent="0.25">
      <c r="A83" s="86" t="s">
        <v>45</v>
      </c>
      <c r="B83" s="86"/>
      <c r="C83" s="86"/>
      <c r="D83" s="86"/>
      <c r="E83" s="86"/>
      <c r="F83" s="23">
        <v>14309</v>
      </c>
      <c r="G83" s="9">
        <v>0.1</v>
      </c>
      <c r="H83" s="4">
        <f>F83*G83*12</f>
        <v>17170.800000000003</v>
      </c>
      <c r="I83" s="57">
        <f>H83*1.302</f>
        <v>22356.381600000004</v>
      </c>
      <c r="J83" s="9">
        <f>J82</f>
        <v>638</v>
      </c>
      <c r="K83" s="74">
        <f>I83/J83</f>
        <v>35.041350470219442</v>
      </c>
      <c r="L83" s="20"/>
    </row>
    <row r="84" spans="1:13" ht="15.75" thickBot="1" x14ac:dyDescent="0.3">
      <c r="A84" s="34" t="s">
        <v>24</v>
      </c>
      <c r="B84" s="34"/>
      <c r="C84" s="34"/>
      <c r="D84" s="34"/>
      <c r="E84" s="34"/>
      <c r="F84" s="43">
        <v>24988.5</v>
      </c>
      <c r="G84" s="43">
        <f>L35</f>
        <v>0.66120000000000001</v>
      </c>
      <c r="H84" s="75">
        <v>197908.92</v>
      </c>
      <c r="I84" s="72">
        <f>H84*1.302</f>
        <v>257677.41384000002</v>
      </c>
      <c r="J84" s="73">
        <f>F37</f>
        <v>638</v>
      </c>
      <c r="K84" s="72">
        <f>I84/J84</f>
        <v>403.88309379310351</v>
      </c>
      <c r="L84" s="27"/>
    </row>
    <row r="85" spans="1:13" ht="10.5" customHeight="1" x14ac:dyDescent="0.25">
      <c r="F85" s="35"/>
      <c r="G85" s="35"/>
      <c r="H85" s="35"/>
      <c r="I85" s="35"/>
      <c r="J85" s="35"/>
      <c r="K85" s="35"/>
      <c r="L85" s="35"/>
    </row>
    <row r="86" spans="1:13" s="8" customFormat="1" x14ac:dyDescent="0.25">
      <c r="A86" s="90" t="s">
        <v>67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1"/>
      <c r="M86" s="7"/>
    </row>
    <row r="87" spans="1:13" ht="49.5" customHeight="1" x14ac:dyDescent="0.25">
      <c r="A87" s="89" t="s">
        <v>69</v>
      </c>
      <c r="B87" s="89"/>
      <c r="C87" s="89"/>
      <c r="D87" s="89"/>
      <c r="E87" s="89"/>
      <c r="F87" s="18" t="s">
        <v>7</v>
      </c>
      <c r="G87" s="18" t="s">
        <v>59</v>
      </c>
      <c r="H87" s="18" t="s">
        <v>58</v>
      </c>
      <c r="I87" s="18" t="s">
        <v>64</v>
      </c>
      <c r="J87" s="18" t="s">
        <v>62</v>
      </c>
      <c r="K87" s="21" t="s">
        <v>63</v>
      </c>
      <c r="L87" s="28"/>
    </row>
    <row r="88" spans="1:13" ht="33" customHeight="1" thickBot="1" x14ac:dyDescent="0.3">
      <c r="A88" s="78" t="s">
        <v>66</v>
      </c>
      <c r="B88" s="79"/>
      <c r="C88" s="79"/>
      <c r="D88" s="79"/>
      <c r="E88" s="80"/>
      <c r="F88" s="9" t="s">
        <v>25</v>
      </c>
      <c r="G88" s="9">
        <v>11</v>
      </c>
      <c r="H88" s="4">
        <v>5525.3</v>
      </c>
      <c r="I88" s="57">
        <f>60778.32*32.56%</f>
        <v>19789.420991999999</v>
      </c>
      <c r="J88" s="9">
        <f>J83</f>
        <v>638</v>
      </c>
      <c r="K88" s="74">
        <f>I88/J88</f>
        <v>31.01790124137931</v>
      </c>
      <c r="L88" s="20"/>
    </row>
    <row r="89" spans="1:13" s="8" customFormat="1" ht="14.25" customHeight="1" thickBot="1" x14ac:dyDescent="0.3">
      <c r="A89" s="96" t="s">
        <v>68</v>
      </c>
      <c r="B89" s="97"/>
      <c r="C89" s="97"/>
      <c r="D89" s="97"/>
      <c r="E89" s="97"/>
      <c r="F89" s="97"/>
      <c r="G89" s="97"/>
      <c r="H89" s="97"/>
      <c r="I89" s="72">
        <f>SUM(I88:I88)</f>
        <v>19789.420991999999</v>
      </c>
      <c r="J89" s="73">
        <f>F37</f>
        <v>638</v>
      </c>
      <c r="K89" s="72">
        <f>SUM(K88:K88)</f>
        <v>31.01790124137931</v>
      </c>
      <c r="L89" s="27"/>
      <c r="M89" s="7">
        <f>I89+'Услуга №2'!I89+'Услуга №3'!I89</f>
        <v>60778.320000000007</v>
      </c>
    </row>
    <row r="90" spans="1:13" s="8" customFormat="1" ht="9" hidden="1" customHeight="1" x14ac:dyDescent="0.25">
      <c r="A90" s="36"/>
      <c r="B90" s="36"/>
      <c r="C90" s="36"/>
      <c r="D90" s="36"/>
      <c r="E90" s="36"/>
      <c r="F90" s="36"/>
      <c r="G90" s="36"/>
      <c r="H90" s="36"/>
      <c r="I90" s="12"/>
      <c r="J90" s="12"/>
      <c r="K90" s="12"/>
      <c r="L90" s="27"/>
      <c r="M90" s="7"/>
    </row>
    <row r="91" spans="1:13" s="8" customFormat="1" x14ac:dyDescent="0.25">
      <c r="A91" s="37"/>
      <c r="B91" s="37"/>
      <c r="C91" s="37"/>
      <c r="D91" s="37"/>
      <c r="E91" s="37"/>
      <c r="F91" s="37"/>
      <c r="G91" s="37"/>
      <c r="H91" s="37"/>
      <c r="I91" s="13"/>
      <c r="J91" s="13"/>
      <c r="K91" s="13"/>
      <c r="L91" s="27"/>
      <c r="M91" s="7"/>
    </row>
    <row r="92" spans="1:13" s="8" customFormat="1" hidden="1" x14ac:dyDescent="0.25">
      <c r="A92" s="90" t="s">
        <v>93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1"/>
      <c r="M92" s="7"/>
    </row>
    <row r="93" spans="1:13" ht="49.5" hidden="1" customHeight="1" x14ac:dyDescent="0.25">
      <c r="A93" s="89" t="s">
        <v>69</v>
      </c>
      <c r="B93" s="89"/>
      <c r="C93" s="89"/>
      <c r="D93" s="89"/>
      <c r="E93" s="89"/>
      <c r="F93" s="18" t="s">
        <v>7</v>
      </c>
      <c r="G93" s="18" t="s">
        <v>59</v>
      </c>
      <c r="H93" s="18" t="s">
        <v>58</v>
      </c>
      <c r="I93" s="18" t="s">
        <v>64</v>
      </c>
      <c r="J93" s="18" t="s">
        <v>62</v>
      </c>
      <c r="K93" s="21" t="s">
        <v>63</v>
      </c>
      <c r="L93" s="28"/>
    </row>
    <row r="94" spans="1:13" hidden="1" x14ac:dyDescent="0.25">
      <c r="A94" s="86" t="s">
        <v>94</v>
      </c>
      <c r="B94" s="86"/>
      <c r="C94" s="86"/>
      <c r="D94" s="86"/>
      <c r="E94" s="86"/>
      <c r="F94" s="9"/>
      <c r="G94" s="9"/>
      <c r="H94" s="4"/>
      <c r="I94" s="9">
        <v>0</v>
      </c>
      <c r="J94" s="9">
        <f>J89</f>
        <v>638</v>
      </c>
      <c r="K94" s="19">
        <f>I94/J94</f>
        <v>0</v>
      </c>
      <c r="L94" s="20"/>
    </row>
    <row r="95" spans="1:13" s="8" customFormat="1" hidden="1" x14ac:dyDescent="0.25">
      <c r="A95" s="92" t="s">
        <v>95</v>
      </c>
      <c r="B95" s="92"/>
      <c r="C95" s="92"/>
      <c r="D95" s="92"/>
      <c r="E95" s="92"/>
      <c r="F95" s="92"/>
      <c r="G95" s="92"/>
      <c r="H95" s="92"/>
      <c r="I95" s="6">
        <f>SUM(I94:I94)</f>
        <v>0</v>
      </c>
      <c r="J95" s="6">
        <f>F37</f>
        <v>638</v>
      </c>
      <c r="K95" s="6">
        <f>SUM(K94:K94)</f>
        <v>0</v>
      </c>
      <c r="L95" s="20"/>
      <c r="M95" s="7"/>
    </row>
    <row r="96" spans="1:13" s="47" customFormat="1" hidden="1" x14ac:dyDescent="0.25">
      <c r="A96" s="36"/>
      <c r="B96" s="36"/>
      <c r="C96" s="36"/>
      <c r="D96" s="36"/>
      <c r="E96" s="36"/>
      <c r="F96" s="36"/>
      <c r="G96" s="36"/>
      <c r="H96" s="36"/>
      <c r="I96" s="12"/>
      <c r="J96" s="12"/>
      <c r="K96" s="12"/>
      <c r="L96" s="27"/>
      <c r="M96" s="27"/>
    </row>
    <row r="97" spans="1:13" s="47" customFormat="1" x14ac:dyDescent="0.25">
      <c r="A97" s="36"/>
      <c r="B97" s="36"/>
      <c r="C97" s="36"/>
      <c r="D97" s="36"/>
      <c r="E97" s="36"/>
      <c r="F97" s="36"/>
      <c r="G97" s="36"/>
      <c r="H97" s="36"/>
      <c r="I97" s="12"/>
      <c r="J97" s="12"/>
      <c r="K97" s="12"/>
      <c r="L97" s="27"/>
      <c r="M97" s="27"/>
    </row>
    <row r="98" spans="1:13" s="8" customFormat="1" x14ac:dyDescent="0.25">
      <c r="A98" s="90" t="s">
        <v>96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1"/>
      <c r="M98" s="7"/>
    </row>
    <row r="99" spans="1:13" ht="49.5" customHeight="1" x14ac:dyDescent="0.25">
      <c r="A99" s="89" t="s">
        <v>69</v>
      </c>
      <c r="B99" s="89"/>
      <c r="C99" s="89"/>
      <c r="D99" s="89"/>
      <c r="E99" s="89"/>
      <c r="F99" s="18" t="s">
        <v>7</v>
      </c>
      <c r="G99" s="18" t="s">
        <v>59</v>
      </c>
      <c r="H99" s="18" t="s">
        <v>58</v>
      </c>
      <c r="I99" s="18" t="s">
        <v>64</v>
      </c>
      <c r="J99" s="18" t="s">
        <v>62</v>
      </c>
      <c r="K99" s="21" t="s">
        <v>63</v>
      </c>
      <c r="L99" s="28"/>
    </row>
    <row r="100" spans="1:13" ht="15.75" thickBot="1" x14ac:dyDescent="0.3">
      <c r="A100" s="86" t="s">
        <v>97</v>
      </c>
      <c r="B100" s="86"/>
      <c r="C100" s="86"/>
      <c r="D100" s="86"/>
      <c r="E100" s="86"/>
      <c r="F100" s="9"/>
      <c r="G100" s="9"/>
      <c r="H100" s="4"/>
      <c r="I100" s="57">
        <f>35700*32.56%</f>
        <v>11623.92</v>
      </c>
      <c r="J100" s="9">
        <f>J89</f>
        <v>638</v>
      </c>
      <c r="K100" s="74">
        <f>I100/J100</f>
        <v>18.219310344827587</v>
      </c>
      <c r="L100" s="20"/>
    </row>
    <row r="101" spans="1:13" s="8" customFormat="1" ht="15.75" thickBot="1" x14ac:dyDescent="0.3">
      <c r="A101" s="96" t="s">
        <v>99</v>
      </c>
      <c r="B101" s="97"/>
      <c r="C101" s="97"/>
      <c r="D101" s="97"/>
      <c r="E101" s="97"/>
      <c r="F101" s="97"/>
      <c r="G101" s="97"/>
      <c r="H101" s="97"/>
      <c r="I101" s="72">
        <f>SUM(I100:I100)</f>
        <v>11623.92</v>
      </c>
      <c r="J101" s="73">
        <f>F37</f>
        <v>638</v>
      </c>
      <c r="K101" s="72">
        <f>SUM(K100:K100)</f>
        <v>18.219310344827587</v>
      </c>
      <c r="L101" s="27"/>
      <c r="M101" s="7">
        <f>I101+'Услуга №2'!I101+'Услуга №3'!I101</f>
        <v>35700</v>
      </c>
    </row>
    <row r="102" spans="1:13" s="8" customFormat="1" x14ac:dyDescent="0.25">
      <c r="A102" s="37"/>
      <c r="B102" s="37"/>
      <c r="C102" s="37"/>
      <c r="D102" s="37"/>
      <c r="E102" s="37"/>
      <c r="F102" s="37"/>
      <c r="G102" s="37"/>
      <c r="H102" s="37"/>
      <c r="I102" s="13"/>
      <c r="J102" s="13"/>
      <c r="K102" s="13"/>
      <c r="L102" s="27"/>
      <c r="M102" s="7"/>
    </row>
    <row r="103" spans="1:13" s="8" customFormat="1" x14ac:dyDescent="0.25">
      <c r="A103" s="90" t="s">
        <v>98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1"/>
      <c r="M103" s="7"/>
    </row>
    <row r="104" spans="1:13" ht="49.5" customHeight="1" x14ac:dyDescent="0.25">
      <c r="A104" s="89" t="s">
        <v>69</v>
      </c>
      <c r="B104" s="89"/>
      <c r="C104" s="89"/>
      <c r="D104" s="89"/>
      <c r="E104" s="89"/>
      <c r="F104" s="18" t="s">
        <v>7</v>
      </c>
      <c r="G104" s="18" t="s">
        <v>59</v>
      </c>
      <c r="H104" s="18" t="s">
        <v>58</v>
      </c>
      <c r="I104" s="18" t="s">
        <v>64</v>
      </c>
      <c r="J104" s="18" t="s">
        <v>62</v>
      </c>
      <c r="K104" s="21" t="s">
        <v>63</v>
      </c>
      <c r="L104" s="28"/>
    </row>
    <row r="105" spans="1:13" ht="15.75" thickBot="1" x14ac:dyDescent="0.3">
      <c r="A105" s="86" t="s">
        <v>100</v>
      </c>
      <c r="B105" s="86"/>
      <c r="C105" s="86"/>
      <c r="D105" s="86"/>
      <c r="E105" s="86"/>
      <c r="F105" s="9"/>
      <c r="G105" s="9"/>
      <c r="H105" s="4"/>
      <c r="I105" s="57">
        <f>64300*32.56%</f>
        <v>20936.080000000002</v>
      </c>
      <c r="J105" s="9">
        <f>J101</f>
        <v>638</v>
      </c>
      <c r="K105" s="74">
        <f>I105/J105</f>
        <v>32.815172413793107</v>
      </c>
      <c r="L105" s="20"/>
    </row>
    <row r="106" spans="1:13" s="8" customFormat="1" ht="15.75" thickBot="1" x14ac:dyDescent="0.3">
      <c r="A106" s="96" t="s">
        <v>101</v>
      </c>
      <c r="B106" s="97"/>
      <c r="C106" s="97"/>
      <c r="D106" s="97"/>
      <c r="E106" s="97"/>
      <c r="F106" s="97"/>
      <c r="G106" s="97"/>
      <c r="H106" s="97"/>
      <c r="I106" s="72">
        <f>SUM(I105:I105)</f>
        <v>20936.080000000002</v>
      </c>
      <c r="J106" s="73">
        <f>F37</f>
        <v>638</v>
      </c>
      <c r="K106" s="72">
        <f>SUM(K105:K105)</f>
        <v>32.815172413793107</v>
      </c>
      <c r="L106" s="27"/>
      <c r="M106" s="7">
        <f>I106+'Услуга №2'!I106+'Услуга №3'!I106</f>
        <v>64300</v>
      </c>
    </row>
    <row r="107" spans="1:13" x14ac:dyDescent="0.25">
      <c r="F107" s="35"/>
      <c r="G107" s="35"/>
      <c r="H107" s="35"/>
      <c r="I107" s="35"/>
      <c r="J107" s="35"/>
      <c r="K107" s="35"/>
      <c r="L107" s="35"/>
    </row>
    <row r="108" spans="1:13" x14ac:dyDescent="0.25">
      <c r="A108" s="87" t="s">
        <v>26</v>
      </c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</row>
    <row r="109" spans="1:13" hidden="1" x14ac:dyDescent="0.25"/>
    <row r="110" spans="1:13" ht="15" customHeight="1" x14ac:dyDescent="0.25">
      <c r="A110" s="88" t="s">
        <v>27</v>
      </c>
      <c r="B110" s="88"/>
      <c r="C110" s="88"/>
      <c r="D110" s="83" t="s">
        <v>28</v>
      </c>
      <c r="E110" s="84"/>
      <c r="F110" s="84"/>
      <c r="G110" s="84"/>
      <c r="H110" s="84"/>
      <c r="I110" s="84"/>
      <c r="J110" s="85"/>
      <c r="K110" s="88" t="s">
        <v>39</v>
      </c>
      <c r="L110" s="88"/>
    </row>
    <row r="111" spans="1:13" ht="30" x14ac:dyDescent="0.25">
      <c r="A111" s="9" t="s">
        <v>29</v>
      </c>
      <c r="B111" s="22" t="s">
        <v>30</v>
      </c>
      <c r="C111" s="9" t="s">
        <v>31</v>
      </c>
      <c r="D111" s="9" t="s">
        <v>32</v>
      </c>
      <c r="E111" s="9" t="s">
        <v>33</v>
      </c>
      <c r="F111" s="9" t="s">
        <v>34</v>
      </c>
      <c r="G111" s="9" t="s">
        <v>35</v>
      </c>
      <c r="H111" s="9" t="s">
        <v>36</v>
      </c>
      <c r="I111" s="9" t="s">
        <v>37</v>
      </c>
      <c r="J111" s="9" t="s">
        <v>38</v>
      </c>
      <c r="K111" s="88"/>
      <c r="L111" s="88"/>
    </row>
    <row r="112" spans="1:13" x14ac:dyDescent="0.25">
      <c r="A112" s="9">
        <f>K54</f>
        <v>3814.8956925391844</v>
      </c>
      <c r="B112" s="9"/>
      <c r="C112" s="9"/>
      <c r="D112" s="9">
        <f>K63</f>
        <v>252.38682960501566</v>
      </c>
      <c r="E112" s="9">
        <f>K71</f>
        <v>40.329897931034481</v>
      </c>
      <c r="F112" s="9"/>
      <c r="G112" s="9">
        <f>K78</f>
        <v>37.663448275862066</v>
      </c>
      <c r="H112" s="9">
        <v>0</v>
      </c>
      <c r="I112" s="9">
        <f>K84</f>
        <v>403.88309379310351</v>
      </c>
      <c r="J112" s="9">
        <f>K89+K95+K101+K106</f>
        <v>82.052384000000004</v>
      </c>
      <c r="K112" s="81">
        <f>SUM(A112:J112)</f>
        <v>4631.2113461441995</v>
      </c>
      <c r="L112" s="82"/>
    </row>
    <row r="114" spans="1:12" ht="15.75" thickBot="1" x14ac:dyDescent="0.3">
      <c r="A114" s="38"/>
      <c r="B114" s="39"/>
      <c r="C114" s="40"/>
      <c r="D114" s="1"/>
      <c r="E114" s="1"/>
      <c r="F114" s="1"/>
    </row>
    <row r="115" spans="1:12" ht="16.5" thickBot="1" x14ac:dyDescent="0.3">
      <c r="A115" s="14" t="s">
        <v>55</v>
      </c>
      <c r="B115" s="14"/>
      <c r="C115" s="14"/>
      <c r="D115" s="14"/>
      <c r="E115" s="14"/>
      <c r="F115" s="41"/>
      <c r="G115" s="41" t="s">
        <v>57</v>
      </c>
      <c r="H115" s="41"/>
      <c r="I115" s="76">
        <f>I89+I78+I71+I63+I54+I95+I101+I106+I84-0.01</f>
        <v>2954712.8288400001</v>
      </c>
      <c r="L115" s="76">
        <f>K112*J105-0.01</f>
        <v>2954712.8288399996</v>
      </c>
    </row>
    <row r="116" spans="1:12" ht="15.75" x14ac:dyDescent="0.25">
      <c r="A116" s="42"/>
      <c r="B116" s="14"/>
      <c r="C116" s="2"/>
      <c r="D116" s="2"/>
      <c r="E116" s="2"/>
      <c r="F116" s="2"/>
    </row>
    <row r="118" spans="1:12" ht="15.75" x14ac:dyDescent="0.25">
      <c r="A118" s="42" t="s">
        <v>102</v>
      </c>
      <c r="B118" s="14"/>
      <c r="C118" s="42"/>
      <c r="D118" s="14"/>
    </row>
    <row r="119" spans="1:12" ht="15.75" x14ac:dyDescent="0.25">
      <c r="A119" s="42" t="s">
        <v>56</v>
      </c>
      <c r="B119" s="14"/>
      <c r="C119" s="42"/>
      <c r="D119" s="14"/>
    </row>
  </sheetData>
  <mergeCells count="105">
    <mergeCell ref="A77:E77"/>
    <mergeCell ref="A71:H71"/>
    <mergeCell ref="A78:H78"/>
    <mergeCell ref="A86:L86"/>
    <mergeCell ref="A101:H101"/>
    <mergeCell ref="A103:L103"/>
    <mergeCell ref="A104:E104"/>
    <mergeCell ref="A51:E51"/>
    <mergeCell ref="A73:L73"/>
    <mergeCell ref="A53:E53"/>
    <mergeCell ref="A89:H89"/>
    <mergeCell ref="A50:E50"/>
    <mergeCell ref="A44:E44"/>
    <mergeCell ref="A70:E70"/>
    <mergeCell ref="A69:E69"/>
    <mergeCell ref="A61:E61"/>
    <mergeCell ref="A65:L65"/>
    <mergeCell ref="A66:E66"/>
    <mergeCell ref="A67:E67"/>
    <mergeCell ref="A68:E68"/>
    <mergeCell ref="A59:E59"/>
    <mergeCell ref="A60:E60"/>
    <mergeCell ref="A62:E62"/>
    <mergeCell ref="A46:E46"/>
    <mergeCell ref="A47:E47"/>
    <mergeCell ref="A56:L56"/>
    <mergeCell ref="A58:E58"/>
    <mergeCell ref="A63:H63"/>
    <mergeCell ref="A45:E45"/>
    <mergeCell ref="A48:E48"/>
    <mergeCell ref="A49:E49"/>
    <mergeCell ref="A57:E57"/>
    <mergeCell ref="A52:E52"/>
    <mergeCell ref="A43:E43"/>
    <mergeCell ref="G20:K20"/>
    <mergeCell ref="A21:E21"/>
    <mergeCell ref="G21:K21"/>
    <mergeCell ref="A22:E22"/>
    <mergeCell ref="G22:K22"/>
    <mergeCell ref="A35:E35"/>
    <mergeCell ref="G35:K35"/>
    <mergeCell ref="A25:E25"/>
    <mergeCell ref="G25:K25"/>
    <mergeCell ref="A29:E29"/>
    <mergeCell ref="G29:K29"/>
    <mergeCell ref="A26:E26"/>
    <mergeCell ref="G26:K26"/>
    <mergeCell ref="A27:E27"/>
    <mergeCell ref="G27:K27"/>
    <mergeCell ref="A28:E28"/>
    <mergeCell ref="G34:K34"/>
    <mergeCell ref="A40:E40"/>
    <mergeCell ref="A42:E42"/>
    <mergeCell ref="G32:K32"/>
    <mergeCell ref="A33:E33"/>
    <mergeCell ref="A34:E34"/>
    <mergeCell ref="A31:E31"/>
    <mergeCell ref="G31:K31"/>
    <mergeCell ref="A32:E32"/>
    <mergeCell ref="A41:E41"/>
    <mergeCell ref="A4:E4"/>
    <mergeCell ref="A6:E6"/>
    <mergeCell ref="A8:L8"/>
    <mergeCell ref="A9:L9"/>
    <mergeCell ref="A10:L10"/>
    <mergeCell ref="A30:E30"/>
    <mergeCell ref="G30:K30"/>
    <mergeCell ref="G33:K33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A20:E20"/>
    <mergeCell ref="G28:K28"/>
    <mergeCell ref="A38:E38"/>
    <mergeCell ref="A39:E39"/>
    <mergeCell ref="K112:L112"/>
    <mergeCell ref="A74:E74"/>
    <mergeCell ref="A75:E75"/>
    <mergeCell ref="A80:L80"/>
    <mergeCell ref="A81:E81"/>
    <mergeCell ref="A82:E82"/>
    <mergeCell ref="A83:E83"/>
    <mergeCell ref="A88:E88"/>
    <mergeCell ref="A110:C110"/>
    <mergeCell ref="K110:L111"/>
    <mergeCell ref="A87:E87"/>
    <mergeCell ref="D110:J110"/>
    <mergeCell ref="A108:L108"/>
    <mergeCell ref="A92:L92"/>
    <mergeCell ref="A93:E93"/>
    <mergeCell ref="A94:E94"/>
    <mergeCell ref="A95:H95"/>
    <mergeCell ref="A76:E76"/>
    <mergeCell ref="A105:E105"/>
    <mergeCell ref="A106:H106"/>
    <mergeCell ref="A98:L98"/>
    <mergeCell ref="A99:E99"/>
    <mergeCell ref="A100:E100"/>
  </mergeCells>
  <pageMargins left="0.70866141732283472" right="0.47" top="0.26" bottom="0.31" header="0.26" footer="0.2"/>
  <pageSetup paperSize="9" scale="8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topLeftCell="A84" zoomScale="90" zoomScaleNormal="90" workbookViewId="0">
      <selection activeCell="I53" sqref="I53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2.57031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4.71093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4" t="s">
        <v>51</v>
      </c>
      <c r="B1" s="14"/>
      <c r="C1" s="14"/>
    </row>
    <row r="2" spans="1:12" ht="15.75" x14ac:dyDescent="0.25">
      <c r="A2" s="15" t="s">
        <v>52</v>
      </c>
      <c r="B2" s="15"/>
      <c r="C2" s="15"/>
    </row>
    <row r="3" spans="1:12" ht="12.75" customHeight="1" x14ac:dyDescent="0.25">
      <c r="A3" s="16"/>
      <c r="B3" s="16"/>
      <c r="C3" s="16"/>
    </row>
    <row r="4" spans="1:12" ht="15.75" x14ac:dyDescent="0.25">
      <c r="A4" s="100" t="s">
        <v>53</v>
      </c>
      <c r="B4" s="100"/>
      <c r="C4" s="100"/>
      <c r="D4" s="101"/>
      <c r="E4" s="101"/>
    </row>
    <row r="5" spans="1:12" ht="12.75" customHeight="1" x14ac:dyDescent="0.25">
      <c r="A5" s="15"/>
      <c r="B5" s="15"/>
      <c r="C5" s="15"/>
    </row>
    <row r="6" spans="1:12" ht="15.75" x14ac:dyDescent="0.25">
      <c r="A6" s="102" t="s">
        <v>54</v>
      </c>
      <c r="B6" s="102"/>
      <c r="C6" s="102"/>
      <c r="D6" s="101"/>
      <c r="E6" s="101"/>
    </row>
    <row r="8" spans="1:12" ht="15.75" x14ac:dyDescent="0.25">
      <c r="A8" s="103" t="s">
        <v>50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</row>
    <row r="9" spans="1:12" ht="15.75" x14ac:dyDescent="0.25">
      <c r="A9" s="103" t="s">
        <v>88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ht="15.75" customHeight="1" x14ac:dyDescent="0.25">
      <c r="A10" s="103" t="s">
        <v>103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2" spans="1:12" x14ac:dyDescent="0.25">
      <c r="A12" s="68" t="s">
        <v>109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</row>
    <row r="13" spans="1:12" x14ac:dyDescent="0.25">
      <c r="A13" s="68" t="s">
        <v>110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x14ac:dyDescent="0.25">
      <c r="A14" s="68" t="s">
        <v>111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7.25" customHeight="1" x14ac:dyDescent="0.25">
      <c r="A15" s="68" t="s">
        <v>104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ht="33" customHeight="1" x14ac:dyDescent="0.25">
      <c r="A16" s="104" t="s">
        <v>0</v>
      </c>
      <c r="B16" s="104"/>
      <c r="C16" s="104"/>
      <c r="D16" s="104"/>
      <c r="E16" s="104"/>
      <c r="F16" s="67" t="s">
        <v>1</v>
      </c>
      <c r="G16" s="104" t="s">
        <v>2</v>
      </c>
      <c r="H16" s="104"/>
      <c r="I16" s="104"/>
      <c r="J16" s="104"/>
      <c r="K16" s="104"/>
      <c r="L16" s="23" t="s">
        <v>1</v>
      </c>
    </row>
    <row r="17" spans="1:12" ht="30.75" customHeight="1" x14ac:dyDescent="0.25">
      <c r="A17" s="105" t="s">
        <v>46</v>
      </c>
      <c r="B17" s="106"/>
      <c r="C17" s="106"/>
      <c r="D17" s="106"/>
      <c r="E17" s="107"/>
      <c r="F17" s="23">
        <f>1*33.72%</f>
        <v>0.3372</v>
      </c>
      <c r="G17" s="99" t="s">
        <v>3</v>
      </c>
      <c r="H17" s="99"/>
      <c r="I17" s="99"/>
      <c r="J17" s="99"/>
      <c r="K17" s="99"/>
      <c r="L17" s="23">
        <f>1*33.72%</f>
        <v>0.3372</v>
      </c>
    </row>
    <row r="18" spans="1:12" ht="15" customHeight="1" x14ac:dyDescent="0.25">
      <c r="A18" s="98" t="s">
        <v>73</v>
      </c>
      <c r="B18" s="98"/>
      <c r="C18" s="98"/>
      <c r="D18" s="98"/>
      <c r="E18" s="98"/>
      <c r="F18" s="23">
        <f>1*33.72%</f>
        <v>0.3372</v>
      </c>
      <c r="G18" s="99" t="s">
        <v>47</v>
      </c>
      <c r="H18" s="99"/>
      <c r="I18" s="99"/>
      <c r="J18" s="99"/>
      <c r="K18" s="99"/>
      <c r="L18" s="23">
        <f>1*33.72%</f>
        <v>0.3372</v>
      </c>
    </row>
    <row r="19" spans="1:12" ht="15" customHeight="1" x14ac:dyDescent="0.25">
      <c r="A19" s="98" t="s">
        <v>76</v>
      </c>
      <c r="B19" s="98"/>
      <c r="C19" s="98"/>
      <c r="D19" s="98"/>
      <c r="E19" s="98"/>
      <c r="F19" s="23">
        <f>1*33.72%</f>
        <v>0.3372</v>
      </c>
      <c r="G19" s="98"/>
      <c r="H19" s="98"/>
      <c r="I19" s="98"/>
      <c r="J19" s="98"/>
      <c r="K19" s="98"/>
      <c r="L19" s="23"/>
    </row>
    <row r="20" spans="1:12" ht="15" customHeight="1" x14ac:dyDescent="0.25">
      <c r="A20" s="98" t="s">
        <v>71</v>
      </c>
      <c r="B20" s="98"/>
      <c r="C20" s="98"/>
      <c r="D20" s="98"/>
      <c r="E20" s="98"/>
      <c r="F20" s="23">
        <f>1*33.72%</f>
        <v>0.3372</v>
      </c>
      <c r="G20" s="98"/>
      <c r="H20" s="98"/>
      <c r="I20" s="98"/>
      <c r="J20" s="98"/>
      <c r="K20" s="98"/>
      <c r="L20" s="23"/>
    </row>
    <row r="21" spans="1:12" ht="14.25" customHeight="1" x14ac:dyDescent="0.25">
      <c r="A21" s="98" t="s">
        <v>74</v>
      </c>
      <c r="B21" s="98"/>
      <c r="C21" s="98"/>
      <c r="D21" s="98"/>
      <c r="E21" s="98"/>
      <c r="F21" s="23">
        <f>0.5*33.72%</f>
        <v>0.1686</v>
      </c>
      <c r="G21" s="99"/>
      <c r="H21" s="99"/>
      <c r="I21" s="99"/>
      <c r="J21" s="99"/>
      <c r="K21" s="99"/>
      <c r="L21" s="23"/>
    </row>
    <row r="22" spans="1:12" ht="15" customHeight="1" x14ac:dyDescent="0.25">
      <c r="A22" s="98" t="s">
        <v>78</v>
      </c>
      <c r="B22" s="98"/>
      <c r="C22" s="98"/>
      <c r="D22" s="98"/>
      <c r="E22" s="98"/>
      <c r="F22" s="23">
        <f>1*33.72%</f>
        <v>0.3372</v>
      </c>
      <c r="G22" s="99"/>
      <c r="H22" s="99"/>
      <c r="I22" s="99"/>
      <c r="J22" s="99"/>
      <c r="K22" s="99"/>
      <c r="L22" s="23"/>
    </row>
    <row r="23" spans="1:12" ht="15" customHeight="1" x14ac:dyDescent="0.25">
      <c r="A23" s="99" t="s">
        <v>41</v>
      </c>
      <c r="B23" s="99"/>
      <c r="C23" s="99"/>
      <c r="D23" s="99"/>
      <c r="E23" s="99"/>
      <c r="F23" s="23">
        <f>0.23*33.72%</f>
        <v>7.7556E-2</v>
      </c>
      <c r="G23" s="99"/>
      <c r="H23" s="99"/>
      <c r="I23" s="99"/>
      <c r="J23" s="99"/>
      <c r="K23" s="99"/>
      <c r="L23" s="23"/>
    </row>
    <row r="24" spans="1:12" ht="15" customHeight="1" x14ac:dyDescent="0.25">
      <c r="A24" s="111" t="s">
        <v>79</v>
      </c>
      <c r="B24" s="112"/>
      <c r="C24" s="112"/>
      <c r="D24" s="112"/>
      <c r="E24" s="113"/>
      <c r="F24" s="23">
        <f>1*33.72%</f>
        <v>0.3372</v>
      </c>
      <c r="G24" s="99"/>
      <c r="H24" s="99"/>
      <c r="I24" s="99"/>
      <c r="J24" s="99"/>
      <c r="K24" s="99"/>
      <c r="L24" s="66"/>
    </row>
    <row r="25" spans="1:12" x14ac:dyDescent="0.25">
      <c r="A25" s="98" t="s">
        <v>70</v>
      </c>
      <c r="B25" s="98"/>
      <c r="C25" s="98"/>
      <c r="D25" s="98"/>
      <c r="E25" s="98"/>
      <c r="F25" s="23">
        <f>1*33.72%</f>
        <v>0.3372</v>
      </c>
      <c r="G25" s="98"/>
      <c r="H25" s="98"/>
      <c r="I25" s="98"/>
      <c r="J25" s="98"/>
      <c r="K25" s="98"/>
      <c r="L25" s="23"/>
    </row>
    <row r="26" spans="1:12" ht="15" customHeight="1" x14ac:dyDescent="0.25">
      <c r="A26" s="98" t="s">
        <v>80</v>
      </c>
      <c r="B26" s="98"/>
      <c r="C26" s="98"/>
      <c r="D26" s="98"/>
      <c r="E26" s="98"/>
      <c r="F26" s="23">
        <f>1*33.72%</f>
        <v>0.3372</v>
      </c>
      <c r="G26" s="98"/>
      <c r="H26" s="98"/>
      <c r="I26" s="98"/>
      <c r="J26" s="98"/>
      <c r="K26" s="98"/>
      <c r="L26" s="23"/>
    </row>
    <row r="27" spans="1:12" x14ac:dyDescent="0.25">
      <c r="A27" s="99" t="s">
        <v>48</v>
      </c>
      <c r="B27" s="99"/>
      <c r="C27" s="99"/>
      <c r="D27" s="99"/>
      <c r="E27" s="99"/>
      <c r="F27" s="23">
        <f>3*33.72%</f>
        <v>1.0116000000000001</v>
      </c>
      <c r="G27" s="98"/>
      <c r="H27" s="98"/>
      <c r="I27" s="98"/>
      <c r="J27" s="98"/>
      <c r="K27" s="98"/>
      <c r="L27" s="23"/>
    </row>
    <row r="28" spans="1:12" ht="15" customHeight="1" x14ac:dyDescent="0.25">
      <c r="A28" s="99" t="s">
        <v>77</v>
      </c>
      <c r="B28" s="99"/>
      <c r="C28" s="99"/>
      <c r="D28" s="99"/>
      <c r="E28" s="99"/>
      <c r="F28" s="23">
        <f>1*33.72%</f>
        <v>0.3372</v>
      </c>
      <c r="G28" s="99"/>
      <c r="H28" s="99"/>
      <c r="I28" s="99"/>
      <c r="J28" s="99"/>
      <c r="K28" s="99"/>
      <c r="L28" s="66"/>
    </row>
    <row r="29" spans="1:12" x14ac:dyDescent="0.25">
      <c r="A29" s="99" t="s">
        <v>72</v>
      </c>
      <c r="B29" s="99"/>
      <c r="C29" s="99"/>
      <c r="D29" s="99"/>
      <c r="E29" s="99"/>
      <c r="F29" s="23">
        <f>1*33.72%</f>
        <v>0.3372</v>
      </c>
      <c r="G29" s="98"/>
      <c r="H29" s="98"/>
      <c r="I29" s="98"/>
      <c r="J29" s="98"/>
      <c r="K29" s="98"/>
      <c r="L29" s="23"/>
    </row>
    <row r="30" spans="1:12" ht="15" customHeight="1" x14ac:dyDescent="0.25">
      <c r="A30" s="99" t="s">
        <v>75</v>
      </c>
      <c r="B30" s="99"/>
      <c r="C30" s="99"/>
      <c r="D30" s="99"/>
      <c r="E30" s="99"/>
      <c r="F30" s="23">
        <f>2.87*33.72%</f>
        <v>0.96776400000000007</v>
      </c>
      <c r="G30" s="98"/>
      <c r="H30" s="98"/>
      <c r="I30" s="98"/>
      <c r="J30" s="98"/>
      <c r="K30" s="98"/>
      <c r="L30" s="23"/>
    </row>
    <row r="31" spans="1:12" ht="15.75" thickBot="1" x14ac:dyDescent="0.3">
      <c r="A31" s="99" t="s">
        <v>49</v>
      </c>
      <c r="B31" s="99"/>
      <c r="C31" s="99"/>
      <c r="D31" s="99"/>
      <c r="E31" s="99"/>
      <c r="F31" s="23">
        <f>1.5*33.72%</f>
        <v>0.50580000000000003</v>
      </c>
      <c r="G31" s="98"/>
      <c r="H31" s="98"/>
      <c r="I31" s="98"/>
      <c r="J31" s="98"/>
      <c r="K31" s="98"/>
      <c r="L31" s="23"/>
    </row>
    <row r="32" spans="1:12" hidden="1" x14ac:dyDescent="0.25">
      <c r="A32" s="111"/>
      <c r="B32" s="112"/>
      <c r="C32" s="112"/>
      <c r="D32" s="112"/>
      <c r="E32" s="113"/>
      <c r="F32" s="23"/>
      <c r="G32" s="98"/>
      <c r="H32" s="98"/>
      <c r="I32" s="98"/>
      <c r="J32" s="98"/>
      <c r="K32" s="98"/>
      <c r="L32" s="23"/>
    </row>
    <row r="33" spans="1:12" ht="9.75" hidden="1" customHeight="1" x14ac:dyDescent="0.25">
      <c r="A33" s="111"/>
      <c r="B33" s="112"/>
      <c r="C33" s="112"/>
      <c r="D33" s="112"/>
      <c r="E33" s="113"/>
      <c r="F33" s="64"/>
      <c r="G33" s="105"/>
      <c r="H33" s="106"/>
      <c r="I33" s="106"/>
      <c r="J33" s="106"/>
      <c r="K33" s="107"/>
      <c r="L33" s="64"/>
    </row>
    <row r="34" spans="1:12" ht="15.75" thickBot="1" x14ac:dyDescent="0.3">
      <c r="A34" s="108" t="s">
        <v>4</v>
      </c>
      <c r="B34" s="108"/>
      <c r="C34" s="108"/>
      <c r="D34" s="108"/>
      <c r="E34" s="109"/>
      <c r="F34" s="65">
        <f>SUM(F17:F33)+0.04+0.43</f>
        <v>6.5733199999999998</v>
      </c>
      <c r="G34" s="110" t="s">
        <v>4</v>
      </c>
      <c r="H34" s="108"/>
      <c r="I34" s="108"/>
      <c r="J34" s="108"/>
      <c r="K34" s="109"/>
      <c r="L34" s="65">
        <f>SUM(L17:L33)+0.01</f>
        <v>0.68440000000000001</v>
      </c>
    </row>
    <row r="35" spans="1:12" ht="15.75" thickBot="1" x14ac:dyDescent="0.3"/>
    <row r="36" spans="1:12" ht="15.75" thickBot="1" x14ac:dyDescent="0.3">
      <c r="A36" s="17" t="s">
        <v>65</v>
      </c>
      <c r="F36" s="58">
        <v>661</v>
      </c>
    </row>
    <row r="37" spans="1:12" ht="60.75" thickBot="1" x14ac:dyDescent="0.3">
      <c r="A37" s="83" t="s">
        <v>5</v>
      </c>
      <c r="B37" s="84"/>
      <c r="C37" s="84"/>
      <c r="D37" s="84"/>
      <c r="E37" s="85"/>
      <c r="F37" s="62" t="s">
        <v>6</v>
      </c>
      <c r="G37" s="18" t="s">
        <v>1</v>
      </c>
      <c r="H37" s="18" t="s">
        <v>60</v>
      </c>
      <c r="I37" s="18" t="s">
        <v>61</v>
      </c>
      <c r="J37" s="18" t="s">
        <v>62</v>
      </c>
      <c r="K37" s="44" t="s">
        <v>63</v>
      </c>
      <c r="L37" s="31"/>
    </row>
    <row r="38" spans="1:12" ht="30.75" hidden="1" customHeight="1" x14ac:dyDescent="0.25">
      <c r="A38" s="78" t="s">
        <v>46</v>
      </c>
      <c r="B38" s="79"/>
      <c r="C38" s="79"/>
      <c r="D38" s="79"/>
      <c r="E38" s="80"/>
      <c r="F38" s="23">
        <f>'Услуга №1 '!F39</f>
        <v>11538</v>
      </c>
      <c r="G38" s="9">
        <v>0.89</v>
      </c>
      <c r="H38" s="4">
        <f>G38*F38*12</f>
        <v>123225.84</v>
      </c>
      <c r="I38" s="4">
        <f>H38*1.302</f>
        <v>160440.04368</v>
      </c>
      <c r="J38" s="9">
        <f>F36</f>
        <v>661</v>
      </c>
      <c r="K38" s="9">
        <f>I38/J38</f>
        <v>242.7232128290469</v>
      </c>
      <c r="L38" s="27"/>
    </row>
    <row r="39" spans="1:12" ht="14.25" hidden="1" customHeight="1" x14ac:dyDescent="0.25">
      <c r="A39" s="86" t="s">
        <v>73</v>
      </c>
      <c r="B39" s="86"/>
      <c r="C39" s="86"/>
      <c r="D39" s="86"/>
      <c r="E39" s="86"/>
      <c r="F39" s="23">
        <f>'Услуга №1 '!F40</f>
        <v>11538</v>
      </c>
      <c r="G39" s="9">
        <v>0.89</v>
      </c>
      <c r="H39" s="4">
        <f t="shared" ref="H39:H52" si="0">G39*F39*12</f>
        <v>123225.84</v>
      </c>
      <c r="I39" s="4">
        <f t="shared" ref="I39:I52" si="1">H39*1.302</f>
        <v>160440.04368</v>
      </c>
      <c r="J39" s="9">
        <f>J43</f>
        <v>661</v>
      </c>
      <c r="K39" s="9">
        <f t="shared" ref="K39:K52" si="2">I39/J39</f>
        <v>242.7232128290469</v>
      </c>
      <c r="L39" s="27"/>
    </row>
    <row r="40" spans="1:12" ht="14.25" hidden="1" customHeight="1" x14ac:dyDescent="0.25">
      <c r="A40" s="86" t="s">
        <v>76</v>
      </c>
      <c r="B40" s="86"/>
      <c r="C40" s="86"/>
      <c r="D40" s="86"/>
      <c r="E40" s="86"/>
      <c r="F40" s="23">
        <f>'Услуга №1 '!F41</f>
        <v>11538</v>
      </c>
      <c r="G40" s="9">
        <v>0.89</v>
      </c>
      <c r="H40" s="4">
        <f t="shared" si="0"/>
        <v>123225.84</v>
      </c>
      <c r="I40" s="4">
        <f t="shared" si="1"/>
        <v>160440.04368</v>
      </c>
      <c r="J40" s="9">
        <f>J38</f>
        <v>661</v>
      </c>
      <c r="K40" s="9">
        <f t="shared" si="2"/>
        <v>242.7232128290469</v>
      </c>
      <c r="L40" s="27"/>
    </row>
    <row r="41" spans="1:12" ht="13.5" hidden="1" customHeight="1" x14ac:dyDescent="0.25">
      <c r="A41" s="86" t="s">
        <v>71</v>
      </c>
      <c r="B41" s="86"/>
      <c r="C41" s="86"/>
      <c r="D41" s="86"/>
      <c r="E41" s="86"/>
      <c r="F41" s="23">
        <f>'Услуга №1 '!F42</f>
        <v>8837</v>
      </c>
      <c r="G41" s="9">
        <v>0.89</v>
      </c>
      <c r="H41" s="4">
        <f t="shared" si="0"/>
        <v>94379.16</v>
      </c>
      <c r="I41" s="4">
        <f t="shared" si="1"/>
        <v>122881.66632</v>
      </c>
      <c r="J41" s="9">
        <f>J38</f>
        <v>661</v>
      </c>
      <c r="K41" s="9">
        <f t="shared" si="2"/>
        <v>185.902672193646</v>
      </c>
      <c r="L41" s="27"/>
    </row>
    <row r="42" spans="1:12" hidden="1" x14ac:dyDescent="0.25">
      <c r="A42" s="86" t="s">
        <v>74</v>
      </c>
      <c r="B42" s="86"/>
      <c r="C42" s="86"/>
      <c r="D42" s="86"/>
      <c r="E42" s="86"/>
      <c r="F42" s="23">
        <f>'Услуга №1 '!F43</f>
        <v>4418.5</v>
      </c>
      <c r="G42" s="9">
        <v>0.44</v>
      </c>
      <c r="H42" s="4">
        <f t="shared" si="0"/>
        <v>23329.68</v>
      </c>
      <c r="I42" s="4">
        <f t="shared" si="1"/>
        <v>30375.24336</v>
      </c>
      <c r="J42" s="9">
        <f>J40</f>
        <v>661</v>
      </c>
      <c r="K42" s="9">
        <f t="shared" si="2"/>
        <v>45.953469531013617</v>
      </c>
      <c r="L42" s="27"/>
    </row>
    <row r="43" spans="1:12" hidden="1" x14ac:dyDescent="0.25">
      <c r="A43" s="86" t="s">
        <v>78</v>
      </c>
      <c r="B43" s="86"/>
      <c r="C43" s="86"/>
      <c r="D43" s="86"/>
      <c r="E43" s="86"/>
      <c r="F43" s="23">
        <f>'Услуга №1 '!F44</f>
        <v>8837</v>
      </c>
      <c r="G43" s="9">
        <v>0.89</v>
      </c>
      <c r="H43" s="4">
        <f t="shared" si="0"/>
        <v>94379.16</v>
      </c>
      <c r="I43" s="4">
        <f t="shared" si="1"/>
        <v>122881.66632</v>
      </c>
      <c r="J43" s="9">
        <f>J40</f>
        <v>661</v>
      </c>
      <c r="K43" s="9">
        <f t="shared" si="2"/>
        <v>185.902672193646</v>
      </c>
      <c r="L43" s="27"/>
    </row>
    <row r="44" spans="1:12" ht="15" hidden="1" customHeight="1" x14ac:dyDescent="0.25">
      <c r="A44" s="114" t="s">
        <v>41</v>
      </c>
      <c r="B44" s="114"/>
      <c r="C44" s="114"/>
      <c r="D44" s="114"/>
      <c r="E44" s="114"/>
      <c r="F44" s="9">
        <f>'Услуга №1 '!F45</f>
        <v>6556</v>
      </c>
      <c r="G44" s="9">
        <v>1.44</v>
      </c>
      <c r="H44" s="4">
        <f t="shared" si="0"/>
        <v>113287.67999999999</v>
      </c>
      <c r="I44" s="4">
        <f t="shared" si="1"/>
        <v>147500.55935999998</v>
      </c>
      <c r="J44" s="9">
        <f>J42</f>
        <v>661</v>
      </c>
      <c r="K44" s="9">
        <f t="shared" si="2"/>
        <v>223.14759358547653</v>
      </c>
      <c r="L44" s="27"/>
    </row>
    <row r="45" spans="1:12" hidden="1" x14ac:dyDescent="0.25">
      <c r="A45" s="93" t="s">
        <v>79</v>
      </c>
      <c r="B45" s="94"/>
      <c r="C45" s="94"/>
      <c r="D45" s="94"/>
      <c r="E45" s="95"/>
      <c r="F45" s="9">
        <f>'Услуга №1 '!F46</f>
        <v>3933</v>
      </c>
      <c r="G45" s="9">
        <v>0.89</v>
      </c>
      <c r="H45" s="4">
        <f t="shared" si="0"/>
        <v>42004.44</v>
      </c>
      <c r="I45" s="4">
        <f t="shared" si="1"/>
        <v>54689.780880000006</v>
      </c>
      <c r="J45" s="9">
        <f>J42</f>
        <v>661</v>
      </c>
      <c r="K45" s="9">
        <f t="shared" si="2"/>
        <v>82.737943842662645</v>
      </c>
      <c r="L45" s="27"/>
    </row>
    <row r="46" spans="1:12" ht="15.75" hidden="1" customHeight="1" x14ac:dyDescent="0.25">
      <c r="A46" s="86" t="s">
        <v>70</v>
      </c>
      <c r="B46" s="86"/>
      <c r="C46" s="86"/>
      <c r="D46" s="86"/>
      <c r="E46" s="86"/>
      <c r="F46" s="9">
        <f>'Услуга №1 '!F47</f>
        <v>4496</v>
      </c>
      <c r="G46" s="9">
        <v>0.89</v>
      </c>
      <c r="H46" s="4">
        <f t="shared" si="0"/>
        <v>48017.279999999999</v>
      </c>
      <c r="I46" s="4">
        <f t="shared" si="1"/>
        <v>62518.49856</v>
      </c>
      <c r="J46" s="9">
        <f>J43</f>
        <v>661</v>
      </c>
      <c r="K46" s="9">
        <f t="shared" si="2"/>
        <v>94.581692223903175</v>
      </c>
      <c r="L46" s="27"/>
    </row>
    <row r="47" spans="1:12" hidden="1" x14ac:dyDescent="0.25">
      <c r="A47" s="86" t="s">
        <v>80</v>
      </c>
      <c r="B47" s="86"/>
      <c r="C47" s="86"/>
      <c r="D47" s="86"/>
      <c r="E47" s="86"/>
      <c r="F47" s="9">
        <f>'Услуга №1 '!F48</f>
        <v>11538</v>
      </c>
      <c r="G47" s="9">
        <v>0.89</v>
      </c>
      <c r="H47" s="4">
        <f t="shared" si="0"/>
        <v>123225.84</v>
      </c>
      <c r="I47" s="4">
        <f t="shared" si="1"/>
        <v>160440.04368</v>
      </c>
      <c r="J47" s="9">
        <f>J44</f>
        <v>661</v>
      </c>
      <c r="K47" s="9">
        <f t="shared" si="2"/>
        <v>242.7232128290469</v>
      </c>
      <c r="L47" s="27"/>
    </row>
    <row r="48" spans="1:12" ht="15" hidden="1" customHeight="1" x14ac:dyDescent="0.25">
      <c r="A48" s="114" t="s">
        <v>48</v>
      </c>
      <c r="B48" s="114"/>
      <c r="C48" s="114"/>
      <c r="D48" s="114"/>
      <c r="E48" s="114"/>
      <c r="F48" s="9">
        <f>'Услуга №1 '!F49</f>
        <v>11538</v>
      </c>
      <c r="G48" s="9">
        <v>2.66</v>
      </c>
      <c r="H48" s="4">
        <f t="shared" si="0"/>
        <v>368292.96</v>
      </c>
      <c r="I48" s="4">
        <f t="shared" si="1"/>
        <v>479517.43392000004</v>
      </c>
      <c r="J48" s="9">
        <f>J44</f>
        <v>661</v>
      </c>
      <c r="K48" s="9">
        <f t="shared" si="2"/>
        <v>725.44241137670201</v>
      </c>
      <c r="L48" s="27"/>
    </row>
    <row r="49" spans="1:13" ht="15" hidden="1" customHeight="1" x14ac:dyDescent="0.25">
      <c r="A49" s="114" t="s">
        <v>77</v>
      </c>
      <c r="B49" s="114"/>
      <c r="C49" s="114"/>
      <c r="D49" s="114"/>
      <c r="E49" s="114"/>
      <c r="F49" s="9">
        <f>'Услуга №1 '!F50</f>
        <v>6556</v>
      </c>
      <c r="G49" s="9">
        <v>0.89</v>
      </c>
      <c r="H49" s="4">
        <f t="shared" si="0"/>
        <v>70018.080000000002</v>
      </c>
      <c r="I49" s="4">
        <f t="shared" si="1"/>
        <v>91163.540160000004</v>
      </c>
      <c r="J49" s="9">
        <f>J47</f>
        <v>661</v>
      </c>
      <c r="K49" s="9">
        <f t="shared" si="2"/>
        <v>137.91760992435704</v>
      </c>
      <c r="L49" s="27"/>
    </row>
    <row r="50" spans="1:13" ht="17.25" hidden="1" customHeight="1" x14ac:dyDescent="0.25">
      <c r="A50" s="114" t="s">
        <v>72</v>
      </c>
      <c r="B50" s="114"/>
      <c r="C50" s="114"/>
      <c r="D50" s="114"/>
      <c r="E50" s="114"/>
      <c r="F50" s="23">
        <f>'Услуга №1 '!F51</f>
        <v>11538</v>
      </c>
      <c r="G50" s="9">
        <v>0.89</v>
      </c>
      <c r="H50" s="4">
        <f t="shared" si="0"/>
        <v>123225.84</v>
      </c>
      <c r="I50" s="4">
        <f t="shared" si="1"/>
        <v>160440.04368</v>
      </c>
      <c r="J50" s="9">
        <f>J48</f>
        <v>661</v>
      </c>
      <c r="K50" s="9">
        <f t="shared" si="2"/>
        <v>242.7232128290469</v>
      </c>
      <c r="L50" s="27"/>
    </row>
    <row r="51" spans="1:13" ht="15" hidden="1" customHeight="1" x14ac:dyDescent="0.25">
      <c r="A51" s="114" t="s">
        <v>75</v>
      </c>
      <c r="B51" s="114"/>
      <c r="C51" s="114"/>
      <c r="D51" s="114"/>
      <c r="E51" s="114"/>
      <c r="F51" s="23">
        <f>'Услуга №1 '!F52</f>
        <v>8837</v>
      </c>
      <c r="G51" s="9">
        <v>2.1</v>
      </c>
      <c r="H51" s="4">
        <f t="shared" si="0"/>
        <v>222692.40000000002</v>
      </c>
      <c r="I51" s="4">
        <f t="shared" si="1"/>
        <v>289945.50480000005</v>
      </c>
      <c r="J51" s="9">
        <f>J50</f>
        <v>661</v>
      </c>
      <c r="K51" s="9">
        <f t="shared" si="2"/>
        <v>438.64675461422098</v>
      </c>
      <c r="L51" s="27"/>
    </row>
    <row r="52" spans="1:13" ht="15" hidden="1" customHeight="1" x14ac:dyDescent="0.25">
      <c r="A52" s="114" t="s">
        <v>49</v>
      </c>
      <c r="B52" s="114"/>
      <c r="C52" s="114"/>
      <c r="D52" s="114"/>
      <c r="E52" s="114"/>
      <c r="F52" s="23">
        <f>'Услуга №1 '!F53</f>
        <v>11538</v>
      </c>
      <c r="G52" s="9">
        <v>0.89</v>
      </c>
      <c r="H52" s="4">
        <f t="shared" si="0"/>
        <v>123225.84</v>
      </c>
      <c r="I52" s="59">
        <f t="shared" si="1"/>
        <v>160440.04368</v>
      </c>
      <c r="J52" s="9">
        <f>J51</f>
        <v>661</v>
      </c>
      <c r="K52" s="57">
        <f t="shared" si="2"/>
        <v>242.7232128290469</v>
      </c>
      <c r="L52" s="27"/>
    </row>
    <row r="53" spans="1:13" s="8" customFormat="1" ht="14.25" customHeight="1" thickBot="1" x14ac:dyDescent="0.3">
      <c r="A53" s="24" t="s">
        <v>81</v>
      </c>
      <c r="B53" s="25"/>
      <c r="C53" s="25"/>
      <c r="D53" s="25"/>
      <c r="E53" s="25"/>
      <c r="F53" s="3">
        <v>24555.51</v>
      </c>
      <c r="G53" s="3">
        <f>F34</f>
        <v>6.5733199999999998</v>
      </c>
      <c r="H53" s="5">
        <v>1935956.41</v>
      </c>
      <c r="I53" s="60">
        <f>(H53*1.302)</f>
        <v>2520615.2458199998</v>
      </c>
      <c r="J53" s="63">
        <f>J52</f>
        <v>661</v>
      </c>
      <c r="K53" s="60">
        <f>I53/F36</f>
        <v>3813.3362266565805</v>
      </c>
      <c r="L53" s="27"/>
      <c r="M53" s="7"/>
    </row>
    <row r="54" spans="1:13" x14ac:dyDescent="0.25">
      <c r="A54" s="26"/>
      <c r="B54" s="26"/>
      <c r="C54" s="26"/>
      <c r="D54" s="26"/>
      <c r="E54" s="26"/>
      <c r="F54" s="27"/>
      <c r="G54" s="27"/>
      <c r="H54" s="27"/>
      <c r="I54" s="27"/>
      <c r="J54" s="27"/>
      <c r="K54" s="27"/>
      <c r="L54" s="27"/>
    </row>
    <row r="55" spans="1:13" ht="12" customHeight="1" x14ac:dyDescent="0.25"/>
    <row r="56" spans="1:13" ht="18" customHeight="1" x14ac:dyDescent="0.25">
      <c r="A56" s="87" t="s">
        <v>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</row>
    <row r="57" spans="1:13" ht="45" x14ac:dyDescent="0.25">
      <c r="A57" s="89" t="s">
        <v>9</v>
      </c>
      <c r="B57" s="89"/>
      <c r="C57" s="89"/>
      <c r="D57" s="89"/>
      <c r="E57" s="89"/>
      <c r="F57" s="18" t="s">
        <v>7</v>
      </c>
      <c r="G57" s="18" t="s">
        <v>59</v>
      </c>
      <c r="H57" s="18" t="s">
        <v>58</v>
      </c>
      <c r="I57" s="18" t="s">
        <v>64</v>
      </c>
      <c r="J57" s="18" t="s">
        <v>62</v>
      </c>
      <c r="K57" s="21" t="s">
        <v>63</v>
      </c>
      <c r="L57" s="28"/>
    </row>
    <row r="58" spans="1:13" x14ac:dyDescent="0.25">
      <c r="A58" s="93" t="s">
        <v>42</v>
      </c>
      <c r="B58" s="94"/>
      <c r="C58" s="94"/>
      <c r="D58" s="94"/>
      <c r="E58" s="95"/>
      <c r="F58" s="22" t="s">
        <v>43</v>
      </c>
      <c r="G58" s="22">
        <v>33200</v>
      </c>
      <c r="H58" s="22">
        <v>5.0999999999999996</v>
      </c>
      <c r="I58" s="29">
        <f>165847.5*33.72%</f>
        <v>55923.777000000002</v>
      </c>
      <c r="J58" s="9">
        <f>F36</f>
        <v>661</v>
      </c>
      <c r="K58" s="30">
        <f>I58/J58</f>
        <v>84.604806354009085</v>
      </c>
      <c r="L58" s="28"/>
    </row>
    <row r="59" spans="1:13" x14ac:dyDescent="0.25">
      <c r="A59" s="86" t="s">
        <v>10</v>
      </c>
      <c r="B59" s="86"/>
      <c r="C59" s="86"/>
      <c r="D59" s="86"/>
      <c r="E59" s="86"/>
      <c r="F59" s="9" t="s">
        <v>13</v>
      </c>
      <c r="G59" s="9">
        <v>150</v>
      </c>
      <c r="H59" s="9">
        <v>1703</v>
      </c>
      <c r="I59" s="29">
        <f>284809.75*33.72%</f>
        <v>96037.847699999998</v>
      </c>
      <c r="J59" s="9">
        <f>J58</f>
        <v>661</v>
      </c>
      <c r="K59" s="30">
        <f t="shared" ref="K59:K62" si="3">I59/J59</f>
        <v>145.29175143721633</v>
      </c>
      <c r="L59" s="20"/>
    </row>
    <row r="60" spans="1:13" x14ac:dyDescent="0.25">
      <c r="A60" s="86" t="s">
        <v>11</v>
      </c>
      <c r="B60" s="86"/>
      <c r="C60" s="86"/>
      <c r="D60" s="86"/>
      <c r="E60" s="86"/>
      <c r="F60" s="9" t="s">
        <v>14</v>
      </c>
      <c r="G60" s="9">
        <v>200</v>
      </c>
      <c r="H60" s="9">
        <v>41.9</v>
      </c>
      <c r="I60" s="29">
        <f>8626.18*33.72%</f>
        <v>2908.7478960000003</v>
      </c>
      <c r="J60" s="9">
        <f>J59</f>
        <v>661</v>
      </c>
      <c r="K60" s="30">
        <f t="shared" si="3"/>
        <v>4.4005263177004545</v>
      </c>
      <c r="L60" s="20"/>
    </row>
    <row r="61" spans="1:13" x14ac:dyDescent="0.25">
      <c r="A61" s="86" t="s">
        <v>12</v>
      </c>
      <c r="B61" s="86"/>
      <c r="C61" s="86"/>
      <c r="D61" s="86"/>
      <c r="E61" s="86"/>
      <c r="F61" s="9" t="s">
        <v>14</v>
      </c>
      <c r="G61" s="9">
        <v>200</v>
      </c>
      <c r="H61" s="9">
        <v>60.65</v>
      </c>
      <c r="I61" s="29">
        <f>12562.29*33.72%</f>
        <v>4236.0041879999999</v>
      </c>
      <c r="J61" s="9">
        <f>J59</f>
        <v>661</v>
      </c>
      <c r="K61" s="30">
        <f t="shared" si="3"/>
        <v>6.4084783479576402</v>
      </c>
      <c r="L61" s="20"/>
    </row>
    <row r="62" spans="1:13" ht="15.75" thickBot="1" x14ac:dyDescent="0.3">
      <c r="A62" s="93" t="s">
        <v>17</v>
      </c>
      <c r="B62" s="115"/>
      <c r="C62" s="115"/>
      <c r="D62" s="115"/>
      <c r="E62" s="115"/>
      <c r="F62" s="9" t="s">
        <v>14</v>
      </c>
      <c r="G62" s="9">
        <v>12</v>
      </c>
      <c r="H62" s="9">
        <v>956.71</v>
      </c>
      <c r="I62" s="70">
        <f>22696.01*33.72%</f>
        <v>7653.0945719999991</v>
      </c>
      <c r="J62" s="9">
        <f>J60</f>
        <v>661</v>
      </c>
      <c r="K62" s="71">
        <f t="shared" si="3"/>
        <v>11.578055328290468</v>
      </c>
      <c r="L62" s="20"/>
    </row>
    <row r="63" spans="1:13" s="8" customFormat="1" ht="15" customHeight="1" thickBot="1" x14ac:dyDescent="0.3">
      <c r="A63" s="116" t="s">
        <v>15</v>
      </c>
      <c r="B63" s="117"/>
      <c r="C63" s="117"/>
      <c r="D63" s="117"/>
      <c r="E63" s="117"/>
      <c r="F63" s="117"/>
      <c r="G63" s="117"/>
      <c r="H63" s="117"/>
      <c r="I63" s="60">
        <f>SUM(I58:I62)</f>
        <v>166759.47135599997</v>
      </c>
      <c r="J63" s="63">
        <f>J61</f>
        <v>661</v>
      </c>
      <c r="K63" s="60">
        <f>I63/J63</f>
        <v>252.28361778517393</v>
      </c>
      <c r="L63" s="27"/>
      <c r="M63" s="7"/>
    </row>
    <row r="65" spans="1:13" x14ac:dyDescent="0.25">
      <c r="A65" s="87" t="s">
        <v>16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</row>
    <row r="66" spans="1:13" ht="45" x14ac:dyDescent="0.25">
      <c r="A66" s="89" t="s">
        <v>20</v>
      </c>
      <c r="B66" s="89"/>
      <c r="C66" s="89"/>
      <c r="D66" s="89"/>
      <c r="E66" s="89"/>
      <c r="F66" s="22" t="s">
        <v>7</v>
      </c>
      <c r="G66" s="22" t="s">
        <v>59</v>
      </c>
      <c r="H66" s="22" t="s">
        <v>58</v>
      </c>
      <c r="I66" s="22" t="s">
        <v>64</v>
      </c>
      <c r="J66" s="22" t="s">
        <v>62</v>
      </c>
      <c r="K66" s="30" t="s">
        <v>63</v>
      </c>
      <c r="L66" s="28"/>
    </row>
    <row r="67" spans="1:13" ht="14.25" customHeight="1" x14ac:dyDescent="0.25">
      <c r="A67" s="86" t="s">
        <v>44</v>
      </c>
      <c r="B67" s="86"/>
      <c r="C67" s="86"/>
      <c r="D67" s="86"/>
      <c r="E67" s="86"/>
      <c r="F67" s="9" t="s">
        <v>18</v>
      </c>
      <c r="G67" s="9">
        <v>12</v>
      </c>
      <c r="H67" s="9">
        <v>785.4</v>
      </c>
      <c r="I67" s="9">
        <f>9424.8*33.72%</f>
        <v>3178.0425599999999</v>
      </c>
      <c r="J67" s="9">
        <f>F36</f>
        <v>661</v>
      </c>
      <c r="K67" s="19">
        <f t="shared" ref="K67:K70" si="4">I67/J67</f>
        <v>4.8079312556732221</v>
      </c>
      <c r="L67" s="20"/>
    </row>
    <row r="68" spans="1:13" ht="14.25" customHeight="1" x14ac:dyDescent="0.25">
      <c r="A68" s="86" t="s">
        <v>89</v>
      </c>
      <c r="B68" s="86"/>
      <c r="C68" s="86"/>
      <c r="D68" s="86"/>
      <c r="E68" s="86"/>
      <c r="F68" s="9" t="s">
        <v>18</v>
      </c>
      <c r="G68" s="9">
        <v>12</v>
      </c>
      <c r="H68" s="9">
        <v>2900</v>
      </c>
      <c r="I68" s="9">
        <f>34800*33.72%</f>
        <v>11734.56</v>
      </c>
      <c r="J68" s="9">
        <f>J67</f>
        <v>661</v>
      </c>
      <c r="K68" s="19">
        <f t="shared" si="4"/>
        <v>17.752738275340391</v>
      </c>
      <c r="L68" s="20"/>
    </row>
    <row r="69" spans="1:13" ht="14.25" customHeight="1" x14ac:dyDescent="0.25">
      <c r="A69" s="86" t="s">
        <v>90</v>
      </c>
      <c r="B69" s="86"/>
      <c r="C69" s="86"/>
      <c r="D69" s="86"/>
      <c r="E69" s="86"/>
      <c r="F69" s="9" t="s">
        <v>18</v>
      </c>
      <c r="G69" s="9">
        <v>12</v>
      </c>
      <c r="H69" s="9">
        <v>2100</v>
      </c>
      <c r="I69" s="9">
        <f>25200*33.72%</f>
        <v>8497.44</v>
      </c>
      <c r="J69" s="9">
        <f>J67</f>
        <v>661</v>
      </c>
      <c r="K69" s="19">
        <f t="shared" si="4"/>
        <v>12.855431164901665</v>
      </c>
      <c r="L69" s="20"/>
    </row>
    <row r="70" spans="1:13" ht="23.25" customHeight="1" thickBot="1" x14ac:dyDescent="0.3">
      <c r="A70" s="78" t="s">
        <v>91</v>
      </c>
      <c r="B70" s="79"/>
      <c r="C70" s="79"/>
      <c r="D70" s="79"/>
      <c r="E70" s="80"/>
      <c r="F70" s="9" t="s">
        <v>18</v>
      </c>
      <c r="G70" s="9">
        <v>12</v>
      </c>
      <c r="H70" s="9">
        <v>800</v>
      </c>
      <c r="I70" s="57">
        <f>9600*33.72%</f>
        <v>3237.12</v>
      </c>
      <c r="J70" s="9">
        <f>J69</f>
        <v>661</v>
      </c>
      <c r="K70" s="57">
        <f t="shared" si="4"/>
        <v>4.8973071104387289</v>
      </c>
      <c r="L70" s="27"/>
    </row>
    <row r="71" spans="1:13" s="8" customFormat="1" ht="15.75" customHeight="1" thickBot="1" x14ac:dyDescent="0.3">
      <c r="A71" s="96" t="s">
        <v>19</v>
      </c>
      <c r="B71" s="97"/>
      <c r="C71" s="97"/>
      <c r="D71" s="97"/>
      <c r="E71" s="97"/>
      <c r="F71" s="97"/>
      <c r="G71" s="97"/>
      <c r="H71" s="97"/>
      <c r="I71" s="60">
        <f>SUM(I67:I70)</f>
        <v>26647.162560000001</v>
      </c>
      <c r="J71" s="61">
        <f>F36</f>
        <v>661</v>
      </c>
      <c r="K71" s="60">
        <f>SUM(K67:K70)</f>
        <v>40.313407806354007</v>
      </c>
      <c r="L71" s="27"/>
      <c r="M71" s="7"/>
    </row>
    <row r="73" spans="1:13" x14ac:dyDescent="0.25">
      <c r="A73" s="87" t="s">
        <v>82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</row>
    <row r="74" spans="1:13" ht="45" x14ac:dyDescent="0.25">
      <c r="A74" s="83" t="s">
        <v>20</v>
      </c>
      <c r="B74" s="84"/>
      <c r="C74" s="84"/>
      <c r="D74" s="84"/>
      <c r="E74" s="85"/>
      <c r="F74" s="18" t="s">
        <v>7</v>
      </c>
      <c r="G74" s="18" t="s">
        <v>59</v>
      </c>
      <c r="H74" s="18" t="s">
        <v>58</v>
      </c>
      <c r="I74" s="18" t="s">
        <v>64</v>
      </c>
      <c r="J74" s="18" t="s">
        <v>62</v>
      </c>
      <c r="K74" s="21" t="s">
        <v>63</v>
      </c>
      <c r="L74" s="28"/>
      <c r="M74" s="31"/>
    </row>
    <row r="75" spans="1:13" ht="34.5" customHeight="1" x14ac:dyDescent="0.25">
      <c r="A75" s="86" t="s">
        <v>21</v>
      </c>
      <c r="B75" s="86"/>
      <c r="C75" s="86"/>
      <c r="D75" s="86"/>
      <c r="E75" s="86"/>
      <c r="F75" s="32" t="s">
        <v>22</v>
      </c>
      <c r="G75" s="9">
        <v>2</v>
      </c>
      <c r="H75" s="33">
        <v>400</v>
      </c>
      <c r="I75" s="9">
        <f>9600*33.72%</f>
        <v>3237.12</v>
      </c>
      <c r="J75" s="9">
        <f>F36</f>
        <v>661</v>
      </c>
      <c r="K75" s="19">
        <f>I75/J75</f>
        <v>4.8973071104387289</v>
      </c>
      <c r="L75" s="20"/>
      <c r="M75" s="27"/>
    </row>
    <row r="76" spans="1:13" ht="35.25" customHeight="1" x14ac:dyDescent="0.25">
      <c r="A76" s="93" t="s">
        <v>92</v>
      </c>
      <c r="B76" s="94"/>
      <c r="C76" s="94"/>
      <c r="D76" s="94"/>
      <c r="E76" s="95"/>
      <c r="F76" s="32" t="s">
        <v>22</v>
      </c>
      <c r="G76" s="9">
        <v>1</v>
      </c>
      <c r="H76" s="33"/>
      <c r="I76" s="9">
        <f>4200*33.72%</f>
        <v>1416.24</v>
      </c>
      <c r="J76" s="9">
        <f>J75</f>
        <v>661</v>
      </c>
      <c r="K76" s="19">
        <f>I76/J76</f>
        <v>2.1425718608169442</v>
      </c>
      <c r="L76" s="20"/>
      <c r="M76" s="27"/>
    </row>
    <row r="77" spans="1:13" ht="35.25" customHeight="1" thickBot="1" x14ac:dyDescent="0.3">
      <c r="A77" s="86" t="s">
        <v>83</v>
      </c>
      <c r="B77" s="86"/>
      <c r="C77" s="86"/>
      <c r="D77" s="86"/>
      <c r="E77" s="86"/>
      <c r="F77" s="32" t="s">
        <v>84</v>
      </c>
      <c r="G77" s="9">
        <v>9</v>
      </c>
      <c r="H77" s="33">
        <v>5000</v>
      </c>
      <c r="I77" s="57">
        <f>60000*33.72%</f>
        <v>20232</v>
      </c>
      <c r="J77" s="9">
        <f>J75</f>
        <v>661</v>
      </c>
      <c r="K77" s="74">
        <f>I77/J77</f>
        <v>30.608169440242058</v>
      </c>
      <c r="L77" s="20"/>
      <c r="M77" s="27"/>
    </row>
    <row r="78" spans="1:13" ht="15.75" thickBot="1" x14ac:dyDescent="0.3">
      <c r="A78" s="96" t="s">
        <v>23</v>
      </c>
      <c r="B78" s="97"/>
      <c r="C78" s="97"/>
      <c r="D78" s="97"/>
      <c r="E78" s="97"/>
      <c r="F78" s="97"/>
      <c r="G78" s="97"/>
      <c r="H78" s="97"/>
      <c r="I78" s="72">
        <f>SUM(I75:I77)</f>
        <v>24885.360000000001</v>
      </c>
      <c r="J78" s="73">
        <f>F36</f>
        <v>661</v>
      </c>
      <c r="K78" s="72">
        <f>SUM(K75:K77)</f>
        <v>37.648048411497733</v>
      </c>
      <c r="L78" s="12"/>
      <c r="M78" s="27"/>
    </row>
    <row r="80" spans="1:13" x14ac:dyDescent="0.25">
      <c r="A80" s="87" t="s">
        <v>40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</row>
    <row r="81" spans="1:13" ht="57" customHeight="1" thickBot="1" x14ac:dyDescent="0.3">
      <c r="A81" s="83" t="s">
        <v>5</v>
      </c>
      <c r="B81" s="84"/>
      <c r="C81" s="84"/>
      <c r="D81" s="84"/>
      <c r="E81" s="85"/>
      <c r="F81" s="18" t="s">
        <v>6</v>
      </c>
      <c r="G81" s="18" t="s">
        <v>1</v>
      </c>
      <c r="H81" s="18" t="s">
        <v>60</v>
      </c>
      <c r="I81" s="18" t="s">
        <v>61</v>
      </c>
      <c r="J81" s="18" t="s">
        <v>62</v>
      </c>
      <c r="K81" s="21" t="s">
        <v>63</v>
      </c>
      <c r="L81" s="28"/>
    </row>
    <row r="82" spans="1:13" hidden="1" x14ac:dyDescent="0.25">
      <c r="A82" s="86" t="s">
        <v>3</v>
      </c>
      <c r="B82" s="86"/>
      <c r="C82" s="86"/>
      <c r="D82" s="86"/>
      <c r="E82" s="86"/>
      <c r="F82" s="23">
        <f>'Услуга №1 '!F82</f>
        <v>15898</v>
      </c>
      <c r="G82" s="9">
        <v>0.87</v>
      </c>
      <c r="H82" s="4">
        <f>F82*G82*12</f>
        <v>165975.12</v>
      </c>
      <c r="I82" s="9">
        <f>H82*1.302</f>
        <v>216099.60623999999</v>
      </c>
      <c r="J82" s="9">
        <v>31232</v>
      </c>
      <c r="K82" s="19">
        <f>I82/J82</f>
        <v>6.9191728432377051</v>
      </c>
      <c r="L82" s="20"/>
    </row>
    <row r="83" spans="1:13" ht="20.25" hidden="1" customHeight="1" x14ac:dyDescent="0.25">
      <c r="A83" s="86" t="s">
        <v>45</v>
      </c>
      <c r="B83" s="86"/>
      <c r="C83" s="86"/>
      <c r="D83" s="86"/>
      <c r="E83" s="86"/>
      <c r="F83" s="23">
        <f>'Услуга №1 '!F83</f>
        <v>14309</v>
      </c>
      <c r="G83" s="9">
        <v>0.87</v>
      </c>
      <c r="H83" s="4">
        <f>F83*G83*12</f>
        <v>149385.96</v>
      </c>
      <c r="I83" s="57">
        <f>H83*1.302</f>
        <v>194500.51991999999</v>
      </c>
      <c r="J83" s="9">
        <f>J82</f>
        <v>31232</v>
      </c>
      <c r="K83" s="74">
        <f>I83/J83</f>
        <v>6.2276037371926227</v>
      </c>
      <c r="L83" s="20"/>
    </row>
    <row r="84" spans="1:13" ht="15.75" thickBot="1" x14ac:dyDescent="0.3">
      <c r="A84" s="34" t="s">
        <v>24</v>
      </c>
      <c r="B84" s="34"/>
      <c r="C84" s="34"/>
      <c r="D84" s="34"/>
      <c r="E84" s="34"/>
      <c r="F84" s="43">
        <v>25117.62</v>
      </c>
      <c r="G84" s="43">
        <f>L34</f>
        <v>0.68440000000000001</v>
      </c>
      <c r="H84" s="75">
        <v>204959.78</v>
      </c>
      <c r="I84" s="72">
        <f>H84*1.302</f>
        <v>266857.63355999999</v>
      </c>
      <c r="J84" s="73">
        <f>F36</f>
        <v>661</v>
      </c>
      <c r="K84" s="72">
        <f>I84/J84</f>
        <v>403.71805379727681</v>
      </c>
      <c r="L84" s="27"/>
    </row>
    <row r="85" spans="1:13" ht="10.5" customHeight="1" x14ac:dyDescent="0.25">
      <c r="F85" s="35"/>
      <c r="G85" s="35"/>
      <c r="H85" s="35"/>
      <c r="I85" s="35"/>
      <c r="J85" s="35"/>
      <c r="K85" s="35"/>
      <c r="L85" s="35"/>
    </row>
    <row r="86" spans="1:13" s="8" customFormat="1" x14ac:dyDescent="0.25">
      <c r="A86" s="90" t="s">
        <v>67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1"/>
      <c r="M86" s="7"/>
    </row>
    <row r="87" spans="1:13" ht="49.5" customHeight="1" x14ac:dyDescent="0.25">
      <c r="A87" s="89" t="s">
        <v>69</v>
      </c>
      <c r="B87" s="89"/>
      <c r="C87" s="89"/>
      <c r="D87" s="89"/>
      <c r="E87" s="89"/>
      <c r="F87" s="18" t="s">
        <v>7</v>
      </c>
      <c r="G87" s="18" t="s">
        <v>59</v>
      </c>
      <c r="H87" s="18" t="s">
        <v>58</v>
      </c>
      <c r="I87" s="18" t="s">
        <v>64</v>
      </c>
      <c r="J87" s="18" t="s">
        <v>62</v>
      </c>
      <c r="K87" s="21" t="s">
        <v>63</v>
      </c>
      <c r="L87" s="28"/>
    </row>
    <row r="88" spans="1:13" ht="33" customHeight="1" thickBot="1" x14ac:dyDescent="0.3">
      <c r="A88" s="78" t="s">
        <v>66</v>
      </c>
      <c r="B88" s="79"/>
      <c r="C88" s="79"/>
      <c r="D88" s="79"/>
      <c r="E88" s="80"/>
      <c r="F88" s="9" t="s">
        <v>25</v>
      </c>
      <c r="G88" s="9">
        <v>11</v>
      </c>
      <c r="H88" s="4">
        <v>5525.3</v>
      </c>
      <c r="I88" s="57">
        <f>60778.32*33.72%</f>
        <v>20494.449504</v>
      </c>
      <c r="J88" s="9">
        <f>J84</f>
        <v>661</v>
      </c>
      <c r="K88" s="74">
        <f>I88/J88</f>
        <v>31.005218614220876</v>
      </c>
      <c r="L88" s="20"/>
    </row>
    <row r="89" spans="1:13" s="8" customFormat="1" ht="15.75" thickBot="1" x14ac:dyDescent="0.3">
      <c r="A89" s="96" t="s">
        <v>68</v>
      </c>
      <c r="B89" s="97"/>
      <c r="C89" s="97"/>
      <c r="D89" s="97"/>
      <c r="E89" s="97"/>
      <c r="F89" s="97"/>
      <c r="G89" s="97"/>
      <c r="H89" s="97"/>
      <c r="I89" s="72">
        <f>SUM(I88:I88)</f>
        <v>20494.449504</v>
      </c>
      <c r="J89" s="73">
        <f>F36</f>
        <v>661</v>
      </c>
      <c r="K89" s="72">
        <f>SUM(K88:K88)</f>
        <v>31.005218614220876</v>
      </c>
      <c r="L89" s="27"/>
      <c r="M89" s="7"/>
    </row>
    <row r="90" spans="1:13" s="8" customFormat="1" x14ac:dyDescent="0.25">
      <c r="A90" s="36"/>
      <c r="B90" s="36"/>
      <c r="C90" s="36"/>
      <c r="D90" s="36"/>
      <c r="E90" s="36"/>
      <c r="F90" s="36"/>
      <c r="G90" s="36"/>
      <c r="H90" s="36"/>
      <c r="I90" s="12"/>
      <c r="J90" s="12"/>
      <c r="K90" s="12"/>
      <c r="L90" s="27"/>
      <c r="M90" s="7"/>
    </row>
    <row r="91" spans="1:13" s="8" customFormat="1" hidden="1" x14ac:dyDescent="0.25">
      <c r="A91" s="37"/>
      <c r="B91" s="37"/>
      <c r="C91" s="37"/>
      <c r="D91" s="37"/>
      <c r="E91" s="37"/>
      <c r="F91" s="37"/>
      <c r="G91" s="37"/>
      <c r="H91" s="37"/>
      <c r="I91" s="13"/>
      <c r="J91" s="13"/>
      <c r="K91" s="13"/>
      <c r="L91" s="27"/>
      <c r="M91" s="7"/>
    </row>
    <row r="92" spans="1:13" s="8" customFormat="1" hidden="1" x14ac:dyDescent="0.25">
      <c r="A92" s="90" t="s">
        <v>93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1"/>
      <c r="M92" s="7"/>
    </row>
    <row r="93" spans="1:13" ht="49.5" hidden="1" customHeight="1" x14ac:dyDescent="0.25">
      <c r="A93" s="89" t="s">
        <v>69</v>
      </c>
      <c r="B93" s="89"/>
      <c r="C93" s="89"/>
      <c r="D93" s="89"/>
      <c r="E93" s="89"/>
      <c r="F93" s="18" t="s">
        <v>7</v>
      </c>
      <c r="G93" s="18" t="s">
        <v>59</v>
      </c>
      <c r="H93" s="18" t="s">
        <v>58</v>
      </c>
      <c r="I93" s="18" t="s">
        <v>64</v>
      </c>
      <c r="J93" s="18" t="s">
        <v>62</v>
      </c>
      <c r="K93" s="21" t="s">
        <v>63</v>
      </c>
      <c r="L93" s="28"/>
    </row>
    <row r="94" spans="1:13" hidden="1" x14ac:dyDescent="0.25">
      <c r="A94" s="86" t="s">
        <v>94</v>
      </c>
      <c r="B94" s="86"/>
      <c r="C94" s="86"/>
      <c r="D94" s="86"/>
      <c r="E94" s="86"/>
      <c r="F94" s="9"/>
      <c r="G94" s="9"/>
      <c r="H94" s="4"/>
      <c r="I94" s="9">
        <v>0</v>
      </c>
      <c r="J94" s="9">
        <f>J89</f>
        <v>661</v>
      </c>
      <c r="K94" s="19">
        <f>I94/J94</f>
        <v>0</v>
      </c>
      <c r="L94" s="20"/>
    </row>
    <row r="95" spans="1:13" s="8" customFormat="1" hidden="1" x14ac:dyDescent="0.25">
      <c r="A95" s="96" t="s">
        <v>95</v>
      </c>
      <c r="B95" s="97"/>
      <c r="C95" s="97"/>
      <c r="D95" s="97"/>
      <c r="E95" s="97"/>
      <c r="F95" s="97"/>
      <c r="G95" s="97"/>
      <c r="H95" s="97"/>
      <c r="I95" s="6">
        <f>SUM(I94:I94)</f>
        <v>0</v>
      </c>
      <c r="J95" s="6">
        <f>F36</f>
        <v>661</v>
      </c>
      <c r="K95" s="6">
        <f>SUM(K94:K94)</f>
        <v>0</v>
      </c>
      <c r="L95" s="20"/>
      <c r="M95" s="7"/>
    </row>
    <row r="96" spans="1:13" s="8" customFormat="1" hidden="1" x14ac:dyDescent="0.25">
      <c r="A96" s="37"/>
      <c r="B96" s="37"/>
      <c r="C96" s="37"/>
      <c r="D96" s="37"/>
      <c r="E96" s="37"/>
      <c r="F96" s="37"/>
      <c r="G96" s="37"/>
      <c r="H96" s="37"/>
      <c r="I96" s="13"/>
      <c r="J96" s="13"/>
      <c r="K96" s="13"/>
      <c r="L96" s="27"/>
      <c r="M96" s="7"/>
    </row>
    <row r="97" spans="1:13" x14ac:dyDescent="0.25">
      <c r="F97" s="35"/>
      <c r="G97" s="35"/>
      <c r="H97" s="35"/>
      <c r="I97" s="35"/>
      <c r="J97" s="35"/>
      <c r="K97" s="35"/>
      <c r="L97" s="35"/>
    </row>
    <row r="98" spans="1:13" s="8" customFormat="1" x14ac:dyDescent="0.25">
      <c r="A98" s="90" t="s">
        <v>96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1"/>
      <c r="M98" s="7"/>
    </row>
    <row r="99" spans="1:13" ht="49.5" customHeight="1" x14ac:dyDescent="0.25">
      <c r="A99" s="89" t="s">
        <v>69</v>
      </c>
      <c r="B99" s="89"/>
      <c r="C99" s="89"/>
      <c r="D99" s="89"/>
      <c r="E99" s="89"/>
      <c r="F99" s="18" t="s">
        <v>7</v>
      </c>
      <c r="G99" s="18" t="s">
        <v>59</v>
      </c>
      <c r="H99" s="18" t="s">
        <v>58</v>
      </c>
      <c r="I99" s="18" t="s">
        <v>64</v>
      </c>
      <c r="J99" s="18" t="s">
        <v>62</v>
      </c>
      <c r="K99" s="21" t="s">
        <v>63</v>
      </c>
      <c r="L99" s="28"/>
    </row>
    <row r="100" spans="1:13" ht="15.75" thickBot="1" x14ac:dyDescent="0.3">
      <c r="A100" s="86" t="s">
        <v>97</v>
      </c>
      <c r="B100" s="86"/>
      <c r="C100" s="86"/>
      <c r="D100" s="86"/>
      <c r="E100" s="86"/>
      <c r="F100" s="9"/>
      <c r="G100" s="9"/>
      <c r="H100" s="4"/>
      <c r="I100" s="57">
        <f>35700*33.72%</f>
        <v>12038.04</v>
      </c>
      <c r="J100" s="9">
        <f>J95</f>
        <v>661</v>
      </c>
      <c r="K100" s="74">
        <f>I100/J100</f>
        <v>18.211860816944025</v>
      </c>
      <c r="L100" s="20"/>
    </row>
    <row r="101" spans="1:13" s="8" customFormat="1" ht="15.75" thickBot="1" x14ac:dyDescent="0.3">
      <c r="A101" s="96" t="s">
        <v>99</v>
      </c>
      <c r="B101" s="97"/>
      <c r="C101" s="97"/>
      <c r="D101" s="97"/>
      <c r="E101" s="97"/>
      <c r="F101" s="97"/>
      <c r="G101" s="97"/>
      <c r="H101" s="97"/>
      <c r="I101" s="72">
        <f>SUM(I100:I100)</f>
        <v>12038.04</v>
      </c>
      <c r="J101" s="73">
        <f>F36</f>
        <v>661</v>
      </c>
      <c r="K101" s="72">
        <f>SUM(K100:K100)</f>
        <v>18.211860816944025</v>
      </c>
      <c r="L101" s="27"/>
      <c r="M101" s="7"/>
    </row>
    <row r="102" spans="1:13" s="8" customFormat="1" x14ac:dyDescent="0.25">
      <c r="A102" s="37"/>
      <c r="B102" s="37"/>
      <c r="C102" s="37"/>
      <c r="D102" s="37"/>
      <c r="E102" s="37"/>
      <c r="F102" s="37"/>
      <c r="G102" s="37"/>
      <c r="H102" s="37"/>
      <c r="I102" s="13"/>
      <c r="J102" s="13"/>
      <c r="K102" s="13"/>
      <c r="L102" s="27"/>
      <c r="M102" s="7"/>
    </row>
    <row r="103" spans="1:13" s="8" customFormat="1" x14ac:dyDescent="0.25">
      <c r="A103" s="90" t="s">
        <v>98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1"/>
      <c r="M103" s="7"/>
    </row>
    <row r="104" spans="1:13" ht="49.5" customHeight="1" x14ac:dyDescent="0.25">
      <c r="A104" s="89" t="s">
        <v>69</v>
      </c>
      <c r="B104" s="89"/>
      <c r="C104" s="89"/>
      <c r="D104" s="89"/>
      <c r="E104" s="89"/>
      <c r="F104" s="18" t="s">
        <v>7</v>
      </c>
      <c r="G104" s="18" t="s">
        <v>59</v>
      </c>
      <c r="H104" s="18" t="s">
        <v>58</v>
      </c>
      <c r="I104" s="18" t="s">
        <v>64</v>
      </c>
      <c r="J104" s="18" t="s">
        <v>62</v>
      </c>
      <c r="K104" s="21" t="s">
        <v>63</v>
      </c>
      <c r="L104" s="28"/>
    </row>
    <row r="105" spans="1:13" ht="15.75" thickBot="1" x14ac:dyDescent="0.3">
      <c r="A105" s="86" t="s">
        <v>100</v>
      </c>
      <c r="B105" s="86"/>
      <c r="C105" s="86"/>
      <c r="D105" s="86"/>
      <c r="E105" s="86"/>
      <c r="F105" s="9"/>
      <c r="G105" s="9"/>
      <c r="H105" s="4"/>
      <c r="I105" s="57">
        <f>64300*33.72%</f>
        <v>21681.96</v>
      </c>
      <c r="J105" s="9">
        <f>J101</f>
        <v>661</v>
      </c>
      <c r="K105" s="74">
        <f>I105/J105</f>
        <v>32.801754916792738</v>
      </c>
      <c r="L105" s="20"/>
    </row>
    <row r="106" spans="1:13" s="8" customFormat="1" ht="15.75" thickBot="1" x14ac:dyDescent="0.3">
      <c r="A106" s="96" t="s">
        <v>101</v>
      </c>
      <c r="B106" s="97"/>
      <c r="C106" s="97"/>
      <c r="D106" s="97"/>
      <c r="E106" s="97"/>
      <c r="F106" s="97"/>
      <c r="G106" s="97"/>
      <c r="H106" s="97"/>
      <c r="I106" s="72">
        <f>SUM(I105:I105)</f>
        <v>21681.96</v>
      </c>
      <c r="J106" s="73">
        <f>F36</f>
        <v>661</v>
      </c>
      <c r="K106" s="72">
        <f>SUM(K105:K105)</f>
        <v>32.801754916792738</v>
      </c>
      <c r="L106" s="27"/>
      <c r="M106" s="7"/>
    </row>
    <row r="107" spans="1:13" s="8" customFormat="1" x14ac:dyDescent="0.25">
      <c r="A107" s="36"/>
      <c r="B107" s="36"/>
      <c r="C107" s="36"/>
      <c r="D107" s="36"/>
      <c r="E107" s="36"/>
      <c r="F107" s="36"/>
      <c r="G107" s="36"/>
      <c r="H107" s="36"/>
      <c r="I107" s="12"/>
      <c r="J107" s="12"/>
      <c r="K107" s="12"/>
      <c r="L107" s="27"/>
      <c r="M107" s="7"/>
    </row>
    <row r="108" spans="1:13" x14ac:dyDescent="0.25">
      <c r="A108" s="87" t="s">
        <v>26</v>
      </c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</row>
    <row r="109" spans="1:13" hidden="1" x14ac:dyDescent="0.25"/>
    <row r="110" spans="1:13" ht="15" customHeight="1" x14ac:dyDescent="0.25">
      <c r="A110" s="88" t="s">
        <v>27</v>
      </c>
      <c r="B110" s="88"/>
      <c r="C110" s="88"/>
      <c r="D110" s="89" t="s">
        <v>28</v>
      </c>
      <c r="E110" s="89"/>
      <c r="F110" s="89"/>
      <c r="G110" s="89"/>
      <c r="H110" s="89"/>
      <c r="I110" s="89"/>
      <c r="J110" s="89"/>
      <c r="K110" s="118" t="s">
        <v>39</v>
      </c>
      <c r="L110" s="119"/>
    </row>
    <row r="111" spans="1:13" ht="30" x14ac:dyDescent="0.25">
      <c r="A111" s="9" t="s">
        <v>29</v>
      </c>
      <c r="B111" s="22" t="s">
        <v>30</v>
      </c>
      <c r="C111" s="9" t="s">
        <v>31</v>
      </c>
      <c r="D111" s="9" t="s">
        <v>32</v>
      </c>
      <c r="E111" s="9" t="s">
        <v>33</v>
      </c>
      <c r="F111" s="9" t="s">
        <v>34</v>
      </c>
      <c r="G111" s="9" t="s">
        <v>35</v>
      </c>
      <c r="H111" s="9" t="s">
        <v>36</v>
      </c>
      <c r="I111" s="9" t="s">
        <v>37</v>
      </c>
      <c r="J111" s="9" t="s">
        <v>38</v>
      </c>
      <c r="K111" s="120"/>
      <c r="L111" s="121"/>
    </row>
    <row r="112" spans="1:13" x14ac:dyDescent="0.25">
      <c r="A112" s="9">
        <f>K53</f>
        <v>3813.3362266565805</v>
      </c>
      <c r="B112" s="9"/>
      <c r="C112" s="9">
        <v>0</v>
      </c>
      <c r="D112" s="9">
        <f>K63</f>
        <v>252.28361778517393</v>
      </c>
      <c r="E112" s="9">
        <f>K71</f>
        <v>40.313407806354007</v>
      </c>
      <c r="F112" s="9"/>
      <c r="G112" s="9">
        <f>K78</f>
        <v>37.648048411497733</v>
      </c>
      <c r="H112" s="9">
        <v>0</v>
      </c>
      <c r="I112" s="9">
        <f>K84</f>
        <v>403.71805379727681</v>
      </c>
      <c r="J112" s="9">
        <f>K95+K101+K106+K89</f>
        <v>82.018834347957636</v>
      </c>
      <c r="K112" s="81">
        <f>SUM(A112:J112)</f>
        <v>4629.3181888048421</v>
      </c>
      <c r="L112" s="82"/>
    </row>
    <row r="114" spans="1:12" ht="15.75" thickBot="1" x14ac:dyDescent="0.3">
      <c r="A114" s="38"/>
      <c r="B114" s="39"/>
      <c r="C114" s="40"/>
      <c r="D114" s="1"/>
      <c r="E114" s="1"/>
      <c r="F114" s="1"/>
    </row>
    <row r="115" spans="1:12" ht="16.5" thickBot="1" x14ac:dyDescent="0.3">
      <c r="A115" s="14" t="s">
        <v>55</v>
      </c>
      <c r="B115" s="14"/>
      <c r="C115" s="14"/>
      <c r="D115" s="14"/>
      <c r="E115" s="14"/>
      <c r="F115" s="41"/>
      <c r="G115" s="41" t="s">
        <v>57</v>
      </c>
      <c r="H115" s="41"/>
      <c r="I115" s="76">
        <f>I53+I63+I71+I78+I89+I95+I101+I106+I84</f>
        <v>3059979.3227999997</v>
      </c>
      <c r="L115" s="76">
        <f>K112*J105</f>
        <v>3059979.3228000007</v>
      </c>
    </row>
    <row r="116" spans="1:12" ht="15.75" x14ac:dyDescent="0.25">
      <c r="A116" s="42"/>
      <c r="B116" s="14"/>
      <c r="C116" s="2"/>
      <c r="D116" s="2"/>
      <c r="E116" s="2"/>
      <c r="F116" s="2"/>
    </row>
    <row r="118" spans="1:12" ht="15.75" x14ac:dyDescent="0.25">
      <c r="A118" s="42" t="s">
        <v>102</v>
      </c>
      <c r="B118" s="14"/>
      <c r="C118" s="42"/>
      <c r="D118" s="14"/>
    </row>
    <row r="119" spans="1:12" ht="15.75" x14ac:dyDescent="0.25">
      <c r="A119" s="42" t="s">
        <v>56</v>
      </c>
      <c r="B119" s="14"/>
      <c r="C119" s="42"/>
      <c r="D119" s="14"/>
    </row>
  </sheetData>
  <mergeCells count="105">
    <mergeCell ref="A106:H106"/>
    <mergeCell ref="A100:E100"/>
    <mergeCell ref="A101:H101"/>
    <mergeCell ref="A103:L103"/>
    <mergeCell ref="A104:E104"/>
    <mergeCell ref="A105:E105"/>
    <mergeCell ref="A98:L98"/>
    <mergeCell ref="A99:E99"/>
    <mergeCell ref="A71:H71"/>
    <mergeCell ref="A92:L92"/>
    <mergeCell ref="A93:E93"/>
    <mergeCell ref="A94:E94"/>
    <mergeCell ref="A95:H95"/>
    <mergeCell ref="A89:H89"/>
    <mergeCell ref="A61:E61"/>
    <mergeCell ref="A62:E62"/>
    <mergeCell ref="A63:H63"/>
    <mergeCell ref="A66:E66"/>
    <mergeCell ref="K112:L112"/>
    <mergeCell ref="A73:L73"/>
    <mergeCell ref="A80:L80"/>
    <mergeCell ref="A81:E81"/>
    <mergeCell ref="A82:E82"/>
    <mergeCell ref="A83:E83"/>
    <mergeCell ref="A86:L86"/>
    <mergeCell ref="A74:E74"/>
    <mergeCell ref="A75:E75"/>
    <mergeCell ref="A108:L108"/>
    <mergeCell ref="A110:C110"/>
    <mergeCell ref="A76:E76"/>
    <mergeCell ref="A77:E77"/>
    <mergeCell ref="A78:H78"/>
    <mergeCell ref="A87:E87"/>
    <mergeCell ref="A88:E88"/>
    <mergeCell ref="A67:E67"/>
    <mergeCell ref="A68:E68"/>
    <mergeCell ref="A69:E69"/>
    <mergeCell ref="A70:E70"/>
    <mergeCell ref="A56:L56"/>
    <mergeCell ref="A65:L65"/>
    <mergeCell ref="D110:J110"/>
    <mergeCell ref="K110:L111"/>
    <mergeCell ref="A57:E57"/>
    <mergeCell ref="A58:E58"/>
    <mergeCell ref="A59:E59"/>
    <mergeCell ref="A37:E37"/>
    <mergeCell ref="A38:E38"/>
    <mergeCell ref="A52:E52"/>
    <mergeCell ref="A47:E47"/>
    <mergeCell ref="A48:E48"/>
    <mergeCell ref="A49:E49"/>
    <mergeCell ref="A50:E50"/>
    <mergeCell ref="A51:E51"/>
    <mergeCell ref="A39:E39"/>
    <mergeCell ref="A40:E40"/>
    <mergeCell ref="A45:E45"/>
    <mergeCell ref="A46:E46"/>
    <mergeCell ref="A41:E41"/>
    <mergeCell ref="A42:E42"/>
    <mergeCell ref="A43:E43"/>
    <mergeCell ref="A44:E44"/>
    <mergeCell ref="A60:E60"/>
    <mergeCell ref="A33:E33"/>
    <mergeCell ref="G33:K33"/>
    <mergeCell ref="A34:E34"/>
    <mergeCell ref="G34:K34"/>
    <mergeCell ref="A16:E16"/>
    <mergeCell ref="G16:K16"/>
    <mergeCell ref="A17:E17"/>
    <mergeCell ref="G17:K17"/>
    <mergeCell ref="A18:E18"/>
    <mergeCell ref="G18:K18"/>
    <mergeCell ref="A22:E22"/>
    <mergeCell ref="G22:K22"/>
    <mergeCell ref="A23:E23"/>
    <mergeCell ref="G23:K23"/>
    <mergeCell ref="A24:E24"/>
    <mergeCell ref="G24:K24"/>
    <mergeCell ref="G26:K26"/>
    <mergeCell ref="A27:E27"/>
    <mergeCell ref="G27:K27"/>
    <mergeCell ref="A19:E19"/>
    <mergeCell ref="G19:K19"/>
    <mergeCell ref="A20:E20"/>
    <mergeCell ref="A8:L8"/>
    <mergeCell ref="A9:L9"/>
    <mergeCell ref="A4:E4"/>
    <mergeCell ref="A6:E6"/>
    <mergeCell ref="A21:E21"/>
    <mergeCell ref="G21:K21"/>
    <mergeCell ref="A10:L10"/>
    <mergeCell ref="G32:K32"/>
    <mergeCell ref="G20:K20"/>
    <mergeCell ref="A29:E29"/>
    <mergeCell ref="G29:K29"/>
    <mergeCell ref="A30:E30"/>
    <mergeCell ref="G30:K30"/>
    <mergeCell ref="A31:E31"/>
    <mergeCell ref="G31:K31"/>
    <mergeCell ref="A32:E32"/>
    <mergeCell ref="A28:E28"/>
    <mergeCell ref="G28:K28"/>
    <mergeCell ref="A25:E25"/>
    <mergeCell ref="G25:K25"/>
    <mergeCell ref="A26:E26"/>
  </mergeCells>
  <pageMargins left="0.65" right="0.53" top="0.45" bottom="0.37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topLeftCell="A100" zoomScale="90" zoomScaleNormal="90" workbookViewId="0">
      <selection activeCell="I115" sqref="I115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2.57031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4.71093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4" t="s">
        <v>51</v>
      </c>
      <c r="B1" s="14"/>
      <c r="C1" s="14"/>
    </row>
    <row r="2" spans="1:12" ht="15.75" x14ac:dyDescent="0.25">
      <c r="A2" s="51" t="s">
        <v>52</v>
      </c>
      <c r="B2" s="51"/>
      <c r="C2" s="51"/>
    </row>
    <row r="3" spans="1:12" ht="12.75" customHeight="1" x14ac:dyDescent="0.25">
      <c r="A3" s="53"/>
      <c r="B3" s="53"/>
      <c r="C3" s="53"/>
    </row>
    <row r="4" spans="1:12" ht="15.75" x14ac:dyDescent="0.25">
      <c r="A4" s="100" t="s">
        <v>53</v>
      </c>
      <c r="B4" s="100"/>
      <c r="C4" s="100"/>
      <c r="D4" s="101"/>
      <c r="E4" s="101"/>
    </row>
    <row r="5" spans="1:12" ht="12.75" customHeight="1" x14ac:dyDescent="0.25">
      <c r="A5" s="51"/>
      <c r="B5" s="51"/>
      <c r="C5" s="51"/>
    </row>
    <row r="6" spans="1:12" ht="15.75" x14ac:dyDescent="0.25">
      <c r="A6" s="102" t="s">
        <v>54</v>
      </c>
      <c r="B6" s="102"/>
      <c r="C6" s="102"/>
      <c r="D6" s="101"/>
      <c r="E6" s="101"/>
    </row>
    <row r="8" spans="1:12" ht="15.75" x14ac:dyDescent="0.25">
      <c r="A8" s="103" t="s">
        <v>50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</row>
    <row r="9" spans="1:12" ht="15.75" x14ac:dyDescent="0.25">
      <c r="A9" s="103" t="s">
        <v>88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</row>
    <row r="10" spans="1:12" ht="15.75" customHeight="1" x14ac:dyDescent="0.25">
      <c r="A10" s="103" t="s">
        <v>103</v>
      </c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</row>
    <row r="12" spans="1:12" x14ac:dyDescent="0.25">
      <c r="A12" s="68" t="s">
        <v>109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</row>
    <row r="13" spans="1:12" x14ac:dyDescent="0.25">
      <c r="A13" s="68" t="s">
        <v>110</v>
      </c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</row>
    <row r="14" spans="1:12" x14ac:dyDescent="0.25">
      <c r="A14" s="68" t="s">
        <v>111</v>
      </c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9"/>
    </row>
    <row r="15" spans="1:12" ht="17.25" customHeight="1" x14ac:dyDescent="0.25">
      <c r="A15" s="68" t="s">
        <v>104</v>
      </c>
      <c r="B15" s="69"/>
      <c r="C15" s="69"/>
      <c r="D15" s="69"/>
      <c r="E15" s="69"/>
      <c r="F15" s="69"/>
      <c r="G15" s="69"/>
      <c r="H15" s="69"/>
      <c r="I15" s="69"/>
      <c r="J15" s="69"/>
      <c r="K15" s="69"/>
      <c r="L15" s="69"/>
    </row>
    <row r="16" spans="1:12" ht="33" customHeight="1" x14ac:dyDescent="0.25">
      <c r="A16" s="104" t="s">
        <v>0</v>
      </c>
      <c r="B16" s="104"/>
      <c r="C16" s="104"/>
      <c r="D16" s="104"/>
      <c r="E16" s="104"/>
      <c r="F16" s="67" t="s">
        <v>1</v>
      </c>
      <c r="G16" s="104" t="s">
        <v>2</v>
      </c>
      <c r="H16" s="104"/>
      <c r="I16" s="104"/>
      <c r="J16" s="104"/>
      <c r="K16" s="104"/>
      <c r="L16" s="23" t="s">
        <v>1</v>
      </c>
    </row>
    <row r="17" spans="1:12" ht="30.75" customHeight="1" x14ac:dyDescent="0.25">
      <c r="A17" s="105" t="s">
        <v>46</v>
      </c>
      <c r="B17" s="106"/>
      <c r="C17" s="106"/>
      <c r="D17" s="106"/>
      <c r="E17" s="107"/>
      <c r="F17" s="23">
        <f>1*33.72%</f>
        <v>0.3372</v>
      </c>
      <c r="G17" s="99" t="s">
        <v>3</v>
      </c>
      <c r="H17" s="99"/>
      <c r="I17" s="99"/>
      <c r="J17" s="99"/>
      <c r="K17" s="99"/>
      <c r="L17" s="23">
        <f>1*33.72%</f>
        <v>0.3372</v>
      </c>
    </row>
    <row r="18" spans="1:12" ht="15" customHeight="1" x14ac:dyDescent="0.25">
      <c r="A18" s="98" t="s">
        <v>73</v>
      </c>
      <c r="B18" s="98"/>
      <c r="C18" s="98"/>
      <c r="D18" s="98"/>
      <c r="E18" s="98"/>
      <c r="F18" s="23">
        <f>1*33.72%</f>
        <v>0.3372</v>
      </c>
      <c r="G18" s="99" t="s">
        <v>47</v>
      </c>
      <c r="H18" s="99"/>
      <c r="I18" s="99"/>
      <c r="J18" s="99"/>
      <c r="K18" s="99"/>
      <c r="L18" s="23">
        <f>1*33.72%</f>
        <v>0.3372</v>
      </c>
    </row>
    <row r="19" spans="1:12" ht="15" customHeight="1" x14ac:dyDescent="0.25">
      <c r="A19" s="98" t="s">
        <v>76</v>
      </c>
      <c r="B19" s="98"/>
      <c r="C19" s="98"/>
      <c r="D19" s="98"/>
      <c r="E19" s="98"/>
      <c r="F19" s="23">
        <f>1*33.72%</f>
        <v>0.3372</v>
      </c>
      <c r="G19" s="98"/>
      <c r="H19" s="98"/>
      <c r="I19" s="98"/>
      <c r="J19" s="98"/>
      <c r="K19" s="98"/>
      <c r="L19" s="23"/>
    </row>
    <row r="20" spans="1:12" ht="15" customHeight="1" x14ac:dyDescent="0.25">
      <c r="A20" s="98" t="s">
        <v>71</v>
      </c>
      <c r="B20" s="98"/>
      <c r="C20" s="98"/>
      <c r="D20" s="98"/>
      <c r="E20" s="98"/>
      <c r="F20" s="23">
        <f>1*33.72%</f>
        <v>0.3372</v>
      </c>
      <c r="G20" s="98"/>
      <c r="H20" s="98"/>
      <c r="I20" s="98"/>
      <c r="J20" s="98"/>
      <c r="K20" s="98"/>
      <c r="L20" s="23"/>
    </row>
    <row r="21" spans="1:12" ht="14.25" customHeight="1" x14ac:dyDescent="0.25">
      <c r="A21" s="98" t="s">
        <v>74</v>
      </c>
      <c r="B21" s="98"/>
      <c r="C21" s="98"/>
      <c r="D21" s="98"/>
      <c r="E21" s="98"/>
      <c r="F21" s="23">
        <f>0.5*33.72%</f>
        <v>0.1686</v>
      </c>
      <c r="G21" s="99"/>
      <c r="H21" s="99"/>
      <c r="I21" s="99"/>
      <c r="J21" s="99"/>
      <c r="K21" s="99"/>
      <c r="L21" s="23"/>
    </row>
    <row r="22" spans="1:12" ht="15" customHeight="1" x14ac:dyDescent="0.25">
      <c r="A22" s="98" t="s">
        <v>78</v>
      </c>
      <c r="B22" s="98"/>
      <c r="C22" s="98"/>
      <c r="D22" s="98"/>
      <c r="E22" s="98"/>
      <c r="F22" s="23">
        <f>1*33.72%</f>
        <v>0.3372</v>
      </c>
      <c r="G22" s="99"/>
      <c r="H22" s="99"/>
      <c r="I22" s="99"/>
      <c r="J22" s="99"/>
      <c r="K22" s="99"/>
      <c r="L22" s="23"/>
    </row>
    <row r="23" spans="1:12" ht="15" customHeight="1" x14ac:dyDescent="0.25">
      <c r="A23" s="99" t="s">
        <v>41</v>
      </c>
      <c r="B23" s="99"/>
      <c r="C23" s="99"/>
      <c r="D23" s="99"/>
      <c r="E23" s="99"/>
      <c r="F23" s="23">
        <f>0.23*33.72%</f>
        <v>7.7556E-2</v>
      </c>
      <c r="G23" s="99"/>
      <c r="H23" s="99"/>
      <c r="I23" s="99"/>
      <c r="J23" s="99"/>
      <c r="K23" s="99"/>
      <c r="L23" s="23"/>
    </row>
    <row r="24" spans="1:12" ht="15" customHeight="1" x14ac:dyDescent="0.25">
      <c r="A24" s="111" t="s">
        <v>79</v>
      </c>
      <c r="B24" s="112"/>
      <c r="C24" s="112"/>
      <c r="D24" s="112"/>
      <c r="E24" s="113"/>
      <c r="F24" s="23">
        <f>1*33.72%</f>
        <v>0.3372</v>
      </c>
      <c r="G24" s="99"/>
      <c r="H24" s="99"/>
      <c r="I24" s="99"/>
      <c r="J24" s="99"/>
      <c r="K24" s="99"/>
      <c r="L24" s="66"/>
    </row>
    <row r="25" spans="1:12" x14ac:dyDescent="0.25">
      <c r="A25" s="98" t="s">
        <v>70</v>
      </c>
      <c r="B25" s="98"/>
      <c r="C25" s="98"/>
      <c r="D25" s="98"/>
      <c r="E25" s="98"/>
      <c r="F25" s="23">
        <f>1*33.72%</f>
        <v>0.3372</v>
      </c>
      <c r="G25" s="98"/>
      <c r="H25" s="98"/>
      <c r="I25" s="98"/>
      <c r="J25" s="98"/>
      <c r="K25" s="98"/>
      <c r="L25" s="23"/>
    </row>
    <row r="26" spans="1:12" ht="15" customHeight="1" x14ac:dyDescent="0.25">
      <c r="A26" s="98" t="s">
        <v>80</v>
      </c>
      <c r="B26" s="98"/>
      <c r="C26" s="98"/>
      <c r="D26" s="98"/>
      <c r="E26" s="98"/>
      <c r="F26" s="23">
        <f>1*33.72%</f>
        <v>0.3372</v>
      </c>
      <c r="G26" s="98"/>
      <c r="H26" s="98"/>
      <c r="I26" s="98"/>
      <c r="J26" s="98"/>
      <c r="K26" s="98"/>
      <c r="L26" s="23"/>
    </row>
    <row r="27" spans="1:12" x14ac:dyDescent="0.25">
      <c r="A27" s="99" t="s">
        <v>48</v>
      </c>
      <c r="B27" s="99"/>
      <c r="C27" s="99"/>
      <c r="D27" s="99"/>
      <c r="E27" s="99"/>
      <c r="F27" s="23">
        <f>3*33.72%</f>
        <v>1.0116000000000001</v>
      </c>
      <c r="G27" s="98"/>
      <c r="H27" s="98"/>
      <c r="I27" s="98"/>
      <c r="J27" s="98"/>
      <c r="K27" s="98"/>
      <c r="L27" s="23"/>
    </row>
    <row r="28" spans="1:12" ht="15" customHeight="1" x14ac:dyDescent="0.25">
      <c r="A28" s="99" t="s">
        <v>77</v>
      </c>
      <c r="B28" s="99"/>
      <c r="C28" s="99"/>
      <c r="D28" s="99"/>
      <c r="E28" s="99"/>
      <c r="F28" s="23">
        <f>1*33.72%</f>
        <v>0.3372</v>
      </c>
      <c r="G28" s="99"/>
      <c r="H28" s="99"/>
      <c r="I28" s="99"/>
      <c r="J28" s="99"/>
      <c r="K28" s="99"/>
      <c r="L28" s="66"/>
    </row>
    <row r="29" spans="1:12" x14ac:dyDescent="0.25">
      <c r="A29" s="99" t="s">
        <v>72</v>
      </c>
      <c r="B29" s="99"/>
      <c r="C29" s="99"/>
      <c r="D29" s="99"/>
      <c r="E29" s="99"/>
      <c r="F29" s="23">
        <f>1*33.72%</f>
        <v>0.3372</v>
      </c>
      <c r="G29" s="98"/>
      <c r="H29" s="98"/>
      <c r="I29" s="98"/>
      <c r="J29" s="98"/>
      <c r="K29" s="98"/>
      <c r="L29" s="23"/>
    </row>
    <row r="30" spans="1:12" ht="15" customHeight="1" x14ac:dyDescent="0.25">
      <c r="A30" s="99" t="s">
        <v>75</v>
      </c>
      <c r="B30" s="99"/>
      <c r="C30" s="99"/>
      <c r="D30" s="99"/>
      <c r="E30" s="99"/>
      <c r="F30" s="23">
        <f>2.87*33.72%</f>
        <v>0.96776400000000007</v>
      </c>
      <c r="G30" s="98"/>
      <c r="H30" s="98"/>
      <c r="I30" s="98"/>
      <c r="J30" s="98"/>
      <c r="K30" s="98"/>
      <c r="L30" s="23"/>
    </row>
    <row r="31" spans="1:12" ht="15.75" thickBot="1" x14ac:dyDescent="0.3">
      <c r="A31" s="99" t="s">
        <v>49</v>
      </c>
      <c r="B31" s="99"/>
      <c r="C31" s="99"/>
      <c r="D31" s="99"/>
      <c r="E31" s="99"/>
      <c r="F31" s="23">
        <f>1.5*33.72%</f>
        <v>0.50580000000000003</v>
      </c>
      <c r="G31" s="98"/>
      <c r="H31" s="98"/>
      <c r="I31" s="98"/>
      <c r="J31" s="98"/>
      <c r="K31" s="98"/>
      <c r="L31" s="23"/>
    </row>
    <row r="32" spans="1:12" ht="15.75" hidden="1" thickBot="1" x14ac:dyDescent="0.3">
      <c r="A32" s="111"/>
      <c r="B32" s="112"/>
      <c r="C32" s="112"/>
      <c r="D32" s="112"/>
      <c r="E32" s="113"/>
      <c r="F32" s="23"/>
      <c r="G32" s="98"/>
      <c r="H32" s="98"/>
      <c r="I32" s="98"/>
      <c r="J32" s="98"/>
      <c r="K32" s="98"/>
      <c r="L32" s="23"/>
    </row>
    <row r="33" spans="1:12" ht="9.75" hidden="1" customHeight="1" x14ac:dyDescent="0.25">
      <c r="A33" s="111"/>
      <c r="B33" s="112"/>
      <c r="C33" s="112"/>
      <c r="D33" s="112"/>
      <c r="E33" s="113"/>
      <c r="F33" s="64"/>
      <c r="G33" s="105"/>
      <c r="H33" s="106"/>
      <c r="I33" s="106"/>
      <c r="J33" s="106"/>
      <c r="K33" s="107"/>
      <c r="L33" s="64"/>
    </row>
    <row r="34" spans="1:12" ht="15.75" thickBot="1" x14ac:dyDescent="0.3">
      <c r="A34" s="108" t="s">
        <v>4</v>
      </c>
      <c r="B34" s="108"/>
      <c r="C34" s="108"/>
      <c r="D34" s="108"/>
      <c r="E34" s="109"/>
      <c r="F34" s="65">
        <f>SUM(F17:F33)+0.04+0.43</f>
        <v>6.5733199999999998</v>
      </c>
      <c r="G34" s="110" t="s">
        <v>4</v>
      </c>
      <c r="H34" s="108"/>
      <c r="I34" s="108"/>
      <c r="J34" s="108"/>
      <c r="K34" s="109"/>
      <c r="L34" s="65">
        <f>SUM(L17:L33)+0.01</f>
        <v>0.68440000000000001</v>
      </c>
    </row>
    <row r="35" spans="1:12" ht="15.75" thickBot="1" x14ac:dyDescent="0.3"/>
    <row r="36" spans="1:12" ht="15.75" thickBot="1" x14ac:dyDescent="0.3">
      <c r="A36" s="17" t="s">
        <v>65</v>
      </c>
      <c r="F36" s="58">
        <v>661</v>
      </c>
    </row>
    <row r="37" spans="1:12" ht="60.75" thickBot="1" x14ac:dyDescent="0.3">
      <c r="A37" s="83" t="s">
        <v>5</v>
      </c>
      <c r="B37" s="84"/>
      <c r="C37" s="84"/>
      <c r="D37" s="84"/>
      <c r="E37" s="85"/>
      <c r="F37" s="62" t="s">
        <v>6</v>
      </c>
      <c r="G37" s="54" t="s">
        <v>1</v>
      </c>
      <c r="H37" s="54" t="s">
        <v>60</v>
      </c>
      <c r="I37" s="54" t="s">
        <v>61</v>
      </c>
      <c r="J37" s="54" t="s">
        <v>62</v>
      </c>
      <c r="K37" s="44" t="s">
        <v>63</v>
      </c>
      <c r="L37" s="31"/>
    </row>
    <row r="38" spans="1:12" ht="30.75" hidden="1" customHeight="1" x14ac:dyDescent="0.25">
      <c r="A38" s="78" t="s">
        <v>46</v>
      </c>
      <c r="B38" s="79"/>
      <c r="C38" s="79"/>
      <c r="D38" s="79"/>
      <c r="E38" s="80"/>
      <c r="F38" s="23">
        <f>'Услуга №1 '!F39</f>
        <v>11538</v>
      </c>
      <c r="G38" s="9">
        <v>0.89</v>
      </c>
      <c r="H38" s="4">
        <f>G38*F38*12</f>
        <v>123225.84</v>
      </c>
      <c r="I38" s="4">
        <f>H38*1.302</f>
        <v>160440.04368</v>
      </c>
      <c r="J38" s="9">
        <f>F36</f>
        <v>661</v>
      </c>
      <c r="K38" s="9">
        <f>I38/J38</f>
        <v>242.7232128290469</v>
      </c>
      <c r="L38" s="27"/>
    </row>
    <row r="39" spans="1:12" ht="14.25" hidden="1" customHeight="1" x14ac:dyDescent="0.25">
      <c r="A39" s="86" t="s">
        <v>73</v>
      </c>
      <c r="B39" s="86"/>
      <c r="C39" s="86"/>
      <c r="D39" s="86"/>
      <c r="E39" s="86"/>
      <c r="F39" s="23">
        <f>'Услуга №1 '!F40</f>
        <v>11538</v>
      </c>
      <c r="G39" s="9">
        <v>0.89</v>
      </c>
      <c r="H39" s="4">
        <f t="shared" ref="H39:H52" si="0">G39*F39*12</f>
        <v>123225.84</v>
      </c>
      <c r="I39" s="4">
        <f t="shared" ref="I39:I52" si="1">H39*1.302</f>
        <v>160440.04368</v>
      </c>
      <c r="J39" s="9">
        <f>J43</f>
        <v>661</v>
      </c>
      <c r="K39" s="9">
        <f t="shared" ref="K39:K52" si="2">I39/J39</f>
        <v>242.7232128290469</v>
      </c>
      <c r="L39" s="27"/>
    </row>
    <row r="40" spans="1:12" ht="14.25" hidden="1" customHeight="1" x14ac:dyDescent="0.25">
      <c r="A40" s="86" t="s">
        <v>76</v>
      </c>
      <c r="B40" s="86"/>
      <c r="C40" s="86"/>
      <c r="D40" s="86"/>
      <c r="E40" s="86"/>
      <c r="F40" s="23">
        <f>'Услуга №1 '!F41</f>
        <v>11538</v>
      </c>
      <c r="G40" s="9">
        <v>0.89</v>
      </c>
      <c r="H40" s="4">
        <f t="shared" si="0"/>
        <v>123225.84</v>
      </c>
      <c r="I40" s="4">
        <f t="shared" si="1"/>
        <v>160440.04368</v>
      </c>
      <c r="J40" s="9">
        <f>J38</f>
        <v>661</v>
      </c>
      <c r="K40" s="9">
        <f t="shared" si="2"/>
        <v>242.7232128290469</v>
      </c>
      <c r="L40" s="27"/>
    </row>
    <row r="41" spans="1:12" ht="13.5" hidden="1" customHeight="1" x14ac:dyDescent="0.25">
      <c r="A41" s="86" t="s">
        <v>71</v>
      </c>
      <c r="B41" s="86"/>
      <c r="C41" s="86"/>
      <c r="D41" s="86"/>
      <c r="E41" s="86"/>
      <c r="F41" s="23">
        <f>'Услуга №1 '!F42</f>
        <v>8837</v>
      </c>
      <c r="G41" s="9">
        <v>0.89</v>
      </c>
      <c r="H41" s="4">
        <f t="shared" si="0"/>
        <v>94379.16</v>
      </c>
      <c r="I41" s="4">
        <f t="shared" si="1"/>
        <v>122881.66632</v>
      </c>
      <c r="J41" s="9">
        <f>J38</f>
        <v>661</v>
      </c>
      <c r="K41" s="9">
        <f t="shared" si="2"/>
        <v>185.902672193646</v>
      </c>
      <c r="L41" s="27"/>
    </row>
    <row r="42" spans="1:12" ht="15.75" hidden="1" thickBot="1" x14ac:dyDescent="0.3">
      <c r="A42" s="86" t="s">
        <v>74</v>
      </c>
      <c r="B42" s="86"/>
      <c r="C42" s="86"/>
      <c r="D42" s="86"/>
      <c r="E42" s="86"/>
      <c r="F42" s="23">
        <f>'Услуга №1 '!F43</f>
        <v>4418.5</v>
      </c>
      <c r="G42" s="9">
        <v>0.44</v>
      </c>
      <c r="H42" s="4">
        <f t="shared" si="0"/>
        <v>23329.68</v>
      </c>
      <c r="I42" s="4">
        <f t="shared" si="1"/>
        <v>30375.24336</v>
      </c>
      <c r="J42" s="9">
        <f>J40</f>
        <v>661</v>
      </c>
      <c r="K42" s="9">
        <f t="shared" si="2"/>
        <v>45.953469531013617</v>
      </c>
      <c r="L42" s="27"/>
    </row>
    <row r="43" spans="1:12" ht="15.75" hidden="1" thickBot="1" x14ac:dyDescent="0.3">
      <c r="A43" s="86" t="s">
        <v>78</v>
      </c>
      <c r="B43" s="86"/>
      <c r="C43" s="86"/>
      <c r="D43" s="86"/>
      <c r="E43" s="86"/>
      <c r="F43" s="23">
        <f>'Услуга №1 '!F44</f>
        <v>8837</v>
      </c>
      <c r="G43" s="9">
        <v>0.89</v>
      </c>
      <c r="H43" s="4">
        <f t="shared" si="0"/>
        <v>94379.16</v>
      </c>
      <c r="I43" s="4">
        <f t="shared" si="1"/>
        <v>122881.66632</v>
      </c>
      <c r="J43" s="9">
        <f>J40</f>
        <v>661</v>
      </c>
      <c r="K43" s="9">
        <f t="shared" si="2"/>
        <v>185.902672193646</v>
      </c>
      <c r="L43" s="27"/>
    </row>
    <row r="44" spans="1:12" ht="15" hidden="1" customHeight="1" x14ac:dyDescent="0.25">
      <c r="A44" s="114" t="s">
        <v>41</v>
      </c>
      <c r="B44" s="114"/>
      <c r="C44" s="114"/>
      <c r="D44" s="114"/>
      <c r="E44" s="114"/>
      <c r="F44" s="9">
        <f>'Услуга №1 '!F45</f>
        <v>6556</v>
      </c>
      <c r="G44" s="9">
        <v>1.44</v>
      </c>
      <c r="H44" s="4">
        <f t="shared" si="0"/>
        <v>113287.67999999999</v>
      </c>
      <c r="I44" s="4">
        <f t="shared" si="1"/>
        <v>147500.55935999998</v>
      </c>
      <c r="J44" s="9">
        <f>J42</f>
        <v>661</v>
      </c>
      <c r="K44" s="9">
        <f t="shared" si="2"/>
        <v>223.14759358547653</v>
      </c>
      <c r="L44" s="27"/>
    </row>
    <row r="45" spans="1:12" ht="15.75" hidden="1" thickBot="1" x14ac:dyDescent="0.3">
      <c r="A45" s="93" t="s">
        <v>79</v>
      </c>
      <c r="B45" s="94"/>
      <c r="C45" s="94"/>
      <c r="D45" s="94"/>
      <c r="E45" s="95"/>
      <c r="F45" s="9">
        <f>'Услуга №1 '!F46</f>
        <v>3933</v>
      </c>
      <c r="G45" s="9">
        <v>0.89</v>
      </c>
      <c r="H45" s="4">
        <f t="shared" si="0"/>
        <v>42004.44</v>
      </c>
      <c r="I45" s="4">
        <f t="shared" si="1"/>
        <v>54689.780880000006</v>
      </c>
      <c r="J45" s="9">
        <f>J42</f>
        <v>661</v>
      </c>
      <c r="K45" s="9">
        <f t="shared" si="2"/>
        <v>82.737943842662645</v>
      </c>
      <c r="L45" s="27"/>
    </row>
    <row r="46" spans="1:12" ht="15.75" hidden="1" customHeight="1" x14ac:dyDescent="0.25">
      <c r="A46" s="86" t="s">
        <v>70</v>
      </c>
      <c r="B46" s="86"/>
      <c r="C46" s="86"/>
      <c r="D46" s="86"/>
      <c r="E46" s="86"/>
      <c r="F46" s="9">
        <f>'Услуга №1 '!F47</f>
        <v>4496</v>
      </c>
      <c r="G46" s="9">
        <v>0.89</v>
      </c>
      <c r="H46" s="4">
        <f t="shared" si="0"/>
        <v>48017.279999999999</v>
      </c>
      <c r="I46" s="4">
        <f t="shared" si="1"/>
        <v>62518.49856</v>
      </c>
      <c r="J46" s="9">
        <f>J43</f>
        <v>661</v>
      </c>
      <c r="K46" s="9">
        <f t="shared" si="2"/>
        <v>94.581692223903175</v>
      </c>
      <c r="L46" s="27"/>
    </row>
    <row r="47" spans="1:12" ht="15.75" hidden="1" thickBot="1" x14ac:dyDescent="0.3">
      <c r="A47" s="86" t="s">
        <v>80</v>
      </c>
      <c r="B47" s="86"/>
      <c r="C47" s="86"/>
      <c r="D47" s="86"/>
      <c r="E47" s="86"/>
      <c r="F47" s="9">
        <f>'Услуга №1 '!F48</f>
        <v>11538</v>
      </c>
      <c r="G47" s="9">
        <v>0.89</v>
      </c>
      <c r="H47" s="4">
        <f t="shared" si="0"/>
        <v>123225.84</v>
      </c>
      <c r="I47" s="4">
        <f t="shared" si="1"/>
        <v>160440.04368</v>
      </c>
      <c r="J47" s="9">
        <f>J44</f>
        <v>661</v>
      </c>
      <c r="K47" s="9">
        <f t="shared" si="2"/>
        <v>242.7232128290469</v>
      </c>
      <c r="L47" s="27"/>
    </row>
    <row r="48" spans="1:12" ht="15" hidden="1" customHeight="1" x14ac:dyDescent="0.25">
      <c r="A48" s="114" t="s">
        <v>48</v>
      </c>
      <c r="B48" s="114"/>
      <c r="C48" s="114"/>
      <c r="D48" s="114"/>
      <c r="E48" s="114"/>
      <c r="F48" s="9">
        <f>'Услуга №1 '!F49</f>
        <v>11538</v>
      </c>
      <c r="G48" s="9">
        <v>2.66</v>
      </c>
      <c r="H48" s="4">
        <f t="shared" si="0"/>
        <v>368292.96</v>
      </c>
      <c r="I48" s="4">
        <f t="shared" si="1"/>
        <v>479517.43392000004</v>
      </c>
      <c r="J48" s="9">
        <f>J44</f>
        <v>661</v>
      </c>
      <c r="K48" s="9">
        <f t="shared" si="2"/>
        <v>725.44241137670201</v>
      </c>
      <c r="L48" s="27"/>
    </row>
    <row r="49" spans="1:13" ht="15" hidden="1" customHeight="1" x14ac:dyDescent="0.25">
      <c r="A49" s="114" t="s">
        <v>77</v>
      </c>
      <c r="B49" s="114"/>
      <c r="C49" s="114"/>
      <c r="D49" s="114"/>
      <c r="E49" s="114"/>
      <c r="F49" s="9">
        <f>'Услуга №1 '!F50</f>
        <v>6556</v>
      </c>
      <c r="G49" s="9">
        <v>0.89</v>
      </c>
      <c r="H49" s="4">
        <f t="shared" si="0"/>
        <v>70018.080000000002</v>
      </c>
      <c r="I49" s="4">
        <f t="shared" si="1"/>
        <v>91163.540160000004</v>
      </c>
      <c r="J49" s="9">
        <f>J47</f>
        <v>661</v>
      </c>
      <c r="K49" s="9">
        <f t="shared" si="2"/>
        <v>137.91760992435704</v>
      </c>
      <c r="L49" s="27"/>
    </row>
    <row r="50" spans="1:13" ht="17.25" hidden="1" customHeight="1" x14ac:dyDescent="0.25">
      <c r="A50" s="114" t="s">
        <v>72</v>
      </c>
      <c r="B50" s="114"/>
      <c r="C50" s="114"/>
      <c r="D50" s="114"/>
      <c r="E50" s="114"/>
      <c r="F50" s="23">
        <f>'Услуга №1 '!F51</f>
        <v>11538</v>
      </c>
      <c r="G50" s="9">
        <v>0.89</v>
      </c>
      <c r="H50" s="4">
        <f t="shared" si="0"/>
        <v>123225.84</v>
      </c>
      <c r="I50" s="4">
        <f t="shared" si="1"/>
        <v>160440.04368</v>
      </c>
      <c r="J50" s="9">
        <f>J48</f>
        <v>661</v>
      </c>
      <c r="K50" s="9">
        <f t="shared" si="2"/>
        <v>242.7232128290469</v>
      </c>
      <c r="L50" s="27"/>
    </row>
    <row r="51" spans="1:13" ht="15" hidden="1" customHeight="1" x14ac:dyDescent="0.25">
      <c r="A51" s="114" t="s">
        <v>75</v>
      </c>
      <c r="B51" s="114"/>
      <c r="C51" s="114"/>
      <c r="D51" s="114"/>
      <c r="E51" s="114"/>
      <c r="F51" s="23">
        <f>'Услуга №1 '!F52</f>
        <v>8837</v>
      </c>
      <c r="G51" s="9">
        <v>2.1</v>
      </c>
      <c r="H51" s="4">
        <f t="shared" si="0"/>
        <v>222692.40000000002</v>
      </c>
      <c r="I51" s="4">
        <f t="shared" si="1"/>
        <v>289945.50480000005</v>
      </c>
      <c r="J51" s="9">
        <f>J50</f>
        <v>661</v>
      </c>
      <c r="K51" s="9">
        <f t="shared" si="2"/>
        <v>438.64675461422098</v>
      </c>
      <c r="L51" s="27"/>
    </row>
    <row r="52" spans="1:13" ht="15" hidden="1" customHeight="1" x14ac:dyDescent="0.25">
      <c r="A52" s="114" t="s">
        <v>49</v>
      </c>
      <c r="B52" s="114"/>
      <c r="C52" s="114"/>
      <c r="D52" s="114"/>
      <c r="E52" s="114"/>
      <c r="F52" s="23">
        <f>'Услуга №1 '!F53</f>
        <v>11538</v>
      </c>
      <c r="G52" s="9">
        <v>0.89</v>
      </c>
      <c r="H52" s="4">
        <f t="shared" si="0"/>
        <v>123225.84</v>
      </c>
      <c r="I52" s="59">
        <f t="shared" si="1"/>
        <v>160440.04368</v>
      </c>
      <c r="J52" s="9">
        <f>J51</f>
        <v>661</v>
      </c>
      <c r="K52" s="57">
        <f t="shared" si="2"/>
        <v>242.7232128290469</v>
      </c>
      <c r="L52" s="27"/>
    </row>
    <row r="53" spans="1:13" s="8" customFormat="1" ht="14.25" customHeight="1" thickBot="1" x14ac:dyDescent="0.3">
      <c r="A53" s="48" t="s">
        <v>81</v>
      </c>
      <c r="B53" s="49"/>
      <c r="C53" s="49"/>
      <c r="D53" s="49"/>
      <c r="E53" s="49"/>
      <c r="F53" s="3">
        <v>24555.51</v>
      </c>
      <c r="G53" s="3">
        <f>F34</f>
        <v>6.5733199999999998</v>
      </c>
      <c r="H53" s="5">
        <v>1935956.41</v>
      </c>
      <c r="I53" s="60">
        <f>(H53*1.302)</f>
        <v>2520615.2458199998</v>
      </c>
      <c r="J53" s="63">
        <f>J52</f>
        <v>661</v>
      </c>
      <c r="K53" s="60">
        <f>I53/F36</f>
        <v>3813.3362266565805</v>
      </c>
      <c r="L53" s="27"/>
      <c r="M53" s="7"/>
    </row>
    <row r="54" spans="1:13" x14ac:dyDescent="0.25">
      <c r="A54" s="26"/>
      <c r="B54" s="26"/>
      <c r="C54" s="26"/>
      <c r="D54" s="26"/>
      <c r="E54" s="26"/>
      <c r="F54" s="27"/>
      <c r="G54" s="27"/>
      <c r="H54" s="27"/>
      <c r="I54" s="27"/>
      <c r="J54" s="27"/>
      <c r="K54" s="27"/>
      <c r="L54" s="27"/>
    </row>
    <row r="55" spans="1:13" ht="12" customHeight="1" x14ac:dyDescent="0.25"/>
    <row r="56" spans="1:13" ht="18" customHeight="1" x14ac:dyDescent="0.25">
      <c r="A56" s="87" t="s">
        <v>8</v>
      </c>
      <c r="B56" s="87"/>
      <c r="C56" s="87"/>
      <c r="D56" s="87"/>
      <c r="E56" s="87"/>
      <c r="F56" s="87"/>
      <c r="G56" s="87"/>
      <c r="H56" s="87"/>
      <c r="I56" s="87"/>
      <c r="J56" s="87"/>
      <c r="K56" s="87"/>
      <c r="L56" s="87"/>
    </row>
    <row r="57" spans="1:13" ht="45" x14ac:dyDescent="0.25">
      <c r="A57" s="89" t="s">
        <v>9</v>
      </c>
      <c r="B57" s="89"/>
      <c r="C57" s="89"/>
      <c r="D57" s="89"/>
      <c r="E57" s="89"/>
      <c r="F57" s="54" t="s">
        <v>7</v>
      </c>
      <c r="G57" s="54" t="s">
        <v>59</v>
      </c>
      <c r="H57" s="54" t="s">
        <v>58</v>
      </c>
      <c r="I57" s="54" t="s">
        <v>64</v>
      </c>
      <c r="J57" s="54" t="s">
        <v>62</v>
      </c>
      <c r="K57" s="21" t="s">
        <v>63</v>
      </c>
      <c r="L57" s="28"/>
    </row>
    <row r="58" spans="1:13" x14ac:dyDescent="0.25">
      <c r="A58" s="93" t="s">
        <v>42</v>
      </c>
      <c r="B58" s="94"/>
      <c r="C58" s="94"/>
      <c r="D58" s="94"/>
      <c r="E58" s="95"/>
      <c r="F58" s="22" t="s">
        <v>43</v>
      </c>
      <c r="G58" s="22">
        <v>33200</v>
      </c>
      <c r="H58" s="22">
        <v>5.0999999999999996</v>
      </c>
      <c r="I58" s="29">
        <f>165847.5*33.72%</f>
        <v>55923.777000000002</v>
      </c>
      <c r="J58" s="9">
        <f>F36</f>
        <v>661</v>
      </c>
      <c r="K58" s="30">
        <f>I58/J58</f>
        <v>84.604806354009085</v>
      </c>
      <c r="L58" s="28"/>
    </row>
    <row r="59" spans="1:13" x14ac:dyDescent="0.25">
      <c r="A59" s="86" t="s">
        <v>10</v>
      </c>
      <c r="B59" s="86"/>
      <c r="C59" s="86"/>
      <c r="D59" s="86"/>
      <c r="E59" s="86"/>
      <c r="F59" s="9" t="s">
        <v>13</v>
      </c>
      <c r="G59" s="9">
        <v>150</v>
      </c>
      <c r="H59" s="9">
        <v>1703</v>
      </c>
      <c r="I59" s="29">
        <f>284809.75*33.72%</f>
        <v>96037.847699999998</v>
      </c>
      <c r="J59" s="9">
        <f>J58</f>
        <v>661</v>
      </c>
      <c r="K59" s="30">
        <f t="shared" ref="K59:K62" si="3">I59/J59</f>
        <v>145.29175143721633</v>
      </c>
      <c r="L59" s="20"/>
    </row>
    <row r="60" spans="1:13" x14ac:dyDescent="0.25">
      <c r="A60" s="86" t="s">
        <v>11</v>
      </c>
      <c r="B60" s="86"/>
      <c r="C60" s="86"/>
      <c r="D60" s="86"/>
      <c r="E60" s="86"/>
      <c r="F60" s="9" t="s">
        <v>14</v>
      </c>
      <c r="G60" s="9">
        <v>200</v>
      </c>
      <c r="H60" s="9">
        <v>41.9</v>
      </c>
      <c r="I60" s="29">
        <f>8626.18*33.72%</f>
        <v>2908.7478960000003</v>
      </c>
      <c r="J60" s="9">
        <f>J59</f>
        <v>661</v>
      </c>
      <c r="K60" s="30">
        <f t="shared" si="3"/>
        <v>4.4005263177004545</v>
      </c>
      <c r="L60" s="20"/>
    </row>
    <row r="61" spans="1:13" x14ac:dyDescent="0.25">
      <c r="A61" s="86" t="s">
        <v>12</v>
      </c>
      <c r="B61" s="86"/>
      <c r="C61" s="86"/>
      <c r="D61" s="86"/>
      <c r="E61" s="86"/>
      <c r="F61" s="9" t="s">
        <v>14</v>
      </c>
      <c r="G61" s="9">
        <v>200</v>
      </c>
      <c r="H61" s="9">
        <v>60.65</v>
      </c>
      <c r="I61" s="29">
        <f>12562.29*33.72%</f>
        <v>4236.0041879999999</v>
      </c>
      <c r="J61" s="9">
        <f>J59</f>
        <v>661</v>
      </c>
      <c r="K61" s="30">
        <f t="shared" si="3"/>
        <v>6.4084783479576402</v>
      </c>
      <c r="L61" s="20"/>
    </row>
    <row r="62" spans="1:13" ht="15.75" thickBot="1" x14ac:dyDescent="0.3">
      <c r="A62" s="93" t="s">
        <v>17</v>
      </c>
      <c r="B62" s="115"/>
      <c r="C62" s="115"/>
      <c r="D62" s="115"/>
      <c r="E62" s="115"/>
      <c r="F62" s="9" t="s">
        <v>14</v>
      </c>
      <c r="G62" s="9">
        <v>12</v>
      </c>
      <c r="H62" s="9">
        <v>956.71</v>
      </c>
      <c r="I62" s="70">
        <f>22696.01*33.72%</f>
        <v>7653.0945719999991</v>
      </c>
      <c r="J62" s="9">
        <f>J60</f>
        <v>661</v>
      </c>
      <c r="K62" s="71">
        <f t="shared" si="3"/>
        <v>11.578055328290468</v>
      </c>
      <c r="L62" s="20"/>
    </row>
    <row r="63" spans="1:13" s="8" customFormat="1" ht="15" customHeight="1" thickBot="1" x14ac:dyDescent="0.3">
      <c r="A63" s="116" t="s">
        <v>15</v>
      </c>
      <c r="B63" s="117"/>
      <c r="C63" s="117"/>
      <c r="D63" s="117"/>
      <c r="E63" s="117"/>
      <c r="F63" s="117"/>
      <c r="G63" s="117"/>
      <c r="H63" s="117"/>
      <c r="I63" s="60">
        <f>SUM(I58:I62)</f>
        <v>166759.47135599997</v>
      </c>
      <c r="J63" s="63">
        <f>J61</f>
        <v>661</v>
      </c>
      <c r="K63" s="60">
        <f>I63/J63</f>
        <v>252.28361778517393</v>
      </c>
      <c r="L63" s="27"/>
      <c r="M63" s="7"/>
    </row>
    <row r="65" spans="1:13" x14ac:dyDescent="0.25">
      <c r="A65" s="87" t="s">
        <v>16</v>
      </c>
      <c r="B65" s="87"/>
      <c r="C65" s="87"/>
      <c r="D65" s="87"/>
      <c r="E65" s="87"/>
      <c r="F65" s="87"/>
      <c r="G65" s="87"/>
      <c r="H65" s="87"/>
      <c r="I65" s="87"/>
      <c r="J65" s="87"/>
      <c r="K65" s="87"/>
      <c r="L65" s="87"/>
    </row>
    <row r="66" spans="1:13" ht="45" x14ac:dyDescent="0.25">
      <c r="A66" s="89" t="s">
        <v>20</v>
      </c>
      <c r="B66" s="89"/>
      <c r="C66" s="89"/>
      <c r="D66" s="89"/>
      <c r="E66" s="89"/>
      <c r="F66" s="22" t="s">
        <v>7</v>
      </c>
      <c r="G66" s="22" t="s">
        <v>59</v>
      </c>
      <c r="H66" s="22" t="s">
        <v>58</v>
      </c>
      <c r="I66" s="22" t="s">
        <v>64</v>
      </c>
      <c r="J66" s="22" t="s">
        <v>62</v>
      </c>
      <c r="K66" s="30" t="s">
        <v>63</v>
      </c>
      <c r="L66" s="28"/>
    </row>
    <row r="67" spans="1:13" ht="14.25" customHeight="1" x14ac:dyDescent="0.25">
      <c r="A67" s="86" t="s">
        <v>44</v>
      </c>
      <c r="B67" s="86"/>
      <c r="C67" s="86"/>
      <c r="D67" s="86"/>
      <c r="E67" s="86"/>
      <c r="F67" s="9" t="s">
        <v>18</v>
      </c>
      <c r="G67" s="9">
        <v>12</v>
      </c>
      <c r="H67" s="9">
        <v>785.4</v>
      </c>
      <c r="I67" s="9">
        <f>9424.8*33.72%</f>
        <v>3178.0425599999999</v>
      </c>
      <c r="J67" s="9">
        <f>F36</f>
        <v>661</v>
      </c>
      <c r="K67" s="55">
        <f t="shared" ref="K67:K70" si="4">I67/J67</f>
        <v>4.8079312556732221</v>
      </c>
      <c r="L67" s="20"/>
    </row>
    <row r="68" spans="1:13" ht="14.25" customHeight="1" x14ac:dyDescent="0.25">
      <c r="A68" s="86" t="s">
        <v>89</v>
      </c>
      <c r="B68" s="86"/>
      <c r="C68" s="86"/>
      <c r="D68" s="86"/>
      <c r="E68" s="86"/>
      <c r="F68" s="9" t="s">
        <v>18</v>
      </c>
      <c r="G68" s="9">
        <v>12</v>
      </c>
      <c r="H68" s="9">
        <v>2900</v>
      </c>
      <c r="I68" s="9">
        <f>34800*33.72%</f>
        <v>11734.56</v>
      </c>
      <c r="J68" s="9">
        <f>J67</f>
        <v>661</v>
      </c>
      <c r="K68" s="55">
        <f t="shared" si="4"/>
        <v>17.752738275340391</v>
      </c>
      <c r="L68" s="20"/>
    </row>
    <row r="69" spans="1:13" ht="14.25" customHeight="1" x14ac:dyDescent="0.25">
      <c r="A69" s="86" t="s">
        <v>90</v>
      </c>
      <c r="B69" s="86"/>
      <c r="C69" s="86"/>
      <c r="D69" s="86"/>
      <c r="E69" s="86"/>
      <c r="F69" s="9" t="s">
        <v>18</v>
      </c>
      <c r="G69" s="9">
        <v>12</v>
      </c>
      <c r="H69" s="9">
        <v>2100</v>
      </c>
      <c r="I69" s="9">
        <f>25200*33.72%</f>
        <v>8497.44</v>
      </c>
      <c r="J69" s="9">
        <f>J67</f>
        <v>661</v>
      </c>
      <c r="K69" s="55">
        <f t="shared" si="4"/>
        <v>12.855431164901665</v>
      </c>
      <c r="L69" s="20"/>
    </row>
    <row r="70" spans="1:13" ht="23.25" customHeight="1" thickBot="1" x14ac:dyDescent="0.3">
      <c r="A70" s="78" t="s">
        <v>91</v>
      </c>
      <c r="B70" s="79"/>
      <c r="C70" s="79"/>
      <c r="D70" s="79"/>
      <c r="E70" s="80"/>
      <c r="F70" s="9" t="s">
        <v>18</v>
      </c>
      <c r="G70" s="9">
        <v>12</v>
      </c>
      <c r="H70" s="9">
        <v>800</v>
      </c>
      <c r="I70" s="57">
        <f>9600*33.72%</f>
        <v>3237.12</v>
      </c>
      <c r="J70" s="9">
        <f>J69</f>
        <v>661</v>
      </c>
      <c r="K70" s="57">
        <f t="shared" si="4"/>
        <v>4.8973071104387289</v>
      </c>
      <c r="L70" s="27"/>
    </row>
    <row r="71" spans="1:13" s="8" customFormat="1" ht="15.75" customHeight="1" thickBot="1" x14ac:dyDescent="0.3">
      <c r="A71" s="96" t="s">
        <v>19</v>
      </c>
      <c r="B71" s="97"/>
      <c r="C71" s="97"/>
      <c r="D71" s="97"/>
      <c r="E71" s="97"/>
      <c r="F71" s="97"/>
      <c r="G71" s="97"/>
      <c r="H71" s="97"/>
      <c r="I71" s="60">
        <f>SUM(I67:I70)</f>
        <v>26647.162560000001</v>
      </c>
      <c r="J71" s="61">
        <f>F36</f>
        <v>661</v>
      </c>
      <c r="K71" s="60">
        <f>SUM(K67:K70)</f>
        <v>40.313407806354007</v>
      </c>
      <c r="L71" s="27"/>
      <c r="M71" s="7"/>
    </row>
    <row r="73" spans="1:13" x14ac:dyDescent="0.25">
      <c r="A73" s="87" t="s">
        <v>82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</row>
    <row r="74" spans="1:13" ht="45" x14ac:dyDescent="0.25">
      <c r="A74" s="83" t="s">
        <v>20</v>
      </c>
      <c r="B74" s="84"/>
      <c r="C74" s="84"/>
      <c r="D74" s="84"/>
      <c r="E74" s="85"/>
      <c r="F74" s="54" t="s">
        <v>7</v>
      </c>
      <c r="G74" s="54" t="s">
        <v>59</v>
      </c>
      <c r="H74" s="54" t="s">
        <v>58</v>
      </c>
      <c r="I74" s="54" t="s">
        <v>64</v>
      </c>
      <c r="J74" s="54" t="s">
        <v>62</v>
      </c>
      <c r="K74" s="21" t="s">
        <v>63</v>
      </c>
      <c r="L74" s="28"/>
      <c r="M74" s="31"/>
    </row>
    <row r="75" spans="1:13" ht="34.5" customHeight="1" x14ac:dyDescent="0.25">
      <c r="A75" s="86" t="s">
        <v>21</v>
      </c>
      <c r="B75" s="86"/>
      <c r="C75" s="86"/>
      <c r="D75" s="86"/>
      <c r="E75" s="86"/>
      <c r="F75" s="32" t="s">
        <v>22</v>
      </c>
      <c r="G75" s="9">
        <v>2</v>
      </c>
      <c r="H75" s="33">
        <v>400</v>
      </c>
      <c r="I75" s="9">
        <f>9600*33.72%</f>
        <v>3237.12</v>
      </c>
      <c r="J75" s="9">
        <f>F36</f>
        <v>661</v>
      </c>
      <c r="K75" s="55">
        <f>I75/J75</f>
        <v>4.8973071104387289</v>
      </c>
      <c r="L75" s="20"/>
      <c r="M75" s="27"/>
    </row>
    <row r="76" spans="1:13" ht="35.25" customHeight="1" x14ac:dyDescent="0.25">
      <c r="A76" s="93" t="s">
        <v>92</v>
      </c>
      <c r="B76" s="94"/>
      <c r="C76" s="94"/>
      <c r="D76" s="94"/>
      <c r="E76" s="95"/>
      <c r="F76" s="32" t="s">
        <v>22</v>
      </c>
      <c r="G76" s="9">
        <v>1</v>
      </c>
      <c r="H76" s="33"/>
      <c r="I76" s="9">
        <f>4200*33.72%</f>
        <v>1416.24</v>
      </c>
      <c r="J76" s="9">
        <f>J75</f>
        <v>661</v>
      </c>
      <c r="K76" s="55">
        <f>I76/J76</f>
        <v>2.1425718608169442</v>
      </c>
      <c r="L76" s="20"/>
      <c r="M76" s="27"/>
    </row>
    <row r="77" spans="1:13" ht="35.25" customHeight="1" thickBot="1" x14ac:dyDescent="0.3">
      <c r="A77" s="86" t="s">
        <v>83</v>
      </c>
      <c r="B77" s="86"/>
      <c r="C77" s="86"/>
      <c r="D77" s="86"/>
      <c r="E77" s="86"/>
      <c r="F77" s="32" t="s">
        <v>84</v>
      </c>
      <c r="G77" s="9">
        <v>9</v>
      </c>
      <c r="H77" s="33">
        <v>5000</v>
      </c>
      <c r="I77" s="57">
        <f>60000*33.72%</f>
        <v>20232</v>
      </c>
      <c r="J77" s="9">
        <f>J75</f>
        <v>661</v>
      </c>
      <c r="K77" s="74">
        <f>I77/J77</f>
        <v>30.608169440242058</v>
      </c>
      <c r="L77" s="20"/>
      <c r="M77" s="27"/>
    </row>
    <row r="78" spans="1:13" ht="15.75" thickBot="1" x14ac:dyDescent="0.3">
      <c r="A78" s="96" t="s">
        <v>23</v>
      </c>
      <c r="B78" s="97"/>
      <c r="C78" s="97"/>
      <c r="D78" s="97"/>
      <c r="E78" s="97"/>
      <c r="F78" s="97"/>
      <c r="G78" s="97"/>
      <c r="H78" s="97"/>
      <c r="I78" s="72">
        <f>SUM(I75:I77)</f>
        <v>24885.360000000001</v>
      </c>
      <c r="J78" s="73">
        <f>F36</f>
        <v>661</v>
      </c>
      <c r="K78" s="72">
        <f>SUM(K75:K77)</f>
        <v>37.648048411497733</v>
      </c>
      <c r="L78" s="12"/>
      <c r="M78" s="27"/>
    </row>
    <row r="80" spans="1:13" x14ac:dyDescent="0.25">
      <c r="A80" s="87" t="s">
        <v>40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87"/>
    </row>
    <row r="81" spans="1:13" ht="57" customHeight="1" thickBot="1" x14ac:dyDescent="0.3">
      <c r="A81" s="83" t="s">
        <v>5</v>
      </c>
      <c r="B81" s="84"/>
      <c r="C81" s="84"/>
      <c r="D81" s="84"/>
      <c r="E81" s="85"/>
      <c r="F81" s="54" t="s">
        <v>6</v>
      </c>
      <c r="G81" s="54" t="s">
        <v>1</v>
      </c>
      <c r="H81" s="54" t="s">
        <v>60</v>
      </c>
      <c r="I81" s="54" t="s">
        <v>61</v>
      </c>
      <c r="J81" s="54" t="s">
        <v>62</v>
      </c>
      <c r="K81" s="21" t="s">
        <v>63</v>
      </c>
      <c r="L81" s="28"/>
    </row>
    <row r="82" spans="1:13" hidden="1" x14ac:dyDescent="0.25">
      <c r="A82" s="86" t="s">
        <v>3</v>
      </c>
      <c r="B82" s="86"/>
      <c r="C82" s="86"/>
      <c r="D82" s="86"/>
      <c r="E82" s="86"/>
      <c r="F82" s="23">
        <f>'Услуга №1 '!F82</f>
        <v>15898</v>
      </c>
      <c r="G82" s="9">
        <v>0.87</v>
      </c>
      <c r="H82" s="4">
        <f>F82*G82*12</f>
        <v>165975.12</v>
      </c>
      <c r="I82" s="9">
        <f>H82*1.302</f>
        <v>216099.60623999999</v>
      </c>
      <c r="J82" s="9">
        <v>31232</v>
      </c>
      <c r="K82" s="55">
        <f>I82/J82</f>
        <v>6.9191728432377051</v>
      </c>
      <c r="L82" s="20"/>
    </row>
    <row r="83" spans="1:13" ht="20.25" hidden="1" customHeight="1" x14ac:dyDescent="0.25">
      <c r="A83" s="86" t="s">
        <v>45</v>
      </c>
      <c r="B83" s="86"/>
      <c r="C83" s="86"/>
      <c r="D83" s="86"/>
      <c r="E83" s="86"/>
      <c r="F83" s="23">
        <f>'Услуга №1 '!F83</f>
        <v>14309</v>
      </c>
      <c r="G83" s="9">
        <v>0.87</v>
      </c>
      <c r="H83" s="4">
        <f>F83*G83*12</f>
        <v>149385.96</v>
      </c>
      <c r="I83" s="57">
        <f>H83*1.302</f>
        <v>194500.51991999999</v>
      </c>
      <c r="J83" s="9">
        <f>J82</f>
        <v>31232</v>
      </c>
      <c r="K83" s="74">
        <f>I83/J83</f>
        <v>6.2276037371926227</v>
      </c>
      <c r="L83" s="20"/>
    </row>
    <row r="84" spans="1:13" ht="15.75" thickBot="1" x14ac:dyDescent="0.3">
      <c r="A84" s="56" t="s">
        <v>24</v>
      </c>
      <c r="B84" s="56"/>
      <c r="C84" s="56"/>
      <c r="D84" s="56"/>
      <c r="E84" s="56"/>
      <c r="F84" s="43">
        <v>25117.62</v>
      </c>
      <c r="G84" s="43">
        <f>L34</f>
        <v>0.68440000000000001</v>
      </c>
      <c r="H84" s="75">
        <v>204959.78</v>
      </c>
      <c r="I84" s="72">
        <f>H84*1.302</f>
        <v>266857.63355999999</v>
      </c>
      <c r="J84" s="73">
        <f>F36</f>
        <v>661</v>
      </c>
      <c r="K84" s="72">
        <f>I84/J84</f>
        <v>403.71805379727681</v>
      </c>
      <c r="L84" s="27"/>
    </row>
    <row r="85" spans="1:13" ht="10.5" customHeight="1" x14ac:dyDescent="0.25">
      <c r="F85" s="50"/>
      <c r="G85" s="50"/>
      <c r="H85" s="50"/>
      <c r="I85" s="50"/>
      <c r="J85" s="50"/>
      <c r="K85" s="50"/>
      <c r="L85" s="50"/>
    </row>
    <row r="86" spans="1:13" s="8" customFormat="1" x14ac:dyDescent="0.25">
      <c r="A86" s="90" t="s">
        <v>67</v>
      </c>
      <c r="B86" s="90"/>
      <c r="C86" s="90"/>
      <c r="D86" s="90"/>
      <c r="E86" s="90"/>
      <c r="F86" s="90"/>
      <c r="G86" s="90"/>
      <c r="H86" s="90"/>
      <c r="I86" s="90"/>
      <c r="J86" s="90"/>
      <c r="K86" s="90"/>
      <c r="L86" s="91"/>
      <c r="M86" s="7"/>
    </row>
    <row r="87" spans="1:13" ht="49.5" customHeight="1" x14ac:dyDescent="0.25">
      <c r="A87" s="89" t="s">
        <v>69</v>
      </c>
      <c r="B87" s="89"/>
      <c r="C87" s="89"/>
      <c r="D87" s="89"/>
      <c r="E87" s="89"/>
      <c r="F87" s="54" t="s">
        <v>7</v>
      </c>
      <c r="G87" s="54" t="s">
        <v>59</v>
      </c>
      <c r="H87" s="54" t="s">
        <v>58</v>
      </c>
      <c r="I87" s="54" t="s">
        <v>64</v>
      </c>
      <c r="J87" s="54" t="s">
        <v>62</v>
      </c>
      <c r="K87" s="21" t="s">
        <v>63</v>
      </c>
      <c r="L87" s="28"/>
    </row>
    <row r="88" spans="1:13" ht="33" customHeight="1" thickBot="1" x14ac:dyDescent="0.3">
      <c r="A88" s="78" t="s">
        <v>66</v>
      </c>
      <c r="B88" s="79"/>
      <c r="C88" s="79"/>
      <c r="D88" s="79"/>
      <c r="E88" s="80"/>
      <c r="F88" s="9" t="s">
        <v>25</v>
      </c>
      <c r="G88" s="9">
        <v>11</v>
      </c>
      <c r="H88" s="4">
        <v>5525.3</v>
      </c>
      <c r="I88" s="57">
        <f>60778.32*33.72%</f>
        <v>20494.449504</v>
      </c>
      <c r="J88" s="9">
        <f>J84</f>
        <v>661</v>
      </c>
      <c r="K88" s="74">
        <f>I88/J88</f>
        <v>31.005218614220876</v>
      </c>
      <c r="L88" s="20"/>
    </row>
    <row r="89" spans="1:13" s="8" customFormat="1" ht="15.75" thickBot="1" x14ac:dyDescent="0.3">
      <c r="A89" s="96" t="s">
        <v>68</v>
      </c>
      <c r="B89" s="97"/>
      <c r="C89" s="97"/>
      <c r="D89" s="97"/>
      <c r="E89" s="97"/>
      <c r="F89" s="97"/>
      <c r="G89" s="97"/>
      <c r="H89" s="97"/>
      <c r="I89" s="72">
        <f>SUM(I88:I88)</f>
        <v>20494.449504</v>
      </c>
      <c r="J89" s="73">
        <f>F36</f>
        <v>661</v>
      </c>
      <c r="K89" s="72">
        <f>SUM(K88:K88)</f>
        <v>31.005218614220876</v>
      </c>
      <c r="L89" s="27"/>
      <c r="M89" s="7"/>
    </row>
    <row r="90" spans="1:13" s="8" customFormat="1" x14ac:dyDescent="0.25">
      <c r="A90" s="36"/>
      <c r="B90" s="36"/>
      <c r="C90" s="36"/>
      <c r="D90" s="36"/>
      <c r="E90" s="36"/>
      <c r="F90" s="36"/>
      <c r="G90" s="36"/>
      <c r="H90" s="36"/>
      <c r="I90" s="12"/>
      <c r="J90" s="12"/>
      <c r="K90" s="12"/>
      <c r="L90" s="27"/>
      <c r="M90" s="7"/>
    </row>
    <row r="91" spans="1:13" s="8" customFormat="1" hidden="1" x14ac:dyDescent="0.25">
      <c r="A91" s="37"/>
      <c r="B91" s="37"/>
      <c r="C91" s="37"/>
      <c r="D91" s="37"/>
      <c r="E91" s="37"/>
      <c r="F91" s="37"/>
      <c r="G91" s="37"/>
      <c r="H91" s="37"/>
      <c r="I91" s="13"/>
      <c r="J91" s="13"/>
      <c r="K91" s="13"/>
      <c r="L91" s="27"/>
      <c r="M91" s="7"/>
    </row>
    <row r="92" spans="1:13" s="8" customFormat="1" hidden="1" x14ac:dyDescent="0.25">
      <c r="A92" s="90" t="s">
        <v>93</v>
      </c>
      <c r="B92" s="90"/>
      <c r="C92" s="90"/>
      <c r="D92" s="90"/>
      <c r="E92" s="90"/>
      <c r="F92" s="90"/>
      <c r="G92" s="90"/>
      <c r="H92" s="90"/>
      <c r="I92" s="90"/>
      <c r="J92" s="90"/>
      <c r="K92" s="90"/>
      <c r="L92" s="91"/>
      <c r="M92" s="7"/>
    </row>
    <row r="93" spans="1:13" ht="49.5" hidden="1" customHeight="1" x14ac:dyDescent="0.25">
      <c r="A93" s="89" t="s">
        <v>69</v>
      </c>
      <c r="B93" s="89"/>
      <c r="C93" s="89"/>
      <c r="D93" s="89"/>
      <c r="E93" s="89"/>
      <c r="F93" s="54" t="s">
        <v>7</v>
      </c>
      <c r="G93" s="54" t="s">
        <v>59</v>
      </c>
      <c r="H93" s="54" t="s">
        <v>58</v>
      </c>
      <c r="I93" s="54" t="s">
        <v>64</v>
      </c>
      <c r="J93" s="54" t="s">
        <v>62</v>
      </c>
      <c r="K93" s="21" t="s">
        <v>63</v>
      </c>
      <c r="L93" s="28"/>
    </row>
    <row r="94" spans="1:13" hidden="1" x14ac:dyDescent="0.25">
      <c r="A94" s="86" t="s">
        <v>94</v>
      </c>
      <c r="B94" s="86"/>
      <c r="C94" s="86"/>
      <c r="D94" s="86"/>
      <c r="E94" s="86"/>
      <c r="F94" s="9"/>
      <c r="G94" s="9"/>
      <c r="H94" s="4"/>
      <c r="I94" s="9">
        <v>0</v>
      </c>
      <c r="J94" s="9">
        <f>J89</f>
        <v>661</v>
      </c>
      <c r="K94" s="55">
        <f>I94/J94</f>
        <v>0</v>
      </c>
      <c r="L94" s="20"/>
    </row>
    <row r="95" spans="1:13" s="8" customFormat="1" hidden="1" x14ac:dyDescent="0.25">
      <c r="A95" s="96" t="s">
        <v>95</v>
      </c>
      <c r="B95" s="97"/>
      <c r="C95" s="97"/>
      <c r="D95" s="97"/>
      <c r="E95" s="97"/>
      <c r="F95" s="97"/>
      <c r="G95" s="97"/>
      <c r="H95" s="97"/>
      <c r="I95" s="6">
        <f>SUM(I94:I94)</f>
        <v>0</v>
      </c>
      <c r="J95" s="6">
        <f>F36</f>
        <v>661</v>
      </c>
      <c r="K95" s="6">
        <f>SUM(K94:K94)</f>
        <v>0</v>
      </c>
      <c r="L95" s="20"/>
      <c r="M95" s="7"/>
    </row>
    <row r="96" spans="1:13" s="8" customFormat="1" hidden="1" x14ac:dyDescent="0.25">
      <c r="A96" s="37"/>
      <c r="B96" s="37"/>
      <c r="C96" s="37"/>
      <c r="D96" s="37"/>
      <c r="E96" s="37"/>
      <c r="F96" s="37"/>
      <c r="G96" s="37"/>
      <c r="H96" s="37"/>
      <c r="I96" s="13"/>
      <c r="J96" s="13"/>
      <c r="K96" s="13"/>
      <c r="L96" s="27"/>
      <c r="M96" s="7"/>
    </row>
    <row r="97" spans="1:13" x14ac:dyDescent="0.25">
      <c r="F97" s="50"/>
      <c r="G97" s="50"/>
      <c r="H97" s="50"/>
      <c r="I97" s="50"/>
      <c r="J97" s="50"/>
      <c r="K97" s="50"/>
      <c r="L97" s="50"/>
    </row>
    <row r="98" spans="1:13" s="8" customFormat="1" x14ac:dyDescent="0.25">
      <c r="A98" s="90" t="s">
        <v>96</v>
      </c>
      <c r="B98" s="90"/>
      <c r="C98" s="90"/>
      <c r="D98" s="90"/>
      <c r="E98" s="90"/>
      <c r="F98" s="90"/>
      <c r="G98" s="90"/>
      <c r="H98" s="90"/>
      <c r="I98" s="90"/>
      <c r="J98" s="90"/>
      <c r="K98" s="90"/>
      <c r="L98" s="91"/>
      <c r="M98" s="7"/>
    </row>
    <row r="99" spans="1:13" ht="49.5" customHeight="1" x14ac:dyDescent="0.25">
      <c r="A99" s="89" t="s">
        <v>69</v>
      </c>
      <c r="B99" s="89"/>
      <c r="C99" s="89"/>
      <c r="D99" s="89"/>
      <c r="E99" s="89"/>
      <c r="F99" s="54" t="s">
        <v>7</v>
      </c>
      <c r="G99" s="54" t="s">
        <v>59</v>
      </c>
      <c r="H99" s="54" t="s">
        <v>58</v>
      </c>
      <c r="I99" s="54" t="s">
        <v>64</v>
      </c>
      <c r="J99" s="54" t="s">
        <v>62</v>
      </c>
      <c r="K99" s="21" t="s">
        <v>63</v>
      </c>
      <c r="L99" s="28"/>
    </row>
    <row r="100" spans="1:13" ht="15.75" thickBot="1" x14ac:dyDescent="0.3">
      <c r="A100" s="86" t="s">
        <v>97</v>
      </c>
      <c r="B100" s="86"/>
      <c r="C100" s="86"/>
      <c r="D100" s="86"/>
      <c r="E100" s="86"/>
      <c r="F100" s="9"/>
      <c r="G100" s="9"/>
      <c r="H100" s="4"/>
      <c r="I100" s="57">
        <f>35700*33.72%</f>
        <v>12038.04</v>
      </c>
      <c r="J100" s="9">
        <f>J95</f>
        <v>661</v>
      </c>
      <c r="K100" s="74">
        <f>I100/J100</f>
        <v>18.211860816944025</v>
      </c>
      <c r="L100" s="20"/>
    </row>
    <row r="101" spans="1:13" s="8" customFormat="1" ht="15.75" thickBot="1" x14ac:dyDescent="0.3">
      <c r="A101" s="96" t="s">
        <v>99</v>
      </c>
      <c r="B101" s="97"/>
      <c r="C101" s="97"/>
      <c r="D101" s="97"/>
      <c r="E101" s="97"/>
      <c r="F101" s="97"/>
      <c r="G101" s="97"/>
      <c r="H101" s="97"/>
      <c r="I101" s="72">
        <f>SUM(I100:I100)</f>
        <v>12038.04</v>
      </c>
      <c r="J101" s="73">
        <f>F36</f>
        <v>661</v>
      </c>
      <c r="K101" s="72">
        <f>SUM(K100:K100)</f>
        <v>18.211860816944025</v>
      </c>
      <c r="L101" s="27"/>
      <c r="M101" s="7"/>
    </row>
    <row r="102" spans="1:13" s="8" customFormat="1" x14ac:dyDescent="0.25">
      <c r="A102" s="37"/>
      <c r="B102" s="37"/>
      <c r="C102" s="37"/>
      <c r="D102" s="37"/>
      <c r="E102" s="37"/>
      <c r="F102" s="37"/>
      <c r="G102" s="37"/>
      <c r="H102" s="37"/>
      <c r="I102" s="13"/>
      <c r="J102" s="13"/>
      <c r="K102" s="13"/>
      <c r="L102" s="27"/>
      <c r="M102" s="7"/>
    </row>
    <row r="103" spans="1:13" s="8" customFormat="1" x14ac:dyDescent="0.25">
      <c r="A103" s="90" t="s">
        <v>98</v>
      </c>
      <c r="B103" s="90"/>
      <c r="C103" s="90"/>
      <c r="D103" s="90"/>
      <c r="E103" s="90"/>
      <c r="F103" s="90"/>
      <c r="G103" s="90"/>
      <c r="H103" s="90"/>
      <c r="I103" s="90"/>
      <c r="J103" s="90"/>
      <c r="K103" s="90"/>
      <c r="L103" s="91"/>
      <c r="M103" s="7"/>
    </row>
    <row r="104" spans="1:13" ht="49.5" customHeight="1" x14ac:dyDescent="0.25">
      <c r="A104" s="89" t="s">
        <v>69</v>
      </c>
      <c r="B104" s="89"/>
      <c r="C104" s="89"/>
      <c r="D104" s="89"/>
      <c r="E104" s="89"/>
      <c r="F104" s="54" t="s">
        <v>7</v>
      </c>
      <c r="G104" s="54" t="s">
        <v>59</v>
      </c>
      <c r="H104" s="54" t="s">
        <v>58</v>
      </c>
      <c r="I104" s="54" t="s">
        <v>64</v>
      </c>
      <c r="J104" s="54" t="s">
        <v>62</v>
      </c>
      <c r="K104" s="21" t="s">
        <v>63</v>
      </c>
      <c r="L104" s="28"/>
    </row>
    <row r="105" spans="1:13" ht="15.75" thickBot="1" x14ac:dyDescent="0.3">
      <c r="A105" s="86" t="s">
        <v>100</v>
      </c>
      <c r="B105" s="86"/>
      <c r="C105" s="86"/>
      <c r="D105" s="86"/>
      <c r="E105" s="86"/>
      <c r="F105" s="9"/>
      <c r="G105" s="9"/>
      <c r="H105" s="4"/>
      <c r="I105" s="57">
        <f>64300*33.72%</f>
        <v>21681.96</v>
      </c>
      <c r="J105" s="9">
        <f>J101</f>
        <v>661</v>
      </c>
      <c r="K105" s="74">
        <f>I105/J105</f>
        <v>32.801754916792738</v>
      </c>
      <c r="L105" s="20"/>
    </row>
    <row r="106" spans="1:13" s="8" customFormat="1" ht="15.75" thickBot="1" x14ac:dyDescent="0.3">
      <c r="A106" s="96" t="s">
        <v>101</v>
      </c>
      <c r="B106" s="97"/>
      <c r="C106" s="97"/>
      <c r="D106" s="97"/>
      <c r="E106" s="97"/>
      <c r="F106" s="97"/>
      <c r="G106" s="97"/>
      <c r="H106" s="97"/>
      <c r="I106" s="72">
        <f>SUM(I105:I105)</f>
        <v>21681.96</v>
      </c>
      <c r="J106" s="73">
        <f>F36</f>
        <v>661</v>
      </c>
      <c r="K106" s="72">
        <f>SUM(K105:K105)</f>
        <v>32.801754916792738</v>
      </c>
      <c r="L106" s="27"/>
      <c r="M106" s="7"/>
    </row>
    <row r="107" spans="1:13" s="8" customFormat="1" x14ac:dyDescent="0.25">
      <c r="A107" s="36"/>
      <c r="B107" s="36"/>
      <c r="C107" s="36"/>
      <c r="D107" s="36"/>
      <c r="E107" s="36"/>
      <c r="F107" s="36"/>
      <c r="G107" s="36"/>
      <c r="H107" s="36"/>
      <c r="I107" s="12"/>
      <c r="J107" s="12"/>
      <c r="K107" s="12"/>
      <c r="L107" s="27"/>
      <c r="M107" s="7"/>
    </row>
    <row r="108" spans="1:13" x14ac:dyDescent="0.25">
      <c r="A108" s="87" t="s">
        <v>26</v>
      </c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</row>
    <row r="109" spans="1:13" hidden="1" x14ac:dyDescent="0.25"/>
    <row r="110" spans="1:13" ht="15" customHeight="1" x14ac:dyDescent="0.25">
      <c r="A110" s="88" t="s">
        <v>27</v>
      </c>
      <c r="B110" s="88"/>
      <c r="C110" s="88"/>
      <c r="D110" s="89" t="s">
        <v>28</v>
      </c>
      <c r="E110" s="89"/>
      <c r="F110" s="89"/>
      <c r="G110" s="89"/>
      <c r="H110" s="89"/>
      <c r="I110" s="89"/>
      <c r="J110" s="89"/>
      <c r="K110" s="118" t="s">
        <v>39</v>
      </c>
      <c r="L110" s="119"/>
    </row>
    <row r="111" spans="1:13" ht="30" x14ac:dyDescent="0.25">
      <c r="A111" s="9" t="s">
        <v>29</v>
      </c>
      <c r="B111" s="22" t="s">
        <v>30</v>
      </c>
      <c r="C111" s="9" t="s">
        <v>31</v>
      </c>
      <c r="D111" s="9" t="s">
        <v>32</v>
      </c>
      <c r="E111" s="9" t="s">
        <v>33</v>
      </c>
      <c r="F111" s="9" t="s">
        <v>34</v>
      </c>
      <c r="G111" s="9" t="s">
        <v>35</v>
      </c>
      <c r="H111" s="9" t="s">
        <v>36</v>
      </c>
      <c r="I111" s="9" t="s">
        <v>37</v>
      </c>
      <c r="J111" s="9" t="s">
        <v>38</v>
      </c>
      <c r="K111" s="120"/>
      <c r="L111" s="121"/>
    </row>
    <row r="112" spans="1:13" x14ac:dyDescent="0.25">
      <c r="A112" s="9">
        <f>K53</f>
        <v>3813.3362266565805</v>
      </c>
      <c r="B112" s="9"/>
      <c r="C112" s="9">
        <v>0</v>
      </c>
      <c r="D112" s="9">
        <f>K63</f>
        <v>252.28361778517393</v>
      </c>
      <c r="E112" s="9">
        <f>K71</f>
        <v>40.313407806354007</v>
      </c>
      <c r="F112" s="9"/>
      <c r="G112" s="9">
        <f>K78</f>
        <v>37.648048411497733</v>
      </c>
      <c r="H112" s="9">
        <v>0</v>
      </c>
      <c r="I112" s="9">
        <f>K84</f>
        <v>403.71805379727681</v>
      </c>
      <c r="J112" s="9">
        <f>K95+K101+K106+K89</f>
        <v>82.018834347957636</v>
      </c>
      <c r="K112" s="81">
        <f>SUM(A112:J112)</f>
        <v>4629.3181888048421</v>
      </c>
      <c r="L112" s="82"/>
    </row>
    <row r="114" spans="1:12" ht="15.75" thickBot="1" x14ac:dyDescent="0.3">
      <c r="A114" s="38"/>
      <c r="B114" s="39"/>
      <c r="C114" s="40"/>
      <c r="D114" s="1"/>
      <c r="E114" s="1"/>
      <c r="F114" s="1"/>
    </row>
    <row r="115" spans="1:12" ht="16.5" thickBot="1" x14ac:dyDescent="0.3">
      <c r="A115" s="14" t="s">
        <v>55</v>
      </c>
      <c r="B115" s="14"/>
      <c r="C115" s="14"/>
      <c r="D115" s="14"/>
      <c r="E115" s="14"/>
      <c r="F115" s="52"/>
      <c r="G115" s="52" t="s">
        <v>57</v>
      </c>
      <c r="H115" s="52"/>
      <c r="I115" s="76">
        <f>I53+I63+I71+I78+I89+I95+I101+I106+I84</f>
        <v>3059979.3227999997</v>
      </c>
      <c r="L115" s="76">
        <f>K112*J105</f>
        <v>3059979.3228000007</v>
      </c>
    </row>
    <row r="116" spans="1:12" ht="15.75" x14ac:dyDescent="0.25">
      <c r="A116" s="42"/>
      <c r="B116" s="14"/>
      <c r="C116" s="2"/>
      <c r="D116" s="2"/>
      <c r="E116" s="2"/>
      <c r="F116" s="2"/>
    </row>
    <row r="118" spans="1:12" ht="15.75" x14ac:dyDescent="0.25">
      <c r="A118" s="42" t="s">
        <v>102</v>
      </c>
      <c r="B118" s="14"/>
      <c r="C118" s="42"/>
      <c r="D118" s="14"/>
    </row>
    <row r="119" spans="1:12" ht="15.75" x14ac:dyDescent="0.25">
      <c r="A119" s="42" t="s">
        <v>56</v>
      </c>
      <c r="B119" s="14"/>
      <c r="C119" s="42"/>
      <c r="D119" s="14"/>
    </row>
  </sheetData>
  <mergeCells count="105">
    <mergeCell ref="K112:L112"/>
    <mergeCell ref="A104:E104"/>
    <mergeCell ref="A105:E105"/>
    <mergeCell ref="A106:H106"/>
    <mergeCell ref="A108:L108"/>
    <mergeCell ref="A110:C110"/>
    <mergeCell ref="D110:J110"/>
    <mergeCell ref="K110:L111"/>
    <mergeCell ref="A95:H95"/>
    <mergeCell ref="A98:L98"/>
    <mergeCell ref="A99:E99"/>
    <mergeCell ref="A100:E100"/>
    <mergeCell ref="A101:H101"/>
    <mergeCell ref="A103:L103"/>
    <mergeCell ref="A87:E87"/>
    <mergeCell ref="A88:E88"/>
    <mergeCell ref="A89:H89"/>
    <mergeCell ref="A92:L92"/>
    <mergeCell ref="A93:E93"/>
    <mergeCell ref="A94:E94"/>
    <mergeCell ref="A78:H78"/>
    <mergeCell ref="A80:L80"/>
    <mergeCell ref="A81:E81"/>
    <mergeCell ref="A82:E82"/>
    <mergeCell ref="A83:E83"/>
    <mergeCell ref="A86:L86"/>
    <mergeCell ref="A71:H71"/>
    <mergeCell ref="A73:L73"/>
    <mergeCell ref="A74:E74"/>
    <mergeCell ref="A75:E75"/>
    <mergeCell ref="A76:E76"/>
    <mergeCell ref="A77:E77"/>
    <mergeCell ref="A65:L65"/>
    <mergeCell ref="A66:E66"/>
    <mergeCell ref="A67:E67"/>
    <mergeCell ref="A68:E68"/>
    <mergeCell ref="A69:E69"/>
    <mergeCell ref="A70:E70"/>
    <mergeCell ref="A58:E58"/>
    <mergeCell ref="A59:E59"/>
    <mergeCell ref="A60:E60"/>
    <mergeCell ref="A61:E61"/>
    <mergeCell ref="A62:E62"/>
    <mergeCell ref="A63:H63"/>
    <mergeCell ref="A49:E49"/>
    <mergeCell ref="A50:E50"/>
    <mergeCell ref="A51:E51"/>
    <mergeCell ref="A52:E52"/>
    <mergeCell ref="A56:L56"/>
    <mergeCell ref="A57:E57"/>
    <mergeCell ref="A43:E43"/>
    <mergeCell ref="A44:E44"/>
    <mergeCell ref="A45:E45"/>
    <mergeCell ref="A46:E46"/>
    <mergeCell ref="A47:E47"/>
    <mergeCell ref="A48:E48"/>
    <mergeCell ref="A37:E37"/>
    <mergeCell ref="A38:E38"/>
    <mergeCell ref="A39:E39"/>
    <mergeCell ref="A40:E40"/>
    <mergeCell ref="A41:E41"/>
    <mergeCell ref="A42:E42"/>
    <mergeCell ref="A32:E32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21:E21"/>
    <mergeCell ref="G21:K21"/>
    <mergeCell ref="A22:E22"/>
    <mergeCell ref="G22:K22"/>
    <mergeCell ref="A17:E17"/>
    <mergeCell ref="G17:K17"/>
    <mergeCell ref="A18:E18"/>
    <mergeCell ref="G18:K18"/>
    <mergeCell ref="A19:E19"/>
    <mergeCell ref="G19:K19"/>
    <mergeCell ref="A4:E4"/>
    <mergeCell ref="A6:E6"/>
    <mergeCell ref="A8:L8"/>
    <mergeCell ref="A9:L9"/>
    <mergeCell ref="A10:L10"/>
    <mergeCell ref="A16:E16"/>
    <mergeCell ref="G16:K16"/>
    <mergeCell ref="A20:E20"/>
    <mergeCell ref="G20:K20"/>
  </mergeCells>
  <pageMargins left="0.65" right="0.53" top="0.45" bottom="0.37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Услуга №1 </vt:lpstr>
      <vt:lpstr>Услуга №2</vt:lpstr>
      <vt:lpstr>Услуга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2020-12-11T10:01:34Z</dcterms:modified>
</cp:coreProperties>
</file>