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4"/>
  </bookViews>
  <sheets>
    <sheet name="ком.усл" sheetId="4" r:id="rId1"/>
    <sheet name="сод.недв.им." sheetId="5" r:id="rId2"/>
    <sheet name="сод.ОЦДИ" sheetId="6" r:id="rId3"/>
    <sheet name="з.пл." sheetId="1" r:id="rId4"/>
    <sheet name="прочие общ.х.н" sheetId="7" r:id="rId5"/>
  </sheets>
  <definedNames>
    <definedName name="_xlnm.Print_Titles" localSheetId="3">з.пл.!$5:$6</definedName>
    <definedName name="_xlnm.Print_Titles" localSheetId="0">ком.усл!$7:$8</definedName>
    <definedName name="_xlnm.Print_Titles" localSheetId="4">'прочие общ.х.н'!$5:$6</definedName>
    <definedName name="_xlnm.Print_Titles" localSheetId="1">сод.недв.им.!$5:$6</definedName>
  </definedNames>
  <calcPr calcId="124519"/>
</workbook>
</file>

<file path=xl/calcChain.xml><?xml version="1.0" encoding="utf-8"?>
<calcChain xmlns="http://schemas.openxmlformats.org/spreadsheetml/2006/main">
  <c r="H163" i="5"/>
  <c r="H174"/>
  <c r="H166"/>
  <c r="H159"/>
  <c r="H144"/>
  <c r="H136"/>
  <c r="H130"/>
  <c r="H124"/>
  <c r="I120"/>
  <c r="H119"/>
  <c r="H111"/>
  <c r="H74"/>
  <c r="F74"/>
  <c r="E74"/>
  <c r="H72"/>
  <c r="H48"/>
  <c r="H43"/>
  <c r="H29"/>
  <c r="H30"/>
  <c r="H22"/>
  <c r="H10"/>
  <c r="I79" i="7"/>
  <c r="H37"/>
  <c r="H19"/>
  <c r="H13"/>
  <c r="J18"/>
  <c r="J12"/>
  <c r="D15" i="4"/>
  <c r="D10"/>
  <c r="L202" i="1"/>
  <c r="L186"/>
  <c r="L154"/>
  <c r="L170"/>
  <c r="L139"/>
  <c r="L109"/>
  <c r="L94"/>
  <c r="L64"/>
  <c r="L49"/>
  <c r="L34"/>
  <c r="L19"/>
  <c r="E52" i="6"/>
  <c r="N56"/>
  <c r="L124" i="1"/>
  <c r="H49" i="7"/>
  <c r="H99" i="5"/>
  <c r="D45" i="4"/>
  <c r="J36" i="7"/>
  <c r="H33"/>
  <c r="L79" i="1"/>
  <c r="E189"/>
  <c r="E190"/>
  <c r="E191" s="1"/>
  <c r="E192" s="1"/>
  <c r="E193" s="1"/>
  <c r="E194" s="1"/>
  <c r="E195" s="1"/>
  <c r="E196" s="1"/>
  <c r="E197" s="1"/>
  <c r="E198" s="1"/>
  <c r="E199" s="1"/>
  <c r="E188"/>
  <c r="E187"/>
  <c r="E173"/>
  <c r="E174"/>
  <c r="E175" s="1"/>
  <c r="E176" s="1"/>
  <c r="E177" s="1"/>
  <c r="E178" s="1"/>
  <c r="E179" s="1"/>
  <c r="E180" s="1"/>
  <c r="E181" s="1"/>
  <c r="E182" s="1"/>
  <c r="E183" s="1"/>
  <c r="E172"/>
  <c r="E171"/>
  <c r="E157"/>
  <c r="E158" s="1"/>
  <c r="E159" s="1"/>
  <c r="E160" s="1"/>
  <c r="E161" s="1"/>
  <c r="E162" s="1"/>
  <c r="E163" s="1"/>
  <c r="E164" s="1"/>
  <c r="E165" s="1"/>
  <c r="E166" s="1"/>
  <c r="E167" s="1"/>
  <c r="E156"/>
  <c r="E155"/>
  <c r="E142"/>
  <c r="E143" s="1"/>
  <c r="E144" s="1"/>
  <c r="E145" s="1"/>
  <c r="E146" s="1"/>
  <c r="E147" s="1"/>
  <c r="E148" s="1"/>
  <c r="E149" s="1"/>
  <c r="E150" s="1"/>
  <c r="E151" s="1"/>
  <c r="E141"/>
  <c r="E140"/>
  <c r="E127"/>
  <c r="E128"/>
  <c r="E129" s="1"/>
  <c r="E130" s="1"/>
  <c r="E131" s="1"/>
  <c r="E132" s="1"/>
  <c r="E133" s="1"/>
  <c r="E134" s="1"/>
  <c r="E135" s="1"/>
  <c r="E136" s="1"/>
  <c r="E126"/>
  <c r="E125"/>
  <c r="E112"/>
  <c r="E113"/>
  <c r="E114" s="1"/>
  <c r="E115" s="1"/>
  <c r="E116" s="1"/>
  <c r="E117" s="1"/>
  <c r="E118" s="1"/>
  <c r="E119" s="1"/>
  <c r="E120" s="1"/>
  <c r="E121" s="1"/>
  <c r="E111"/>
  <c r="E110"/>
  <c r="E97"/>
  <c r="E98"/>
  <c r="E99" s="1"/>
  <c r="E100" s="1"/>
  <c r="E101" s="1"/>
  <c r="E102" s="1"/>
  <c r="E103" s="1"/>
  <c r="E104" s="1"/>
  <c r="E105" s="1"/>
  <c r="E106" s="1"/>
  <c r="E96"/>
  <c r="E95"/>
  <c r="E82"/>
  <c r="E83"/>
  <c r="E84" s="1"/>
  <c r="E85" s="1"/>
  <c r="E86" s="1"/>
  <c r="E87" s="1"/>
  <c r="E88" s="1"/>
  <c r="E89" s="1"/>
  <c r="E90" s="1"/>
  <c r="E91" s="1"/>
  <c r="E81"/>
  <c r="E80"/>
  <c r="E67"/>
  <c r="E68"/>
  <c r="E69" s="1"/>
  <c r="E70" s="1"/>
  <c r="E71" s="1"/>
  <c r="E72" s="1"/>
  <c r="E73" s="1"/>
  <c r="E74" s="1"/>
  <c r="E75" s="1"/>
  <c r="E76" s="1"/>
  <c r="E66"/>
  <c r="E65"/>
  <c r="E52"/>
  <c r="E53"/>
  <c r="E54" s="1"/>
  <c r="E55" s="1"/>
  <c r="E56" s="1"/>
  <c r="E57" s="1"/>
  <c r="E58" s="1"/>
  <c r="E59" s="1"/>
  <c r="E60" s="1"/>
  <c r="E61" s="1"/>
  <c r="E51"/>
  <c r="E50"/>
  <c r="E37"/>
  <c r="E38" s="1"/>
  <c r="E39" s="1"/>
  <c r="E40" s="1"/>
  <c r="E41" s="1"/>
  <c r="E42" s="1"/>
  <c r="E43" s="1"/>
  <c r="E44" s="1"/>
  <c r="E45" s="1"/>
  <c r="E46" s="1"/>
  <c r="E36"/>
  <c r="E35"/>
  <c r="E22"/>
  <c r="E23"/>
  <c r="E24" s="1"/>
  <c r="E25" s="1"/>
  <c r="E26" s="1"/>
  <c r="E27" s="1"/>
  <c r="E28" s="1"/>
  <c r="E29" s="1"/>
  <c r="E30" s="1"/>
  <c r="E31" s="1"/>
  <c r="E21"/>
  <c r="E20"/>
  <c r="E9"/>
  <c r="E10"/>
  <c r="E11" s="1"/>
  <c r="E12" s="1"/>
  <c r="E13" s="1"/>
  <c r="E14" s="1"/>
  <c r="E15" s="1"/>
  <c r="E16" s="1"/>
  <c r="E8"/>
  <c r="E7"/>
  <c r="G74" i="5" l="1"/>
  <c r="I74" s="1"/>
  <c r="E51" i="7" l="1"/>
  <c r="F51" s="1"/>
  <c r="F50"/>
  <c r="E50"/>
  <c r="E49"/>
  <c r="F49" s="1"/>
  <c r="L40" i="6"/>
  <c r="L41"/>
  <c r="L42"/>
  <c r="L44"/>
  <c r="L45"/>
  <c r="N63"/>
  <c r="N64"/>
  <c r="N61"/>
  <c r="N60"/>
  <c r="N57"/>
  <c r="N52"/>
  <c r="E29"/>
  <c r="E28"/>
  <c r="D19" i="4"/>
  <c r="D9"/>
  <c r="D21"/>
  <c r="D22"/>
  <c r="D11"/>
  <c r="F73"/>
  <c r="E73"/>
  <c r="E72"/>
  <c r="F72" s="1"/>
  <c r="E71"/>
  <c r="F71" s="1"/>
  <c r="E70"/>
  <c r="F70" s="1"/>
  <c r="E68"/>
  <c r="F68" s="1"/>
  <c r="F67"/>
  <c r="E67"/>
  <c r="E66"/>
  <c r="F66" s="1"/>
  <c r="F65"/>
  <c r="E65"/>
  <c r="E62"/>
  <c r="F62" s="1"/>
  <c r="E61"/>
  <c r="F61" s="1"/>
  <c r="E60"/>
  <c r="F60" s="1"/>
  <c r="F59"/>
  <c r="E59"/>
  <c r="F57"/>
  <c r="E57"/>
  <c r="E56"/>
  <c r="F56" s="1"/>
  <c r="E55"/>
  <c r="F55" s="1"/>
  <c r="E54"/>
  <c r="F54" s="1"/>
  <c r="E52"/>
  <c r="F52" s="1"/>
  <c r="E51"/>
  <c r="F51" s="1"/>
  <c r="E50"/>
  <c r="F50" s="1"/>
  <c r="F49"/>
  <c r="E49"/>
  <c r="F47"/>
  <c r="E47"/>
  <c r="E46"/>
  <c r="F46" s="1"/>
  <c r="E45"/>
  <c r="F45" s="1"/>
  <c r="E44"/>
  <c r="F44" s="1"/>
  <c r="F42"/>
  <c r="E42"/>
  <c r="E41"/>
  <c r="F41" s="1"/>
  <c r="F40"/>
  <c r="E40"/>
  <c r="E39"/>
  <c r="F39" s="1"/>
  <c r="E37"/>
  <c r="F37" s="1"/>
  <c r="E36"/>
  <c r="F36" s="1"/>
  <c r="E35"/>
  <c r="F35" s="1"/>
  <c r="F34"/>
  <c r="E34"/>
  <c r="E32"/>
  <c r="F32" s="1"/>
  <c r="E31"/>
  <c r="F31" s="1"/>
  <c r="E30"/>
  <c r="F30" s="1"/>
  <c r="F29"/>
  <c r="E29"/>
  <c r="E27"/>
  <c r="F27" s="1"/>
  <c r="E26"/>
  <c r="F26" s="1"/>
  <c r="F25"/>
  <c r="E25"/>
  <c r="E24"/>
  <c r="F24" s="1"/>
  <c r="F22"/>
  <c r="E22"/>
  <c r="E21"/>
  <c r="F21" s="1"/>
  <c r="F20"/>
  <c r="E20"/>
  <c r="E19"/>
  <c r="F19" s="1"/>
  <c r="F17"/>
  <c r="E17"/>
  <c r="E16"/>
  <c r="F16" s="1"/>
  <c r="F15"/>
  <c r="E15"/>
  <c r="E14"/>
  <c r="F14" s="1"/>
  <c r="E12"/>
  <c r="E11"/>
  <c r="E10"/>
  <c r="F9"/>
  <c r="E9"/>
  <c r="M34" i="1" l="1"/>
  <c r="M202"/>
  <c r="M186"/>
  <c r="M170"/>
  <c r="M154"/>
  <c r="M139"/>
  <c r="M124"/>
  <c r="M109"/>
  <c r="M94"/>
  <c r="M79"/>
  <c r="M64"/>
  <c r="M49"/>
  <c r="M19"/>
  <c r="I81" l="1"/>
  <c r="I82"/>
  <c r="I83"/>
  <c r="I84"/>
  <c r="I85"/>
  <c r="I86"/>
  <c r="I87"/>
  <c r="I88"/>
  <c r="I89"/>
  <c r="I90"/>
  <c r="I91"/>
  <c r="I80"/>
  <c r="I141"/>
  <c r="I142"/>
  <c r="I143"/>
  <c r="I144"/>
  <c r="I145"/>
  <c r="I146"/>
  <c r="I147"/>
  <c r="I148"/>
  <c r="I149"/>
  <c r="I150"/>
  <c r="I151"/>
  <c r="I140"/>
  <c r="I8"/>
  <c r="I9"/>
  <c r="I10"/>
  <c r="I11"/>
  <c r="I12"/>
  <c r="I13"/>
  <c r="I14"/>
  <c r="I15"/>
  <c r="I16"/>
  <c r="I7"/>
  <c r="I96"/>
  <c r="I97"/>
  <c r="I98"/>
  <c r="I99"/>
  <c r="I100"/>
  <c r="I101"/>
  <c r="I102"/>
  <c r="I103"/>
  <c r="I104"/>
  <c r="I105"/>
  <c r="I106"/>
  <c r="I95"/>
  <c r="I126"/>
  <c r="I127"/>
  <c r="I128"/>
  <c r="I129"/>
  <c r="I130"/>
  <c r="I131"/>
  <c r="I132"/>
  <c r="I133"/>
  <c r="I134"/>
  <c r="I135"/>
  <c r="I136"/>
  <c r="I125"/>
  <c r="I51"/>
  <c r="I52"/>
  <c r="I53"/>
  <c r="I54"/>
  <c r="I55"/>
  <c r="I56"/>
  <c r="I57"/>
  <c r="I58"/>
  <c r="I59"/>
  <c r="I60"/>
  <c r="I61"/>
  <c r="I50"/>
  <c r="I172"/>
  <c r="I173"/>
  <c r="I174"/>
  <c r="I175"/>
  <c r="I176"/>
  <c r="I177"/>
  <c r="I178"/>
  <c r="I179"/>
  <c r="I180"/>
  <c r="I181"/>
  <c r="I182"/>
  <c r="I183"/>
  <c r="I171"/>
  <c r="I156"/>
  <c r="I157"/>
  <c r="I158"/>
  <c r="I159"/>
  <c r="I160"/>
  <c r="I161"/>
  <c r="I162"/>
  <c r="I163"/>
  <c r="I164"/>
  <c r="I165"/>
  <c r="I166"/>
  <c r="I167"/>
  <c r="I155"/>
  <c r="I36"/>
  <c r="I37"/>
  <c r="I38"/>
  <c r="I39"/>
  <c r="I40"/>
  <c r="I41"/>
  <c r="I42"/>
  <c r="I43"/>
  <c r="I44"/>
  <c r="I45"/>
  <c r="I46"/>
  <c r="I35"/>
  <c r="I21"/>
  <c r="I22"/>
  <c r="I23"/>
  <c r="I24"/>
  <c r="I25"/>
  <c r="I26"/>
  <c r="I27"/>
  <c r="I28"/>
  <c r="I29"/>
  <c r="I30"/>
  <c r="I31"/>
  <c r="I20"/>
  <c r="I188"/>
  <c r="I189"/>
  <c r="I190"/>
  <c r="I191"/>
  <c r="I192"/>
  <c r="I193"/>
  <c r="I194"/>
  <c r="I195"/>
  <c r="I196"/>
  <c r="I197"/>
  <c r="I198"/>
  <c r="I199"/>
  <c r="I187"/>
  <c r="I111"/>
  <c r="I112"/>
  <c r="I113"/>
  <c r="I114"/>
  <c r="I115"/>
  <c r="I116"/>
  <c r="I117"/>
  <c r="I118"/>
  <c r="I119"/>
  <c r="I120"/>
  <c r="I121"/>
  <c r="I110"/>
  <c r="I66"/>
  <c r="I67"/>
  <c r="I68"/>
  <c r="I69"/>
  <c r="I70"/>
  <c r="I71"/>
  <c r="I72"/>
  <c r="I73"/>
  <c r="I74"/>
  <c r="I75"/>
  <c r="I76"/>
  <c r="I65"/>
  <c r="A83" i="7" l="1"/>
  <c r="A76"/>
  <c r="A69"/>
  <c r="A63"/>
  <c r="A56"/>
  <c r="A50"/>
  <c r="A44"/>
  <c r="A38"/>
  <c r="A32"/>
  <c r="A26"/>
  <c r="A20"/>
  <c r="A14"/>
  <c r="A8"/>
  <c r="G199" i="1"/>
  <c r="H199" s="1"/>
  <c r="H198"/>
  <c r="G198"/>
  <c r="G197"/>
  <c r="H197" s="1"/>
  <c r="H196"/>
  <c r="G196"/>
  <c r="G195"/>
  <c r="H195" s="1"/>
  <c r="G194"/>
  <c r="H194" s="1"/>
  <c r="G193"/>
  <c r="H193" s="1"/>
  <c r="G192"/>
  <c r="H192" s="1"/>
  <c r="G191"/>
  <c r="H191" s="1"/>
  <c r="G190"/>
  <c r="H190" s="1"/>
  <c r="G189"/>
  <c r="H189" s="1"/>
  <c r="H188"/>
  <c r="G188"/>
  <c r="G187"/>
  <c r="G183"/>
  <c r="H183" s="1"/>
  <c r="G167"/>
  <c r="H167" s="1"/>
  <c r="G182"/>
  <c r="H182" s="1"/>
  <c r="G181"/>
  <c r="H181" s="1"/>
  <c r="G180"/>
  <c r="H180" s="1"/>
  <c r="H179"/>
  <c r="G179"/>
  <c r="G178"/>
  <c r="H178" s="1"/>
  <c r="G177"/>
  <c r="H177" s="1"/>
  <c r="G176"/>
  <c r="H176" s="1"/>
  <c r="G175"/>
  <c r="H175" s="1"/>
  <c r="G174"/>
  <c r="H174" s="1"/>
  <c r="G173"/>
  <c r="H173" s="1"/>
  <c r="G172"/>
  <c r="H172" s="1"/>
  <c r="G171"/>
  <c r="H166"/>
  <c r="G166"/>
  <c r="G165"/>
  <c r="H165" s="1"/>
  <c r="H164"/>
  <c r="G164"/>
  <c r="G163"/>
  <c r="H163" s="1"/>
  <c r="H162"/>
  <c r="G162"/>
  <c r="G161"/>
  <c r="H161" s="1"/>
  <c r="G160"/>
  <c r="H160" s="1"/>
  <c r="G159"/>
  <c r="H159" s="1"/>
  <c r="G158"/>
  <c r="H158" s="1"/>
  <c r="G157"/>
  <c r="H157" s="1"/>
  <c r="H156"/>
  <c r="G156"/>
  <c r="G155"/>
  <c r="H155" s="1"/>
  <c r="G151"/>
  <c r="H151" s="1"/>
  <c r="H150"/>
  <c r="G150"/>
  <c r="G149"/>
  <c r="H149" s="1"/>
  <c r="G148"/>
  <c r="H148" s="1"/>
  <c r="G147"/>
  <c r="H147" s="1"/>
  <c r="G146"/>
  <c r="H146" s="1"/>
  <c r="G145"/>
  <c r="H145" s="1"/>
  <c r="H144"/>
  <c r="G144"/>
  <c r="G143"/>
  <c r="H143" s="1"/>
  <c r="H142"/>
  <c r="G142"/>
  <c r="G141"/>
  <c r="H141" s="1"/>
  <c r="G140"/>
  <c r="H140" s="1"/>
  <c r="H136"/>
  <c r="G136"/>
  <c r="G135"/>
  <c r="H135" s="1"/>
  <c r="H134"/>
  <c r="G134"/>
  <c r="G133"/>
  <c r="H133" s="1"/>
  <c r="G132"/>
  <c r="H132" s="1"/>
  <c r="G131"/>
  <c r="H131" s="1"/>
  <c r="H130"/>
  <c r="G130"/>
  <c r="G129"/>
  <c r="H129" s="1"/>
  <c r="H128"/>
  <c r="G128"/>
  <c r="G127"/>
  <c r="H127" s="1"/>
  <c r="G126"/>
  <c r="H126" s="1"/>
  <c r="G125"/>
  <c r="G121"/>
  <c r="H121" s="1"/>
  <c r="H120"/>
  <c r="G120"/>
  <c r="G119"/>
  <c r="H119" s="1"/>
  <c r="G118"/>
  <c r="H118" s="1"/>
  <c r="G117"/>
  <c r="H117" s="1"/>
  <c r="G116"/>
  <c r="H116" s="1"/>
  <c r="G115"/>
  <c r="H115" s="1"/>
  <c r="G114"/>
  <c r="H114" s="1"/>
  <c r="G113"/>
  <c r="H113" s="1"/>
  <c r="G112"/>
  <c r="H112" s="1"/>
  <c r="G111"/>
  <c r="H111" s="1"/>
  <c r="G110"/>
  <c r="G106"/>
  <c r="H106" s="1"/>
  <c r="G105"/>
  <c r="H105" s="1"/>
  <c r="G104"/>
  <c r="H104" s="1"/>
  <c r="H103"/>
  <c r="G103"/>
  <c r="G102"/>
  <c r="H102" s="1"/>
  <c r="G101"/>
  <c r="H101" s="1"/>
  <c r="G100"/>
  <c r="H100" s="1"/>
  <c r="G99"/>
  <c r="H99" s="1"/>
  <c r="G98"/>
  <c r="H98" s="1"/>
  <c r="H97"/>
  <c r="G97"/>
  <c r="G96"/>
  <c r="H96" s="1"/>
  <c r="G95"/>
  <c r="H95" s="1"/>
  <c r="G91"/>
  <c r="H91" s="1"/>
  <c r="H90"/>
  <c r="G90"/>
  <c r="G89"/>
  <c r="H89" s="1"/>
  <c r="H88"/>
  <c r="G88"/>
  <c r="G87"/>
  <c r="H87" s="1"/>
  <c r="G86"/>
  <c r="H86" s="1"/>
  <c r="G85"/>
  <c r="H85" s="1"/>
  <c r="G84"/>
  <c r="H84" s="1"/>
  <c r="G83"/>
  <c r="H83" s="1"/>
  <c r="G82"/>
  <c r="H82" s="1"/>
  <c r="G81"/>
  <c r="H81" s="1"/>
  <c r="G80"/>
  <c r="H80" s="1"/>
  <c r="J51" i="6"/>
  <c r="J53"/>
  <c r="J52"/>
  <c r="L38"/>
  <c r="L37"/>
  <c r="L35"/>
  <c r="L34"/>
  <c r="L32"/>
  <c r="L31"/>
  <c r="L29"/>
  <c r="L28"/>
  <c r="L26"/>
  <c r="L25"/>
  <c r="L23"/>
  <c r="L22"/>
  <c r="L20"/>
  <c r="L19"/>
  <c r="L17"/>
  <c r="L16"/>
  <c r="J63"/>
  <c r="A45"/>
  <c r="A42"/>
  <c r="A38"/>
  <c r="A35"/>
  <c r="A32"/>
  <c r="A29"/>
  <c r="A26"/>
  <c r="A23"/>
  <c r="A20"/>
  <c r="A17"/>
  <c r="A14"/>
  <c r="A11"/>
  <c r="E45" l="1"/>
  <c r="E44"/>
  <c r="E83" i="7"/>
  <c r="F83" s="1"/>
  <c r="E84"/>
  <c r="F84" s="1"/>
  <c r="E82"/>
  <c r="F82" s="1"/>
  <c r="E85"/>
  <c r="F85" s="1"/>
  <c r="E78"/>
  <c r="E75"/>
  <c r="F75" s="1"/>
  <c r="E76"/>
  <c r="F76" s="1"/>
  <c r="E77"/>
  <c r="F77" s="1"/>
  <c r="L63" i="6"/>
  <c r="E41"/>
  <c r="E42"/>
  <c r="E34"/>
  <c r="E35"/>
  <c r="E64" i="7"/>
  <c r="F64" s="1"/>
  <c r="E62"/>
  <c r="F62" s="1"/>
  <c r="E63"/>
  <c r="F63" s="1"/>
  <c r="E38" i="6"/>
  <c r="E37"/>
  <c r="E69" i="7"/>
  <c r="F69" s="1"/>
  <c r="E70"/>
  <c r="F70" s="1"/>
  <c r="E68"/>
  <c r="F68" s="1"/>
  <c r="E31" i="6"/>
  <c r="E32"/>
  <c r="E57" i="7"/>
  <c r="F57" s="1"/>
  <c r="E55"/>
  <c r="F55" s="1"/>
  <c r="E56"/>
  <c r="F56" s="1"/>
  <c r="E45"/>
  <c r="F45" s="1"/>
  <c r="E43"/>
  <c r="F43" s="1"/>
  <c r="E44"/>
  <c r="F44" s="1"/>
  <c r="E25" i="6"/>
  <c r="E26"/>
  <c r="E22"/>
  <c r="E23"/>
  <c r="E38" i="7"/>
  <c r="F38" s="1"/>
  <c r="E39"/>
  <c r="F39" s="1"/>
  <c r="E37"/>
  <c r="F37" s="1"/>
  <c r="E19" i="6"/>
  <c r="E20"/>
  <c r="E31" i="7"/>
  <c r="F31" s="1"/>
  <c r="E32"/>
  <c r="F32" s="1"/>
  <c r="E33"/>
  <c r="F33" s="1"/>
  <c r="E16" i="6"/>
  <c r="E17"/>
  <c r="E25" i="7"/>
  <c r="F25" s="1"/>
  <c r="E26"/>
  <c r="F26" s="1"/>
  <c r="E27"/>
  <c r="F27" s="1"/>
  <c r="E13" i="6"/>
  <c r="E14"/>
  <c r="E20" i="7"/>
  <c r="F20" s="1"/>
  <c r="E21"/>
  <c r="F21" s="1"/>
  <c r="E19"/>
  <c r="F19" s="1"/>
  <c r="E10" i="6"/>
  <c r="E11"/>
  <c r="E13" i="7"/>
  <c r="F13" s="1"/>
  <c r="E14"/>
  <c r="F14" s="1"/>
  <c r="E15"/>
  <c r="F15" s="1"/>
  <c r="E7"/>
  <c r="F7" s="1"/>
  <c r="E8"/>
  <c r="E9"/>
  <c r="E59" i="6"/>
  <c r="H125" i="1"/>
  <c r="H171"/>
  <c r="H110"/>
  <c r="H187"/>
  <c r="A162" i="5"/>
  <c r="A149"/>
  <c r="A134"/>
  <c r="A122"/>
  <c r="A109"/>
  <c r="A97"/>
  <c r="A84"/>
  <c r="E89" s="1"/>
  <c r="A70"/>
  <c r="A58"/>
  <c r="A46"/>
  <c r="A33"/>
  <c r="A20"/>
  <c r="A8"/>
  <c r="F12" i="4"/>
  <c r="F11"/>
  <c r="F10"/>
  <c r="E36" i="5" l="1"/>
  <c r="E35"/>
  <c r="F35" s="1"/>
  <c r="F89"/>
  <c r="G89" s="1"/>
  <c r="I89" s="1"/>
  <c r="E26"/>
  <c r="F26" s="1"/>
  <c r="E27"/>
  <c r="F27" s="1"/>
  <c r="E25"/>
  <c r="F25" s="1"/>
  <c r="E30"/>
  <c r="F30" s="1"/>
  <c r="E28"/>
  <c r="F28" s="1"/>
  <c r="E23"/>
  <c r="F23" s="1"/>
  <c r="E20"/>
  <c r="F20" s="1"/>
  <c r="E29"/>
  <c r="F29" s="1"/>
  <c r="E21"/>
  <c r="F21" s="1"/>
  <c r="E24"/>
  <c r="F24" s="1"/>
  <c r="E19"/>
  <c r="F19" s="1"/>
  <c r="E22"/>
  <c r="F22" s="1"/>
  <c r="E80"/>
  <c r="F80" s="1"/>
  <c r="E75"/>
  <c r="F75" s="1"/>
  <c r="E71"/>
  <c r="F71" s="1"/>
  <c r="E69"/>
  <c r="F69" s="1"/>
  <c r="E76"/>
  <c r="F76" s="1"/>
  <c r="E70"/>
  <c r="F70" s="1"/>
  <c r="E77"/>
  <c r="F77" s="1"/>
  <c r="E73"/>
  <c r="F73" s="1"/>
  <c r="E78"/>
  <c r="F78" s="1"/>
  <c r="E72"/>
  <c r="F72" s="1"/>
  <c r="E81"/>
  <c r="F81" s="1"/>
  <c r="E79"/>
  <c r="F79" s="1"/>
  <c r="E130"/>
  <c r="F130" s="1"/>
  <c r="E127"/>
  <c r="F127" s="1"/>
  <c r="E122"/>
  <c r="F122" s="1"/>
  <c r="E123"/>
  <c r="F123" s="1"/>
  <c r="E129"/>
  <c r="F129" s="1"/>
  <c r="E124"/>
  <c r="F124" s="1"/>
  <c r="E121"/>
  <c r="F121" s="1"/>
  <c r="E128"/>
  <c r="F128" s="1"/>
  <c r="E125"/>
  <c r="F125" s="1"/>
  <c r="E131"/>
  <c r="F131" s="1"/>
  <c r="E126"/>
  <c r="F126" s="1"/>
  <c r="E65"/>
  <c r="F65" s="1"/>
  <c r="E62"/>
  <c r="F62" s="1"/>
  <c r="E60"/>
  <c r="F60" s="1"/>
  <c r="E58"/>
  <c r="F58" s="1"/>
  <c r="E67"/>
  <c r="F67" s="1"/>
  <c r="E64"/>
  <c r="F64" s="1"/>
  <c r="E59"/>
  <c r="F59" s="1"/>
  <c r="E57"/>
  <c r="F57" s="1"/>
  <c r="E63"/>
  <c r="F63" s="1"/>
  <c r="E66"/>
  <c r="F66" s="1"/>
  <c r="E61"/>
  <c r="F61" s="1"/>
  <c r="E117"/>
  <c r="F117" s="1"/>
  <c r="E114"/>
  <c r="F114" s="1"/>
  <c r="E109"/>
  <c r="F109" s="1"/>
  <c r="E112"/>
  <c r="F112" s="1"/>
  <c r="E110"/>
  <c r="F110" s="1"/>
  <c r="E116"/>
  <c r="F116" s="1"/>
  <c r="E111"/>
  <c r="F111" s="1"/>
  <c r="E108"/>
  <c r="F108" s="1"/>
  <c r="E119"/>
  <c r="F119" s="1"/>
  <c r="E115"/>
  <c r="F115" s="1"/>
  <c r="E118"/>
  <c r="F118" s="1"/>
  <c r="E113"/>
  <c r="F113" s="1"/>
  <c r="E173"/>
  <c r="F173" s="1"/>
  <c r="E169"/>
  <c r="F169" s="1"/>
  <c r="E164"/>
  <c r="F164" s="1"/>
  <c r="E161"/>
  <c r="F161" s="1"/>
  <c r="E165"/>
  <c r="F165" s="1"/>
  <c r="E172"/>
  <c r="F172" s="1"/>
  <c r="E171"/>
  <c r="F171" s="1"/>
  <c r="E166"/>
  <c r="F166" s="1"/>
  <c r="E163"/>
  <c r="F163" s="1"/>
  <c r="E174"/>
  <c r="F174" s="1"/>
  <c r="E170"/>
  <c r="F170" s="1"/>
  <c r="E167"/>
  <c r="F167" s="1"/>
  <c r="E162"/>
  <c r="F162" s="1"/>
  <c r="E168"/>
  <c r="F168" s="1"/>
  <c r="E53"/>
  <c r="F53" s="1"/>
  <c r="E48"/>
  <c r="F48" s="1"/>
  <c r="E45"/>
  <c r="F45" s="1"/>
  <c r="E54"/>
  <c r="F54" s="1"/>
  <c r="E52"/>
  <c r="F52" s="1"/>
  <c r="E55"/>
  <c r="F55" s="1"/>
  <c r="E50"/>
  <c r="F50" s="1"/>
  <c r="E47"/>
  <c r="F47" s="1"/>
  <c r="E51"/>
  <c r="F51" s="1"/>
  <c r="E46"/>
  <c r="F46" s="1"/>
  <c r="E49"/>
  <c r="F49" s="1"/>
  <c r="E105"/>
  <c r="F105" s="1"/>
  <c r="E102"/>
  <c r="F102" s="1"/>
  <c r="E97"/>
  <c r="F97" s="1"/>
  <c r="E103"/>
  <c r="F103" s="1"/>
  <c r="E98"/>
  <c r="F98" s="1"/>
  <c r="E104"/>
  <c r="F104" s="1"/>
  <c r="E99"/>
  <c r="F99" s="1"/>
  <c r="E96"/>
  <c r="F96" s="1"/>
  <c r="E100"/>
  <c r="F100" s="1"/>
  <c r="E106"/>
  <c r="F106" s="1"/>
  <c r="E101"/>
  <c r="F101" s="1"/>
  <c r="E38"/>
  <c r="F38" s="1"/>
  <c r="E41"/>
  <c r="F41" s="1"/>
  <c r="E37"/>
  <c r="F37" s="1"/>
  <c r="E32"/>
  <c r="F32" s="1"/>
  <c r="E42"/>
  <c r="F42" s="1"/>
  <c r="E40"/>
  <c r="F40" s="1"/>
  <c r="E33"/>
  <c r="F33" s="1"/>
  <c r="E43"/>
  <c r="F43" s="1"/>
  <c r="E39"/>
  <c r="F39" s="1"/>
  <c r="E34"/>
  <c r="F34" s="1"/>
  <c r="E92"/>
  <c r="F92" s="1"/>
  <c r="E87"/>
  <c r="F87" s="1"/>
  <c r="E83"/>
  <c r="F83" s="1"/>
  <c r="E93"/>
  <c r="F93" s="1"/>
  <c r="E91"/>
  <c r="F91" s="1"/>
  <c r="E88"/>
  <c r="F88" s="1"/>
  <c r="E86"/>
  <c r="F86" s="1"/>
  <c r="E84"/>
  <c r="F84" s="1"/>
  <c r="E94"/>
  <c r="F94" s="1"/>
  <c r="E90"/>
  <c r="F90" s="1"/>
  <c r="E85"/>
  <c r="F85" s="1"/>
  <c r="E145"/>
  <c r="E139"/>
  <c r="F139" s="1"/>
  <c r="E136"/>
  <c r="F136" s="1"/>
  <c r="E137"/>
  <c r="F137" s="1"/>
  <c r="E143"/>
  <c r="F143" s="1"/>
  <c r="E144"/>
  <c r="E141"/>
  <c r="F141" s="1"/>
  <c r="E138"/>
  <c r="F138" s="1"/>
  <c r="E133"/>
  <c r="F133" s="1"/>
  <c r="E142"/>
  <c r="F142" s="1"/>
  <c r="E134"/>
  <c r="F134" s="1"/>
  <c r="E140"/>
  <c r="F140" s="1"/>
  <c r="E135"/>
  <c r="F135" s="1"/>
  <c r="A8" i="6"/>
  <c r="E13" i="5"/>
  <c r="E10"/>
  <c r="E11"/>
  <c r="E16"/>
  <c r="E12"/>
  <c r="E8"/>
  <c r="E17"/>
  <c r="E9"/>
  <c r="E14"/>
  <c r="E15"/>
  <c r="E7"/>
  <c r="E156"/>
  <c r="F156" s="1"/>
  <c r="E151"/>
  <c r="F151" s="1"/>
  <c r="E148"/>
  <c r="F148" s="1"/>
  <c r="E159"/>
  <c r="E152"/>
  <c r="F152" s="1"/>
  <c r="E158"/>
  <c r="F158" s="1"/>
  <c r="E153"/>
  <c r="F153" s="1"/>
  <c r="E150"/>
  <c r="F150" s="1"/>
  <c r="E157"/>
  <c r="F157" s="1"/>
  <c r="E154"/>
  <c r="F154" s="1"/>
  <c r="E149"/>
  <c r="F149" s="1"/>
  <c r="E155"/>
  <c r="F155" s="1"/>
  <c r="M62" i="6"/>
  <c r="J64"/>
  <c r="L64" s="1"/>
  <c r="F36" i="5" l="1"/>
  <c r="G36"/>
  <c r="I36" s="1"/>
  <c r="E8" i="6"/>
  <c r="E7"/>
  <c r="L51"/>
  <c r="G118" i="5"/>
  <c r="I118" s="1"/>
  <c r="F144"/>
  <c r="G144" s="1"/>
  <c r="I144" s="1"/>
  <c r="G80"/>
  <c r="I80" s="1"/>
  <c r="G28"/>
  <c r="G29"/>
  <c r="I29" s="1"/>
  <c r="K201" i="1"/>
  <c r="K185"/>
  <c r="K169"/>
  <c r="K153"/>
  <c r="K138"/>
  <c r="K123"/>
  <c r="K108"/>
  <c r="K93"/>
  <c r="K78"/>
  <c r="K63"/>
  <c r="K48"/>
  <c r="K33"/>
  <c r="K18"/>
  <c r="E51" i="6" l="1"/>
  <c r="G51" s="1"/>
  <c r="N51" s="1"/>
  <c r="F78" i="7"/>
  <c r="F9"/>
  <c r="F8"/>
  <c r="G15" i="1"/>
  <c r="E64" i="6"/>
  <c r="F45"/>
  <c r="F44"/>
  <c r="F42"/>
  <c r="F41"/>
  <c r="F38"/>
  <c r="F37"/>
  <c r="F35"/>
  <c r="F34"/>
  <c r="F32"/>
  <c r="F31"/>
  <c r="F29"/>
  <c r="F28"/>
  <c r="F26"/>
  <c r="F25"/>
  <c r="F23"/>
  <c r="F22"/>
  <c r="F20"/>
  <c r="F19"/>
  <c r="F17"/>
  <c r="F16"/>
  <c r="F14"/>
  <c r="F13"/>
  <c r="F11"/>
  <c r="F10"/>
  <c r="F8"/>
  <c r="F159" i="5"/>
  <c r="F145"/>
  <c r="F17"/>
  <c r="F16"/>
  <c r="F15"/>
  <c r="F14"/>
  <c r="F13"/>
  <c r="F12"/>
  <c r="F11"/>
  <c r="F10"/>
  <c r="F9"/>
  <c r="F8"/>
  <c r="F7"/>
  <c r="E63" i="6" l="1"/>
  <c r="E61"/>
  <c r="E60"/>
  <c r="E53"/>
  <c r="G53" s="1"/>
  <c r="N53" s="1"/>
  <c r="E55"/>
  <c r="E57"/>
  <c r="G52"/>
  <c r="E54"/>
  <c r="E56"/>
  <c r="E58"/>
  <c r="G8"/>
  <c r="I8" s="1"/>
  <c r="F7"/>
  <c r="G7" s="1"/>
  <c r="C200" i="1"/>
  <c r="C32"/>
  <c r="G16"/>
  <c r="H16" s="1"/>
  <c r="H15"/>
  <c r="G14"/>
  <c r="H14" s="1"/>
  <c r="G13"/>
  <c r="H13" s="1"/>
  <c r="G12"/>
  <c r="H12" s="1"/>
  <c r="G11"/>
  <c r="H11" s="1"/>
  <c r="G10"/>
  <c r="H10" s="1"/>
  <c r="G9"/>
  <c r="H9" s="1"/>
  <c r="G8"/>
  <c r="H8" s="1"/>
  <c r="G7"/>
  <c r="H7" s="1"/>
  <c r="C17"/>
  <c r="G83" i="7"/>
  <c r="I83" s="1"/>
  <c r="M64" i="6"/>
  <c r="M63"/>
  <c r="G69" i="7"/>
  <c r="I69" s="1"/>
  <c r="G37" i="6"/>
  <c r="I37" s="1"/>
  <c r="J61"/>
  <c r="G34"/>
  <c r="I34" s="1"/>
  <c r="G63" i="7"/>
  <c r="I63" s="1"/>
  <c r="J60" i="6"/>
  <c r="J59"/>
  <c r="G110" i="5"/>
  <c r="I110" s="1"/>
  <c r="G109"/>
  <c r="I109" s="1"/>
  <c r="G108"/>
  <c r="I108" s="1"/>
  <c r="J58" i="6"/>
  <c r="G29"/>
  <c r="I29" s="1"/>
  <c r="L58" l="1"/>
  <c r="M58" s="1"/>
  <c r="L59"/>
  <c r="M59" s="1"/>
  <c r="L60"/>
  <c r="M60" s="1"/>
  <c r="L61"/>
  <c r="M61" s="1"/>
  <c r="K80" i="7"/>
  <c r="G164" i="5"/>
  <c r="I164" s="1"/>
  <c r="G165"/>
  <c r="I165" s="1"/>
  <c r="J7" i="1"/>
  <c r="J8"/>
  <c r="J9"/>
  <c r="J10"/>
  <c r="J11"/>
  <c r="J13"/>
  <c r="J14"/>
  <c r="J12"/>
  <c r="J15"/>
  <c r="J16"/>
  <c r="G161" i="5"/>
  <c r="I161" s="1"/>
  <c r="G162"/>
  <c r="I162" s="1"/>
  <c r="G163"/>
  <c r="I163" s="1"/>
  <c r="G166"/>
  <c r="I166" s="1"/>
  <c r="G167"/>
  <c r="I167" s="1"/>
  <c r="G168"/>
  <c r="I168" s="1"/>
  <c r="G169"/>
  <c r="I169" s="1"/>
  <c r="G170"/>
  <c r="I170" s="1"/>
  <c r="G171"/>
  <c r="I171" s="1"/>
  <c r="G172"/>
  <c r="I172" s="1"/>
  <c r="G173"/>
  <c r="I173" s="1"/>
  <c r="G174"/>
  <c r="I174" s="1"/>
  <c r="K87" i="7"/>
  <c r="G75"/>
  <c r="I75" s="1"/>
  <c r="G76"/>
  <c r="I76" s="1"/>
  <c r="G77"/>
  <c r="I77" s="1"/>
  <c r="G78"/>
  <c r="I78" s="1"/>
  <c r="G82"/>
  <c r="I82" s="1"/>
  <c r="G84"/>
  <c r="I84" s="1"/>
  <c r="G85"/>
  <c r="I85" s="1"/>
  <c r="G41" i="6"/>
  <c r="I41" s="1"/>
  <c r="G42"/>
  <c r="I42" s="1"/>
  <c r="G44"/>
  <c r="I44" s="1"/>
  <c r="G45"/>
  <c r="I45" s="1"/>
  <c r="G63"/>
  <c r="G64"/>
  <c r="G148" i="5"/>
  <c r="I148" s="1"/>
  <c r="G149"/>
  <c r="I149" s="1"/>
  <c r="G150"/>
  <c r="I150" s="1"/>
  <c r="G151"/>
  <c r="I151" s="1"/>
  <c r="G152"/>
  <c r="I152" s="1"/>
  <c r="G153"/>
  <c r="I153" s="1"/>
  <c r="G154"/>
  <c r="I154" s="1"/>
  <c r="G155"/>
  <c r="I155" s="1"/>
  <c r="G156"/>
  <c r="I156" s="1"/>
  <c r="G157"/>
  <c r="I157" s="1"/>
  <c r="G158"/>
  <c r="I158" s="1"/>
  <c r="G159"/>
  <c r="I159" s="1"/>
  <c r="G68" i="7"/>
  <c r="I68" s="1"/>
  <c r="K72" s="1"/>
  <c r="G70"/>
  <c r="I70" s="1"/>
  <c r="G38" i="6"/>
  <c r="I38" s="1"/>
  <c r="G61"/>
  <c r="G141" i="5"/>
  <c r="I141" s="1"/>
  <c r="G133"/>
  <c r="I133" s="1"/>
  <c r="G134"/>
  <c r="I134" s="1"/>
  <c r="G135"/>
  <c r="I135" s="1"/>
  <c r="G136"/>
  <c r="I136" s="1"/>
  <c r="G137"/>
  <c r="I137" s="1"/>
  <c r="G138"/>
  <c r="I138" s="1"/>
  <c r="G139"/>
  <c r="I139" s="1"/>
  <c r="G140"/>
  <c r="I140" s="1"/>
  <c r="G142"/>
  <c r="I142" s="1"/>
  <c r="G143"/>
  <c r="I143" s="1"/>
  <c r="G145"/>
  <c r="I145" s="1"/>
  <c r="G35" i="6"/>
  <c r="I35" s="1"/>
  <c r="G62" i="7"/>
  <c r="I62" s="1"/>
  <c r="K66" s="1"/>
  <c r="G64"/>
  <c r="I64" s="1"/>
  <c r="G60" i="6"/>
  <c r="G121" i="5"/>
  <c r="I121" s="1"/>
  <c r="G122"/>
  <c r="I122" s="1"/>
  <c r="G123"/>
  <c r="I123" s="1"/>
  <c r="G124"/>
  <c r="I124" s="1"/>
  <c r="G125"/>
  <c r="I125" s="1"/>
  <c r="G126"/>
  <c r="I126" s="1"/>
  <c r="G127"/>
  <c r="I127" s="1"/>
  <c r="G128"/>
  <c r="I128" s="1"/>
  <c r="G129"/>
  <c r="I129" s="1"/>
  <c r="G130"/>
  <c r="I130" s="1"/>
  <c r="G131"/>
  <c r="I131" s="1"/>
  <c r="G55" i="7"/>
  <c r="I55" s="1"/>
  <c r="G56"/>
  <c r="I56" s="1"/>
  <c r="G57"/>
  <c r="I57" s="1"/>
  <c r="G59" i="6"/>
  <c r="N59" s="1"/>
  <c r="G31"/>
  <c r="I31" s="1"/>
  <c r="G32"/>
  <c r="I32" s="1"/>
  <c r="G111" i="5"/>
  <c r="I111" s="1"/>
  <c r="G112"/>
  <c r="I112" s="1"/>
  <c r="G119"/>
  <c r="I119" s="1"/>
  <c r="G113"/>
  <c r="I113" s="1"/>
  <c r="G114"/>
  <c r="I114" s="1"/>
  <c r="G115"/>
  <c r="I115" s="1"/>
  <c r="G116"/>
  <c r="I116" s="1"/>
  <c r="G117"/>
  <c r="I117" s="1"/>
  <c r="G58" i="6"/>
  <c r="N58" s="1"/>
  <c r="G28"/>
  <c r="I28" s="1"/>
  <c r="G98" i="5"/>
  <c r="I98" s="1"/>
  <c r="G99"/>
  <c r="G97"/>
  <c r="I97" s="1"/>
  <c r="G96"/>
  <c r="I96" s="1"/>
  <c r="G51" i="7"/>
  <c r="I51" s="1"/>
  <c r="G49"/>
  <c r="I49" s="1"/>
  <c r="K59" l="1"/>
  <c r="I146" i="5"/>
  <c r="K146" s="1"/>
  <c r="I175"/>
  <c r="K175" s="1"/>
  <c r="I86" i="7"/>
  <c r="I46" i="6"/>
  <c r="K46" s="1"/>
  <c r="L46" s="1"/>
  <c r="I43"/>
  <c r="K43" s="1"/>
  <c r="L43" s="1"/>
  <c r="I160" i="5"/>
  <c r="K160" s="1"/>
  <c r="I71" i="7"/>
  <c r="I39" i="6"/>
  <c r="K39" s="1"/>
  <c r="L39" s="1"/>
  <c r="I36"/>
  <c r="K36" s="1"/>
  <c r="L36" s="1"/>
  <c r="I65" i="7"/>
  <c r="I132" i="5"/>
  <c r="K132" s="1"/>
  <c r="I58" i="7"/>
  <c r="I33" i="6"/>
  <c r="K33" s="1"/>
  <c r="L33" s="1"/>
  <c r="K120" i="5"/>
  <c r="I30" i="6"/>
  <c r="K30" s="1"/>
  <c r="L30" s="1"/>
  <c r="I99" i="5"/>
  <c r="G100"/>
  <c r="I100" s="1"/>
  <c r="G101"/>
  <c r="I101" s="1"/>
  <c r="G102"/>
  <c r="I102" s="1"/>
  <c r="G103"/>
  <c r="I103" s="1"/>
  <c r="G104"/>
  <c r="I104" s="1"/>
  <c r="G105"/>
  <c r="I105" s="1"/>
  <c r="G106"/>
  <c r="I106" s="1"/>
  <c r="G50" i="7"/>
  <c r="I50" s="1"/>
  <c r="I88" l="1"/>
  <c r="K88" s="1"/>
  <c r="I81"/>
  <c r="K81" s="1"/>
  <c r="I73"/>
  <c r="K73" s="1"/>
  <c r="I67"/>
  <c r="K67" s="1"/>
  <c r="I60"/>
  <c r="K60" s="1"/>
  <c r="I107" i="5"/>
  <c r="K107" s="1"/>
  <c r="K53" i="7"/>
  <c r="I52"/>
  <c r="I54" l="1"/>
  <c r="K54" s="1"/>
  <c r="J57" i="6" l="1"/>
  <c r="G37" i="7"/>
  <c r="I37" s="1"/>
  <c r="G22" i="6"/>
  <c r="I22" s="1"/>
  <c r="G56"/>
  <c r="G73" i="5"/>
  <c r="I73" s="1"/>
  <c r="G75"/>
  <c r="I75" s="1"/>
  <c r="G76"/>
  <c r="I76" s="1"/>
  <c r="J56" i="6"/>
  <c r="L57" l="1"/>
  <c r="M57" s="1"/>
  <c r="L56"/>
  <c r="M56" s="1"/>
  <c r="G43" i="7"/>
  <c r="I43" s="1"/>
  <c r="G44"/>
  <c r="I44" s="1"/>
  <c r="G45"/>
  <c r="I45" s="1"/>
  <c r="G25" i="6"/>
  <c r="I25" s="1"/>
  <c r="G26"/>
  <c r="I26" s="1"/>
  <c r="G57"/>
  <c r="G83" i="5"/>
  <c r="I83" s="1"/>
  <c r="G84"/>
  <c r="I84" s="1"/>
  <c r="G85"/>
  <c r="I85" s="1"/>
  <c r="G86"/>
  <c r="I86" s="1"/>
  <c r="G87"/>
  <c r="I87" s="1"/>
  <c r="G88"/>
  <c r="I88" s="1"/>
  <c r="G90"/>
  <c r="I90" s="1"/>
  <c r="G91"/>
  <c r="I91" s="1"/>
  <c r="G92"/>
  <c r="I92" s="1"/>
  <c r="G93"/>
  <c r="I93" s="1"/>
  <c r="G94"/>
  <c r="I94" s="1"/>
  <c r="G38" i="7"/>
  <c r="I38" s="1"/>
  <c r="G39"/>
  <c r="I39" s="1"/>
  <c r="G23" i="6"/>
  <c r="I23" s="1"/>
  <c r="G69" i="5"/>
  <c r="I69" s="1"/>
  <c r="G70"/>
  <c r="I70" s="1"/>
  <c r="G71"/>
  <c r="I71" s="1"/>
  <c r="G72"/>
  <c r="I72" s="1"/>
  <c r="G77"/>
  <c r="I77" s="1"/>
  <c r="G78"/>
  <c r="I78" s="1"/>
  <c r="G79"/>
  <c r="I79" s="1"/>
  <c r="G81"/>
  <c r="I81" s="1"/>
  <c r="G31" i="7"/>
  <c r="I31" s="1"/>
  <c r="G32"/>
  <c r="I32" s="1"/>
  <c r="G33"/>
  <c r="I33" s="1"/>
  <c r="J55" i="6"/>
  <c r="G60" i="5"/>
  <c r="G58"/>
  <c r="I58" s="1"/>
  <c r="G57"/>
  <c r="I57" s="1"/>
  <c r="G26" i="7"/>
  <c r="I26" s="1"/>
  <c r="G16" i="6"/>
  <c r="I16" s="1"/>
  <c r="J54"/>
  <c r="G47" i="5"/>
  <c r="I47" s="1"/>
  <c r="G46"/>
  <c r="I46" s="1"/>
  <c r="G45"/>
  <c r="I45" s="1"/>
  <c r="G20" i="7"/>
  <c r="I20" s="1"/>
  <c r="C184" i="1"/>
  <c r="C168"/>
  <c r="C152"/>
  <c r="C137"/>
  <c r="C122"/>
  <c r="C107"/>
  <c r="C92"/>
  <c r="C77"/>
  <c r="G76"/>
  <c r="H76" s="1"/>
  <c r="G75"/>
  <c r="H75" s="1"/>
  <c r="G74"/>
  <c r="H74" s="1"/>
  <c r="G73"/>
  <c r="H73" s="1"/>
  <c r="G72"/>
  <c r="H72" s="1"/>
  <c r="G71"/>
  <c r="H71" s="1"/>
  <c r="G70"/>
  <c r="H70" s="1"/>
  <c r="G69"/>
  <c r="H69" s="1"/>
  <c r="G68"/>
  <c r="H68" s="1"/>
  <c r="G67"/>
  <c r="H67" s="1"/>
  <c r="G66"/>
  <c r="H66" s="1"/>
  <c r="G65"/>
  <c r="H65" s="1"/>
  <c r="C62"/>
  <c r="G61"/>
  <c r="H61" s="1"/>
  <c r="G60"/>
  <c r="H60" s="1"/>
  <c r="G59"/>
  <c r="H59" s="1"/>
  <c r="G58"/>
  <c r="H58" s="1"/>
  <c r="G57"/>
  <c r="H57" s="1"/>
  <c r="G56"/>
  <c r="H56" s="1"/>
  <c r="G55"/>
  <c r="H55" s="1"/>
  <c r="G54"/>
  <c r="H54" s="1"/>
  <c r="G53"/>
  <c r="H53" s="1"/>
  <c r="G52"/>
  <c r="H52" s="1"/>
  <c r="G51"/>
  <c r="H51" s="1"/>
  <c r="G50"/>
  <c r="H50" s="1"/>
  <c r="G15" i="7"/>
  <c r="I15" s="1"/>
  <c r="C47" i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35"/>
  <c r="H35" s="1"/>
  <c r="L54" i="6" l="1"/>
  <c r="M54" s="1"/>
  <c r="L53"/>
  <c r="M53" s="1"/>
  <c r="L55"/>
  <c r="M55" s="1"/>
  <c r="K47" i="7"/>
  <c r="J104" i="1"/>
  <c r="J35"/>
  <c r="J105"/>
  <c r="J187"/>
  <c r="J188"/>
  <c r="J45"/>
  <c r="J70"/>
  <c r="J166"/>
  <c r="J71"/>
  <c r="J72"/>
  <c r="J73"/>
  <c r="J95"/>
  <c r="J74"/>
  <c r="J75"/>
  <c r="J100"/>
  <c r="J101"/>
  <c r="J150"/>
  <c r="I24" i="6"/>
  <c r="K24" s="1"/>
  <c r="L24" s="1"/>
  <c r="G19"/>
  <c r="I19" s="1"/>
  <c r="G55"/>
  <c r="N55" s="1"/>
  <c r="I46" i="7"/>
  <c r="I27" i="6"/>
  <c r="K27" s="1"/>
  <c r="L27" s="1"/>
  <c r="I95" i="5"/>
  <c r="K95" s="1"/>
  <c r="K41" i="7"/>
  <c r="I40"/>
  <c r="I82" i="5"/>
  <c r="K82" s="1"/>
  <c r="K35" i="7"/>
  <c r="I34"/>
  <c r="G20" i="6"/>
  <c r="I20" s="1"/>
  <c r="G59" i="5"/>
  <c r="I59" s="1"/>
  <c r="I60"/>
  <c r="G61"/>
  <c r="I61" s="1"/>
  <c r="G62"/>
  <c r="I62" s="1"/>
  <c r="G63"/>
  <c r="I63" s="1"/>
  <c r="G64"/>
  <c r="I64" s="1"/>
  <c r="G65"/>
  <c r="I65" s="1"/>
  <c r="G66"/>
  <c r="I66" s="1"/>
  <c r="G67"/>
  <c r="I67" s="1"/>
  <c r="G25" i="7"/>
  <c r="I25" s="1"/>
  <c r="K29" s="1"/>
  <c r="G27"/>
  <c r="I27" s="1"/>
  <c r="G17" i="6"/>
  <c r="I17" s="1"/>
  <c r="G54"/>
  <c r="N54" s="1"/>
  <c r="G48" i="5"/>
  <c r="I48" s="1"/>
  <c r="G49"/>
  <c r="I49" s="1"/>
  <c r="G50"/>
  <c r="I50" s="1"/>
  <c r="G51"/>
  <c r="I51" s="1"/>
  <c r="G52"/>
  <c r="I52" s="1"/>
  <c r="G53"/>
  <c r="I53" s="1"/>
  <c r="G54"/>
  <c r="I54" s="1"/>
  <c r="G55"/>
  <c r="I55" s="1"/>
  <c r="G19" i="7"/>
  <c r="I19" s="1"/>
  <c r="G21"/>
  <c r="I21" s="1"/>
  <c r="G13" i="6"/>
  <c r="I13" s="1"/>
  <c r="G14"/>
  <c r="I14" s="1"/>
  <c r="G32" i="5"/>
  <c r="I32" s="1"/>
  <c r="G33"/>
  <c r="I33" s="1"/>
  <c r="G34"/>
  <c r="I34" s="1"/>
  <c r="G35"/>
  <c r="I35" s="1"/>
  <c r="G37"/>
  <c r="I37" s="1"/>
  <c r="G38"/>
  <c r="I38" s="1"/>
  <c r="G39"/>
  <c r="I39" s="1"/>
  <c r="G40"/>
  <c r="I40" s="1"/>
  <c r="G41"/>
  <c r="I41" s="1"/>
  <c r="G42"/>
  <c r="I42" s="1"/>
  <c r="G43"/>
  <c r="I43" s="1"/>
  <c r="J171" i="1"/>
  <c r="J182"/>
  <c r="J173"/>
  <c r="J172"/>
  <c r="J198"/>
  <c r="J189"/>
  <c r="J177"/>
  <c r="J193"/>
  <c r="J197"/>
  <c r="J178"/>
  <c r="J181"/>
  <c r="J190"/>
  <c r="J191"/>
  <c r="J192"/>
  <c r="J194"/>
  <c r="J195"/>
  <c r="J196"/>
  <c r="J199"/>
  <c r="J179"/>
  <c r="J180"/>
  <c r="J174"/>
  <c r="J175"/>
  <c r="J176"/>
  <c r="J183"/>
  <c r="J146"/>
  <c r="J149"/>
  <c r="J165"/>
  <c r="J164"/>
  <c r="J161"/>
  <c r="J158"/>
  <c r="J143"/>
  <c r="J155"/>
  <c r="J156"/>
  <c r="J157"/>
  <c r="J159"/>
  <c r="J160"/>
  <c r="J162"/>
  <c r="J163"/>
  <c r="J167"/>
  <c r="J140"/>
  <c r="J141"/>
  <c r="J142"/>
  <c r="J144"/>
  <c r="J145"/>
  <c r="J147"/>
  <c r="J148"/>
  <c r="J151"/>
  <c r="J129"/>
  <c r="J130"/>
  <c r="J128"/>
  <c r="J136"/>
  <c r="J125"/>
  <c r="J126"/>
  <c r="J127"/>
  <c r="J131"/>
  <c r="J132"/>
  <c r="J133"/>
  <c r="J134"/>
  <c r="J135"/>
  <c r="J111"/>
  <c r="J110"/>
  <c r="J112"/>
  <c r="J113"/>
  <c r="J114"/>
  <c r="J115"/>
  <c r="J116"/>
  <c r="J117"/>
  <c r="J118"/>
  <c r="J119"/>
  <c r="J120"/>
  <c r="J121"/>
  <c r="J103"/>
  <c r="J99"/>
  <c r="J96"/>
  <c r="J98"/>
  <c r="J97"/>
  <c r="J102"/>
  <c r="J106"/>
  <c r="J82"/>
  <c r="J91"/>
  <c r="J80"/>
  <c r="J81"/>
  <c r="J83"/>
  <c r="J84"/>
  <c r="J85"/>
  <c r="J86"/>
  <c r="J87"/>
  <c r="J88"/>
  <c r="J89"/>
  <c r="J90"/>
  <c r="J67"/>
  <c r="J68"/>
  <c r="J69"/>
  <c r="J65"/>
  <c r="J66"/>
  <c r="J76"/>
  <c r="J52"/>
  <c r="J61"/>
  <c r="J50"/>
  <c r="J51"/>
  <c r="J53"/>
  <c r="J54"/>
  <c r="J55"/>
  <c r="J56"/>
  <c r="J57"/>
  <c r="J58"/>
  <c r="J59"/>
  <c r="J60"/>
  <c r="J39"/>
  <c r="J38"/>
  <c r="J41"/>
  <c r="J42"/>
  <c r="J43"/>
  <c r="J44"/>
  <c r="J40"/>
  <c r="J36"/>
  <c r="J46"/>
  <c r="G13" i="7"/>
  <c r="I13" s="1"/>
  <c r="G14"/>
  <c r="I14" s="1"/>
  <c r="J37" i="1"/>
  <c r="G20"/>
  <c r="H20" s="1"/>
  <c r="G21"/>
  <c r="H21" s="1"/>
  <c r="G22"/>
  <c r="H22" s="1"/>
  <c r="G23"/>
  <c r="H23" s="1"/>
  <c r="G24"/>
  <c r="H24" s="1"/>
  <c r="G25"/>
  <c r="H25" s="1"/>
  <c r="G26"/>
  <c r="H26" s="1"/>
  <c r="G27"/>
  <c r="H27" s="1"/>
  <c r="G28"/>
  <c r="H28" s="1"/>
  <c r="G29"/>
  <c r="H29" s="1"/>
  <c r="G30"/>
  <c r="H30" s="1"/>
  <c r="G31"/>
  <c r="H31" s="1"/>
  <c r="G10" i="6"/>
  <c r="I10" s="1"/>
  <c r="G21" i="5"/>
  <c r="I21" s="1"/>
  <c r="G22"/>
  <c r="G20"/>
  <c r="I20" s="1"/>
  <c r="G19"/>
  <c r="I19" s="1"/>
  <c r="I56" l="1"/>
  <c r="K56" s="1"/>
  <c r="I44"/>
  <c r="K44" s="1"/>
  <c r="K17" i="7"/>
  <c r="K23"/>
  <c r="I16"/>
  <c r="I21" i="6"/>
  <c r="K21" s="1"/>
  <c r="L21" s="1"/>
  <c r="G11"/>
  <c r="I11" s="1"/>
  <c r="I12" s="1"/>
  <c r="K12" s="1"/>
  <c r="L12" s="1"/>
  <c r="I18"/>
  <c r="K18" s="1"/>
  <c r="L18" s="1"/>
  <c r="I48" i="7"/>
  <c r="K48" s="1"/>
  <c r="I42"/>
  <c r="K42" s="1"/>
  <c r="I36"/>
  <c r="K36" s="1"/>
  <c r="I68" i="5"/>
  <c r="K68" s="1"/>
  <c r="I28" i="7"/>
  <c r="I22"/>
  <c r="I15" i="6"/>
  <c r="K15" s="1"/>
  <c r="L15" s="1"/>
  <c r="J200" i="1"/>
  <c r="J184"/>
  <c r="J168"/>
  <c r="J152"/>
  <c r="J137"/>
  <c r="M138"/>
  <c r="J122"/>
  <c r="J107"/>
  <c r="J92"/>
  <c r="M78"/>
  <c r="J77"/>
  <c r="J62"/>
  <c r="J47"/>
  <c r="J23"/>
  <c r="J31"/>
  <c r="J27"/>
  <c r="J25"/>
  <c r="J26"/>
  <c r="J29"/>
  <c r="J28"/>
  <c r="J24"/>
  <c r="J22"/>
  <c r="J21"/>
  <c r="J20"/>
  <c r="J30"/>
  <c r="I22" i="5"/>
  <c r="G23"/>
  <c r="I23" s="1"/>
  <c r="G24"/>
  <c r="I24" s="1"/>
  <c r="G25"/>
  <c r="I25" s="1"/>
  <c r="G26"/>
  <c r="I26" s="1"/>
  <c r="G27"/>
  <c r="I27" s="1"/>
  <c r="I28"/>
  <c r="G30"/>
  <c r="I30" s="1"/>
  <c r="J32" i="1" l="1"/>
  <c r="I30" i="7"/>
  <c r="K30" s="1"/>
  <c r="I24"/>
  <c r="K24" s="1"/>
  <c r="M201" i="1"/>
  <c r="J202"/>
  <c r="K202" s="1"/>
  <c r="M185"/>
  <c r="J186"/>
  <c r="K186" s="1"/>
  <c r="J170"/>
  <c r="M153"/>
  <c r="M169"/>
  <c r="J154"/>
  <c r="K154" s="1"/>
  <c r="J139"/>
  <c r="K139" s="1"/>
  <c r="M123"/>
  <c r="J124"/>
  <c r="K124" s="1"/>
  <c r="J109"/>
  <c r="M108"/>
  <c r="M93"/>
  <c r="J94"/>
  <c r="K94" s="1"/>
  <c r="J79"/>
  <c r="M63"/>
  <c r="J64"/>
  <c r="K64" s="1"/>
  <c r="M48"/>
  <c r="I18" i="7"/>
  <c r="K18" s="1"/>
  <c r="J49" i="1"/>
  <c r="K49" s="1"/>
  <c r="M33"/>
  <c r="I31" i="5"/>
  <c r="K31" s="1"/>
  <c r="K109" i="1" l="1"/>
  <c r="K79"/>
  <c r="K170"/>
  <c r="J34"/>
  <c r="K34" s="1"/>
  <c r="G9" i="7" l="1"/>
  <c r="I9" s="1"/>
  <c r="L52" i="6" l="1"/>
  <c r="M52" s="1"/>
  <c r="G16" i="5"/>
  <c r="I16" s="1"/>
  <c r="G17"/>
  <c r="I17" s="1"/>
  <c r="G12"/>
  <c r="I12" s="1"/>
  <c r="G13"/>
  <c r="I13" s="1"/>
  <c r="G14"/>
  <c r="I14" s="1"/>
  <c r="G7"/>
  <c r="I7" s="1"/>
  <c r="G73" i="4" l="1"/>
  <c r="I73" s="1"/>
  <c r="G72"/>
  <c r="I72" s="1"/>
  <c r="G71"/>
  <c r="I71" s="1"/>
  <c r="G70"/>
  <c r="I70" s="1"/>
  <c r="G68"/>
  <c r="I68" s="1"/>
  <c r="G67"/>
  <c r="I67" s="1"/>
  <c r="G66"/>
  <c r="I66" s="1"/>
  <c r="G65"/>
  <c r="I65" s="1"/>
  <c r="G62"/>
  <c r="I62" s="1"/>
  <c r="G61"/>
  <c r="I61" s="1"/>
  <c r="G60"/>
  <c r="I60" s="1"/>
  <c r="G59"/>
  <c r="I59" s="1"/>
  <c r="G57"/>
  <c r="I57" s="1"/>
  <c r="G56"/>
  <c r="I56" s="1"/>
  <c r="G55"/>
  <c r="I55" s="1"/>
  <c r="G54"/>
  <c r="I54" s="1"/>
  <c r="G52"/>
  <c r="I52" s="1"/>
  <c r="G51"/>
  <c r="I51" s="1"/>
  <c r="G50"/>
  <c r="I50" s="1"/>
  <c r="G49"/>
  <c r="I49" s="1"/>
  <c r="G47"/>
  <c r="I47" s="1"/>
  <c r="G46"/>
  <c r="I46" s="1"/>
  <c r="G45"/>
  <c r="I45" s="1"/>
  <c r="G44"/>
  <c r="I44" s="1"/>
  <c r="G42"/>
  <c r="I42" s="1"/>
  <c r="G41"/>
  <c r="I41" s="1"/>
  <c r="G40"/>
  <c r="I40" s="1"/>
  <c r="G39"/>
  <c r="I39" s="1"/>
  <c r="G37"/>
  <c r="I37" s="1"/>
  <c r="G36"/>
  <c r="I36" s="1"/>
  <c r="G35"/>
  <c r="I35" s="1"/>
  <c r="G34"/>
  <c r="I34" s="1"/>
  <c r="G32"/>
  <c r="I32" s="1"/>
  <c r="G31"/>
  <c r="I31" s="1"/>
  <c r="G30"/>
  <c r="I30" s="1"/>
  <c r="G29"/>
  <c r="I29" s="1"/>
  <c r="G27"/>
  <c r="I27" s="1"/>
  <c r="G26"/>
  <c r="I26" s="1"/>
  <c r="G25"/>
  <c r="I25" s="1"/>
  <c r="G24"/>
  <c r="I24" s="1"/>
  <c r="G22"/>
  <c r="I22" s="1"/>
  <c r="G21"/>
  <c r="I21" s="1"/>
  <c r="G20"/>
  <c r="I20" s="1"/>
  <c r="G19"/>
  <c r="I19" s="1"/>
  <c r="I28" l="1"/>
  <c r="J28" s="1"/>
  <c r="I69"/>
  <c r="I53"/>
  <c r="I43"/>
  <c r="I63"/>
  <c r="I48"/>
  <c r="I58"/>
  <c r="I23"/>
  <c r="I33"/>
  <c r="I74"/>
  <c r="I38"/>
  <c r="G8" i="7"/>
  <c r="I8" s="1"/>
  <c r="G7"/>
  <c r="I7" l="1"/>
  <c r="I10" s="1"/>
  <c r="K11" s="1"/>
  <c r="J74" i="4"/>
  <c r="L74" s="1"/>
  <c r="M74" s="1"/>
  <c r="J69"/>
  <c r="L69" s="1"/>
  <c r="M69" s="1"/>
  <c r="J63"/>
  <c r="L63" s="1"/>
  <c r="M63" s="1"/>
  <c r="J58"/>
  <c r="L58" s="1"/>
  <c r="M58" s="1"/>
  <c r="J53"/>
  <c r="L53" s="1"/>
  <c r="M53" s="1"/>
  <c r="J48"/>
  <c r="L48" s="1"/>
  <c r="M48" s="1"/>
  <c r="J43"/>
  <c r="L43" s="1"/>
  <c r="M43" s="1"/>
  <c r="J38"/>
  <c r="L38" s="1"/>
  <c r="M38" s="1"/>
  <c r="J33"/>
  <c r="L33" s="1"/>
  <c r="M33" s="1"/>
  <c r="L28"/>
  <c r="M28" s="1"/>
  <c r="J23"/>
  <c r="L23" s="1"/>
  <c r="M23" s="1"/>
  <c r="M51" i="6"/>
  <c r="I7"/>
  <c r="G15" i="5"/>
  <c r="I15" s="1"/>
  <c r="G11"/>
  <c r="I11" s="1"/>
  <c r="G9"/>
  <c r="I9" s="1"/>
  <c r="G10"/>
  <c r="G8"/>
  <c r="I8" s="1"/>
  <c r="G14" i="4"/>
  <c r="I14" s="1"/>
  <c r="G10"/>
  <c r="I10" s="1"/>
  <c r="G9"/>
  <c r="I9" s="1"/>
  <c r="G17"/>
  <c r="I17" s="1"/>
  <c r="G16"/>
  <c r="I16" s="1"/>
  <c r="G15"/>
  <c r="I15" s="1"/>
  <c r="G11"/>
  <c r="I11" s="1"/>
  <c r="G12"/>
  <c r="I12" s="1"/>
  <c r="I12" i="7" l="1"/>
  <c r="K12" s="1"/>
  <c r="I13" i="4"/>
  <c r="J13" s="1"/>
  <c r="I9" i="6"/>
  <c r="K9" s="1"/>
  <c r="L9" s="1"/>
  <c r="I10" i="5"/>
  <c r="I18" s="1"/>
  <c r="K18" s="1"/>
  <c r="I18" i="4" l="1"/>
  <c r="J18" l="1"/>
  <c r="L18" s="1"/>
  <c r="M18" s="1"/>
  <c r="J17" i="1"/>
  <c r="L13" i="4" l="1"/>
  <c r="M13" s="1"/>
  <c r="J19" i="1" l="1"/>
  <c r="M18"/>
  <c r="K19" l="1"/>
</calcChain>
</file>

<file path=xl/sharedStrings.xml><?xml version="1.0" encoding="utf-8"?>
<sst xmlns="http://schemas.openxmlformats.org/spreadsheetml/2006/main" count="960" uniqueCount="117">
  <si>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</si>
  <si>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</si>
  <si>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</si>
  <si>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>Показатель объема, уч-ся</t>
  </si>
  <si>
    <t>Должности по штатному расписанию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</si>
  <si>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</si>
  <si>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</si>
  <si>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</si>
  <si>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</si>
  <si>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</si>
  <si>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</si>
  <si>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</si>
  <si>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</si>
  <si>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</si>
  <si>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Единица измерения нормы</t>
  </si>
  <si>
    <t>Наименование затрат</t>
  </si>
  <si>
    <t>Нормативный объем</t>
  </si>
  <si>
    <t>договор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</si>
  <si>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</si>
  <si>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</si>
  <si>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</si>
  <si>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</si>
  <si>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Водоснабжение</t>
  </si>
  <si>
    <t>Водоотведение</t>
  </si>
  <si>
    <t>кВт час</t>
  </si>
  <si>
    <t>Гкал.</t>
  </si>
  <si>
    <t>м.куб.</t>
  </si>
  <si>
    <t>Общее полезное время использования имущест.комплекса</t>
  </si>
  <si>
    <t>Время использования имущ.комплекса на 1 уч.</t>
  </si>
  <si>
    <t>Норма ресурса на 1 ед. услуги</t>
  </si>
  <si>
    <t>Тариф (цена), руб.</t>
  </si>
  <si>
    <t>7=4/5*6</t>
  </si>
  <si>
    <t>9=7*8</t>
  </si>
  <si>
    <t>по норме</t>
  </si>
  <si>
    <t>в бюджете</t>
  </si>
  <si>
    <t>Затраты на содержание объектов недвижимого имущества</t>
  </si>
  <si>
    <t>Вывоз мусора</t>
  </si>
  <si>
    <t>Обслуживание пожарной сигнализации</t>
  </si>
  <si>
    <t>Обслуживание КТС</t>
  </si>
  <si>
    <t>Дератизация, дезинсекция</t>
  </si>
  <si>
    <t>Обслуживание аварийного освещения</t>
  </si>
  <si>
    <t>Замеры сопротивления э/проводки</t>
  </si>
  <si>
    <t>Затраты на содержание объектов особоценного движимого имущества, услуги связи</t>
  </si>
  <si>
    <t>заправка картриджей</t>
  </si>
  <si>
    <t>кол-во устройств</t>
  </si>
  <si>
    <t>Связь</t>
  </si>
  <si>
    <t>кол-во номеров</t>
  </si>
  <si>
    <t>месяцев</t>
  </si>
  <si>
    <t>10=7*8*9</t>
  </si>
  <si>
    <t>Затраты на оплату труда (с начислениями) работников не принимающих непосредственно участие в оказани услуг</t>
  </si>
  <si>
    <t>уборщик служебного помещения</t>
  </si>
  <si>
    <t>сторож</t>
  </si>
  <si>
    <t>дворник</t>
  </si>
  <si>
    <t>Затраты на прочие общехозяйственные нужды</t>
  </si>
  <si>
    <t>Прочие затраты</t>
  </si>
  <si>
    <t>Норма затрат на 1 ед. услуги</t>
  </si>
  <si>
    <t>Строительные материалы</t>
  </si>
  <si>
    <t>Чистящие, моющие, дезинфицирующие средства, средства гигиены</t>
  </si>
  <si>
    <t>Тариф (цена 1 кв.м.), руб.</t>
  </si>
  <si>
    <t>д/сад Вишенка</t>
  </si>
  <si>
    <t>Время использования имущ.комплекса на 1 воспит.</t>
  </si>
  <si>
    <t>д/сад Капитошка</t>
  </si>
  <si>
    <t>д/сад Катюша</t>
  </si>
  <si>
    <t>д/сад Колосок</t>
  </si>
  <si>
    <t>д/сад Росинка</t>
  </si>
  <si>
    <t>д/сад Сибирячок</t>
  </si>
  <si>
    <t>д/сад Тополек</t>
  </si>
  <si>
    <t>д/сад Теремок</t>
  </si>
  <si>
    <t>д/сад Аленка</t>
  </si>
  <si>
    <t>д/сад Калинка</t>
  </si>
  <si>
    <t>д/сад № 6</t>
  </si>
  <si>
    <t>6=гр.5/кол.воспит.</t>
  </si>
  <si>
    <t>Время использования имущ.комплекса на 1 восп.</t>
  </si>
  <si>
    <t>Обслуживание теплового узла</t>
  </si>
  <si>
    <t>Промывка, опресовка тепловых сетей</t>
  </si>
  <si>
    <t>Очистка крыши от снега</t>
  </si>
  <si>
    <t>ремонт мебели</t>
  </si>
  <si>
    <t>муниципальный бюджет</t>
  </si>
  <si>
    <t>Госпошлина</t>
  </si>
  <si>
    <t>краевой бюджет</t>
  </si>
  <si>
    <t>Обучение персонала</t>
  </si>
  <si>
    <t>Медицинский осмотр</t>
  </si>
  <si>
    <t>УСЛУГА "Реализация основных общеобразовательных программ дошкольного образования"</t>
  </si>
  <si>
    <t>Повар</t>
  </si>
  <si>
    <t>Подсобный рабочий</t>
  </si>
  <si>
    <t>кладовщик</t>
  </si>
  <si>
    <t>грузчик</t>
  </si>
  <si>
    <t>канстелянша</t>
  </si>
  <si>
    <t>машинист по стирке белья</t>
  </si>
  <si>
    <t>рабочий по компл.обслуживанию здания</t>
  </si>
  <si>
    <t>Обслуживание "Стрелец-Мониторинг"</t>
  </si>
  <si>
    <t>Шеф-повар</t>
  </si>
  <si>
    <t>вахтер</t>
  </si>
  <si>
    <t>техник</t>
  </si>
  <si>
    <t>Обслуживание системы дымоудаления</t>
  </si>
  <si>
    <t>Разработка проекта нормативов образования отходов</t>
  </si>
  <si>
    <t>тариф</t>
  </si>
  <si>
    <t>Школа №4</t>
  </si>
  <si>
    <t>Школа № 4</t>
  </si>
  <si>
    <t>Поверка приборов учета</t>
  </si>
  <si>
    <t>Изготовление ЭЦП</t>
  </si>
  <si>
    <t>Обследование на заклещевленность</t>
  </si>
  <si>
    <t>филиал СШ №3</t>
  </si>
  <si>
    <t>Общее полезное время использования: 1) 248*8*(244/1979) =1984*0,12329=244,607</t>
  </si>
  <si>
    <t>Время использования имущественного комплекса на 1 восп.: 1)244,607/244= 1,0025</t>
  </si>
  <si>
    <t>филиал СОШ №3</t>
  </si>
  <si>
    <t>филиал СШ№3</t>
  </si>
  <si>
    <t>Ремонт пожарной лестницы</t>
  </si>
  <si>
    <t>Установка противопожарных дверей</t>
  </si>
  <si>
    <t>Лабораторные исследования</t>
  </si>
  <si>
    <t>Огнезащитная обработка</t>
  </si>
  <si>
    <t>Обслуживание камер видеонаблюдения</t>
  </si>
  <si>
    <t>независимая оценка пожарного риска</t>
  </si>
  <si>
    <t>испытание пожарных лестниц</t>
  </si>
  <si>
    <t>Замена приборов учета</t>
  </si>
  <si>
    <t>противопожарные испытания</t>
  </si>
  <si>
    <t>Изготовление тех.паспорта</t>
  </si>
</sst>
</file>

<file path=xl/styles.xml><?xml version="1.0" encoding="utf-8"?>
<styleSheet xmlns="http://schemas.openxmlformats.org/spreadsheetml/2006/main">
  <numFmts count="6">
    <numFmt numFmtId="164" formatCode="0.000"/>
    <numFmt numFmtId="165" formatCode="0.00000"/>
    <numFmt numFmtId="166" formatCode="0.0000"/>
    <numFmt numFmtId="167" formatCode="0.0"/>
    <numFmt numFmtId="169" formatCode="0.000000"/>
    <numFmt numFmtId="170" formatCode="#,##0.00_р_.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164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2" fontId="1" fillId="0" borderId="5" xfId="0" applyNumberFormat="1" applyFon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2" fontId="1" fillId="0" borderId="10" xfId="0" applyNumberFormat="1" applyFont="1" applyBorder="1"/>
    <xf numFmtId="2" fontId="3" fillId="0" borderId="10" xfId="0" applyNumberFormat="1" applyFont="1" applyBorder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0" fillId="0" borderId="10" xfId="0" applyBorder="1"/>
    <xf numFmtId="165" fontId="1" fillId="0" borderId="5" xfId="0" applyNumberFormat="1" applyFont="1" applyBorder="1"/>
    <xf numFmtId="165" fontId="1" fillId="0" borderId="1" xfId="0" applyNumberFormat="1" applyFont="1" applyBorder="1"/>
    <xf numFmtId="165" fontId="1" fillId="0" borderId="3" xfId="0" applyNumberFormat="1" applyFont="1" applyBorder="1"/>
    <xf numFmtId="0" fontId="1" fillId="0" borderId="2" xfId="0" applyFont="1" applyBorder="1"/>
    <xf numFmtId="2" fontId="0" fillId="0" borderId="2" xfId="0" applyNumberFormat="1" applyBorder="1"/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5" fontId="0" fillId="0" borderId="3" xfId="0" applyNumberFormat="1" applyBorder="1" applyAlignment="1">
      <alignment horizontal="center"/>
    </xf>
    <xf numFmtId="165" fontId="0" fillId="0" borderId="10" xfId="0" applyNumberFormat="1" applyBorder="1"/>
    <xf numFmtId="0" fontId="5" fillId="0" borderId="14" xfId="0" applyFont="1" applyBorder="1" applyAlignment="1">
      <alignment horizontal="center"/>
    </xf>
    <xf numFmtId="166" fontId="0" fillId="0" borderId="1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2" fontId="2" fillId="0" borderId="10" xfId="0" applyNumberFormat="1" applyFont="1" applyBorder="1"/>
    <xf numFmtId="165" fontId="0" fillId="0" borderId="5" xfId="0" applyNumberFormat="1" applyBorder="1" applyAlignment="1">
      <alignment horizontal="center"/>
    </xf>
    <xf numFmtId="0" fontId="1" fillId="0" borderId="5" xfId="0" applyFont="1" applyBorder="1" applyAlignment="1">
      <alignment wrapText="1"/>
    </xf>
    <xf numFmtId="0" fontId="0" fillId="0" borderId="0" xfId="0" applyBorder="1"/>
    <xf numFmtId="0" fontId="1" fillId="0" borderId="0" xfId="0" applyFont="1" applyBorder="1"/>
    <xf numFmtId="2" fontId="1" fillId="0" borderId="0" xfId="0" applyNumberFormat="1" applyFont="1" applyBorder="1"/>
    <xf numFmtId="2" fontId="3" fillId="0" borderId="0" xfId="0" applyNumberFormat="1" applyFont="1" applyBorder="1"/>
    <xf numFmtId="2" fontId="2" fillId="0" borderId="0" xfId="0" applyNumberFormat="1" applyFont="1" applyBorder="1"/>
    <xf numFmtId="0" fontId="1" fillId="0" borderId="5" xfId="0" applyFont="1" applyBorder="1" applyAlignment="1">
      <alignment horizontal="center"/>
    </xf>
    <xf numFmtId="2" fontId="1" fillId="0" borderId="15" xfId="0" applyNumberFormat="1" applyFont="1" applyBorder="1"/>
    <xf numFmtId="0" fontId="1" fillId="0" borderId="17" xfId="0" applyFont="1" applyBorder="1"/>
    <xf numFmtId="1" fontId="1" fillId="0" borderId="3" xfId="0" applyNumberFormat="1" applyFont="1" applyBorder="1"/>
    <xf numFmtId="0" fontId="8" fillId="0" borderId="0" xfId="0" applyFont="1"/>
    <xf numFmtId="0" fontId="1" fillId="0" borderId="2" xfId="0" applyFont="1" applyBorder="1" applyAlignment="1">
      <alignment wrapText="1"/>
    </xf>
    <xf numFmtId="0" fontId="9" fillId="0" borderId="0" xfId="0" applyFont="1"/>
    <xf numFmtId="1" fontId="0" fillId="0" borderId="19" xfId="0" applyNumberFormat="1" applyBorder="1" applyAlignment="1">
      <alignment horizontal="center"/>
    </xf>
    <xf numFmtId="1" fontId="0" fillId="0" borderId="16" xfId="0" applyNumberFormat="1" applyBorder="1" applyAlignment="1">
      <alignment horizontal="center"/>
    </xf>
    <xf numFmtId="167" fontId="1" fillId="0" borderId="0" xfId="0" applyNumberFormat="1" applyFont="1"/>
    <xf numFmtId="0" fontId="1" fillId="0" borderId="16" xfId="0" applyFont="1" applyBorder="1"/>
    <xf numFmtId="2" fontId="2" fillId="0" borderId="16" xfId="0" applyNumberFormat="1" applyFont="1" applyBorder="1"/>
    <xf numFmtId="0" fontId="0" fillId="0" borderId="21" xfId="0" applyBorder="1"/>
    <xf numFmtId="0" fontId="1" fillId="0" borderId="19" xfId="0" applyFont="1" applyBorder="1"/>
    <xf numFmtId="2" fontId="2" fillId="0" borderId="19" xfId="0" applyNumberFormat="1" applyFont="1" applyBorder="1"/>
    <xf numFmtId="0" fontId="10" fillId="0" borderId="0" xfId="0" applyFont="1"/>
    <xf numFmtId="2" fontId="0" fillId="0" borderId="19" xfId="0" applyNumberFormat="1" applyBorder="1"/>
    <xf numFmtId="2" fontId="3" fillId="0" borderId="2" xfId="0" applyNumberFormat="1" applyFont="1" applyBorder="1"/>
    <xf numFmtId="2" fontId="2" fillId="0" borderId="2" xfId="0" applyNumberFormat="1" applyFont="1" applyBorder="1"/>
    <xf numFmtId="167" fontId="1" fillId="0" borderId="1" xfId="0" applyNumberFormat="1" applyFont="1" applyBorder="1"/>
    <xf numFmtId="1" fontId="1" fillId="0" borderId="1" xfId="0" applyNumberFormat="1" applyFont="1" applyBorder="1"/>
    <xf numFmtId="0" fontId="11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2" borderId="1" xfId="0" applyFont="1" applyFill="1" applyBorder="1"/>
    <xf numFmtId="166" fontId="0" fillId="0" borderId="15" xfId="0" applyNumberFormat="1" applyBorder="1" applyAlignment="1">
      <alignment horizontal="center"/>
    </xf>
    <xf numFmtId="164" fontId="0" fillId="0" borderId="3" xfId="0" applyNumberFormat="1" applyBorder="1"/>
    <xf numFmtId="165" fontId="1" fillId="0" borderId="0" xfId="0" applyNumberFormat="1" applyFont="1"/>
    <xf numFmtId="0" fontId="1" fillId="3" borderId="0" xfId="0" applyFont="1" applyFill="1"/>
    <xf numFmtId="0" fontId="1" fillId="3" borderId="0" xfId="0" applyFont="1" applyFill="1" applyAlignment="1">
      <alignment wrapText="1"/>
    </xf>
    <xf numFmtId="165" fontId="1" fillId="0" borderId="12" xfId="0" applyNumberFormat="1" applyFont="1" applyBorder="1"/>
    <xf numFmtId="165" fontId="2" fillId="0" borderId="11" xfId="0" applyNumberFormat="1" applyFont="1" applyBorder="1"/>
    <xf numFmtId="165" fontId="1" fillId="0" borderId="6" xfId="0" applyNumberFormat="1" applyFont="1" applyBorder="1"/>
    <xf numFmtId="165" fontId="2" fillId="0" borderId="0" xfId="0" applyNumberFormat="1" applyFont="1" applyBorder="1"/>
    <xf numFmtId="165" fontId="1" fillId="0" borderId="8" xfId="0" applyNumberFormat="1" applyFont="1" applyBorder="1"/>
    <xf numFmtId="165" fontId="2" fillId="0" borderId="14" xfId="0" applyNumberFormat="1" applyFont="1" applyBorder="1"/>
    <xf numFmtId="165" fontId="2" fillId="0" borderId="22" xfId="0" applyNumberFormat="1" applyFont="1" applyBorder="1"/>
    <xf numFmtId="165" fontId="2" fillId="0" borderId="18" xfId="0" applyNumberFormat="1" applyFont="1" applyBorder="1"/>
    <xf numFmtId="0" fontId="1" fillId="4" borderId="10" xfId="0" applyFont="1" applyFill="1" applyBorder="1"/>
    <xf numFmtId="167" fontId="1" fillId="4" borderId="10" xfId="0" applyNumberFormat="1" applyFont="1" applyFill="1" applyBorder="1"/>
    <xf numFmtId="2" fontId="1" fillId="4" borderId="10" xfId="0" applyNumberFormat="1" applyFont="1" applyFill="1" applyBorder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1" fontId="0" fillId="0" borderId="23" xfId="0" applyNumberFormat="1" applyBorder="1" applyAlignment="1">
      <alignment horizontal="right"/>
    </xf>
    <xf numFmtId="1" fontId="0" fillId="0" borderId="24" xfId="0" applyNumberFormat="1" applyBorder="1" applyAlignment="1">
      <alignment horizontal="right"/>
    </xf>
    <xf numFmtId="0" fontId="10" fillId="5" borderId="0" xfId="0" applyFont="1" applyFill="1"/>
    <xf numFmtId="0" fontId="7" fillId="5" borderId="0" xfId="0" applyFont="1" applyFill="1"/>
    <xf numFmtId="0" fontId="0" fillId="5" borderId="0" xfId="0" applyFill="1"/>
    <xf numFmtId="0" fontId="1" fillId="5" borderId="4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/>
    </xf>
    <xf numFmtId="0" fontId="0" fillId="5" borderId="4" xfId="0" applyFill="1" applyBorder="1"/>
    <xf numFmtId="0" fontId="0" fillId="5" borderId="7" xfId="0" applyFill="1" applyBorder="1"/>
    <xf numFmtId="0" fontId="0" fillId="5" borderId="13" xfId="0" applyFill="1" applyBorder="1"/>
    <xf numFmtId="0" fontId="0" fillId="5" borderId="9" xfId="0" applyFill="1" applyBorder="1"/>
    <xf numFmtId="0" fontId="0" fillId="5" borderId="0" xfId="0" applyFill="1" applyBorder="1"/>
    <xf numFmtId="0" fontId="4" fillId="5" borderId="13" xfId="0" applyFont="1" applyFill="1" applyBorder="1" applyAlignment="1">
      <alignment horizontal="center"/>
    </xf>
    <xf numFmtId="0" fontId="0" fillId="5" borderId="7" xfId="0" applyFill="1" applyBorder="1" applyAlignment="1">
      <alignment horizontal="left"/>
    </xf>
    <xf numFmtId="0" fontId="0" fillId="5" borderId="1" xfId="0" applyFill="1" applyBorder="1"/>
    <xf numFmtId="0" fontId="1" fillId="5" borderId="0" xfId="0" applyFont="1" applyFill="1"/>
    <xf numFmtId="0" fontId="1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/>
    </xf>
    <xf numFmtId="0" fontId="1" fillId="5" borderId="1" xfId="0" applyFont="1" applyFill="1" applyBorder="1"/>
    <xf numFmtId="0" fontId="1" fillId="5" borderId="10" xfId="0" applyFont="1" applyFill="1" applyBorder="1"/>
    <xf numFmtId="0" fontId="1" fillId="5" borderId="19" xfId="0" applyFont="1" applyFill="1" applyBorder="1"/>
    <xf numFmtId="0" fontId="0" fillId="5" borderId="21" xfId="0" applyFill="1" applyBorder="1"/>
    <xf numFmtId="0" fontId="0" fillId="5" borderId="20" xfId="0" applyFill="1" applyBorder="1"/>
    <xf numFmtId="167" fontId="1" fillId="5" borderId="0" xfId="0" applyNumberFormat="1" applyFont="1" applyFill="1"/>
    <xf numFmtId="2" fontId="1" fillId="5" borderId="0" xfId="0" applyNumberFormat="1" applyFont="1" applyFill="1"/>
    <xf numFmtId="169" fontId="1" fillId="0" borderId="0" xfId="0" applyNumberFormat="1" applyFont="1"/>
    <xf numFmtId="0" fontId="1" fillId="5" borderId="0" xfId="0" applyFont="1" applyFill="1" applyAlignment="1">
      <alignment wrapText="1"/>
    </xf>
    <xf numFmtId="0" fontId="1" fillId="5" borderId="5" xfId="0" applyFont="1" applyFill="1" applyBorder="1" applyAlignment="1">
      <alignment horizontal="center" vertical="center" wrapText="1"/>
    </xf>
    <xf numFmtId="0" fontId="5" fillId="5" borderId="14" xfId="0" applyFont="1" applyFill="1" applyBorder="1" applyAlignment="1">
      <alignment horizontal="center"/>
    </xf>
    <xf numFmtId="165" fontId="2" fillId="5" borderId="1" xfId="0" applyNumberFormat="1" applyFont="1" applyFill="1" applyBorder="1"/>
    <xf numFmtId="164" fontId="1" fillId="5" borderId="0" xfId="0" applyNumberFormat="1" applyFont="1" applyFill="1"/>
    <xf numFmtId="170" fontId="1" fillId="0" borderId="0" xfId="0" applyNumberFormat="1" applyFont="1"/>
    <xf numFmtId="170" fontId="1" fillId="5" borderId="0" xfId="0" applyNumberFormat="1" applyFont="1" applyFill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S75"/>
  <sheetViews>
    <sheetView workbookViewId="0">
      <pane xSplit="2" ySplit="8" topLeftCell="C54" activePane="bottomRight" state="frozen"/>
      <selection pane="topRight" activeCell="C1" sqref="C1"/>
      <selection pane="bottomLeft" activeCell="A7" sqref="A7"/>
      <selection pane="bottomRight" activeCell="I76" sqref="I76"/>
    </sheetView>
  </sheetViews>
  <sheetFormatPr defaultRowHeight="15"/>
  <cols>
    <col min="1" max="1" width="16.85546875" style="97" customWidth="1"/>
    <col min="2" max="2" width="19.42578125" style="1" customWidth="1"/>
    <col min="3" max="3" width="10.42578125" style="1" customWidth="1"/>
    <col min="4" max="4" width="11.28515625" style="1" customWidth="1"/>
    <col min="5" max="5" width="13.85546875" style="1" customWidth="1"/>
    <col min="6" max="6" width="13.42578125" style="1" customWidth="1"/>
    <col min="7" max="7" width="12.5703125" customWidth="1"/>
    <col min="8" max="8" width="9.140625" customWidth="1"/>
    <col min="9" max="9" width="12.7109375" style="1" customWidth="1"/>
    <col min="10" max="10" width="10.42578125" style="1" customWidth="1"/>
    <col min="11" max="11" width="10.85546875" style="78" customWidth="1"/>
    <col min="12" max="12" width="4.7109375" style="1" customWidth="1"/>
    <col min="13" max="13" width="4.42578125" style="1" customWidth="1"/>
    <col min="14" max="19" width="9.140625" style="1"/>
  </cols>
  <sheetData>
    <row r="1" spans="1:13" ht="18.75">
      <c r="A1" s="95" t="s">
        <v>82</v>
      </c>
    </row>
    <row r="3" spans="1:13" ht="15" customHeight="1">
      <c r="A3" s="91" t="s">
        <v>18</v>
      </c>
      <c r="B3" s="91"/>
      <c r="C3" s="91"/>
      <c r="D3" s="91"/>
      <c r="E3" s="91"/>
      <c r="F3" s="91"/>
      <c r="G3" s="91"/>
      <c r="H3" s="91"/>
      <c r="I3" s="91"/>
    </row>
    <row r="4" spans="1:13" ht="15.75">
      <c r="A4" s="96" t="s">
        <v>103</v>
      </c>
    </row>
    <row r="5" spans="1:13" ht="15.75">
      <c r="A5" s="96" t="s">
        <v>104</v>
      </c>
    </row>
    <row r="6" spans="1:13" ht="15.75" thickBot="1">
      <c r="G6" s="55" t="s">
        <v>77</v>
      </c>
    </row>
    <row r="7" spans="1:13" ht="105">
      <c r="A7" s="98" t="s">
        <v>2</v>
      </c>
      <c r="B7" s="23" t="s">
        <v>19</v>
      </c>
      <c r="C7" s="23" t="s">
        <v>14</v>
      </c>
      <c r="D7" s="23" t="s">
        <v>16</v>
      </c>
      <c r="E7" s="23" t="s">
        <v>27</v>
      </c>
      <c r="F7" s="23" t="s">
        <v>60</v>
      </c>
      <c r="G7" s="23" t="s">
        <v>29</v>
      </c>
      <c r="H7" s="23" t="s">
        <v>30</v>
      </c>
      <c r="I7" s="24" t="s">
        <v>11</v>
      </c>
      <c r="J7" s="2" t="s">
        <v>33</v>
      </c>
      <c r="K7" s="79" t="s">
        <v>34</v>
      </c>
      <c r="L7" s="2"/>
    </row>
    <row r="8" spans="1:13" ht="15.75" thickBot="1">
      <c r="A8" s="99">
        <v>1</v>
      </c>
      <c r="B8" s="25">
        <v>2</v>
      </c>
      <c r="C8" s="25">
        <v>3</v>
      </c>
      <c r="D8" s="25">
        <v>4</v>
      </c>
      <c r="E8" s="25">
        <v>5</v>
      </c>
      <c r="F8" s="25" t="s">
        <v>71</v>
      </c>
      <c r="G8" s="25" t="s">
        <v>31</v>
      </c>
      <c r="H8" s="26">
        <v>8</v>
      </c>
      <c r="I8" s="27" t="s">
        <v>32</v>
      </c>
    </row>
    <row r="9" spans="1:13">
      <c r="A9" s="100" t="s">
        <v>59</v>
      </c>
      <c r="B9" s="12" t="s">
        <v>20</v>
      </c>
      <c r="C9" s="34" t="s">
        <v>24</v>
      </c>
      <c r="D9" s="54">
        <f>66000+38000</f>
        <v>104000</v>
      </c>
      <c r="E9" s="52">
        <f>248*8*(A10/1979)</f>
        <v>239.60384032339564</v>
      </c>
      <c r="F9" s="31">
        <f>E9/A10</f>
        <v>1.0025265285497726</v>
      </c>
      <c r="G9" s="38">
        <f>D9/E9*F9</f>
        <v>435.14644351464437</v>
      </c>
      <c r="H9" s="76">
        <v>5.0591299999999997</v>
      </c>
      <c r="I9" s="80">
        <f>H9*G9</f>
        <v>2201.4624267782428</v>
      </c>
    </row>
    <row r="10" spans="1:13">
      <c r="A10" s="101">
        <v>239</v>
      </c>
      <c r="B10" s="6" t="s">
        <v>21</v>
      </c>
      <c r="C10" s="35" t="s">
        <v>25</v>
      </c>
      <c r="D10" s="9">
        <f>492.4952971+95.91945391</f>
        <v>588.41475101000003</v>
      </c>
      <c r="E10" s="8">
        <f>248*8*(A10/1979)</f>
        <v>239.60384032339564</v>
      </c>
      <c r="F10" s="31">
        <f>E10/A10</f>
        <v>1.0025265285497726</v>
      </c>
      <c r="G10" s="38">
        <f>D10/E10*F10</f>
        <v>2.461986405899582</v>
      </c>
      <c r="H10" s="7">
        <v>1690.46</v>
      </c>
      <c r="I10" s="80">
        <f>H10*G10</f>
        <v>4161.8895397170072</v>
      </c>
    </row>
    <row r="11" spans="1:13">
      <c r="A11" s="102"/>
      <c r="B11" s="32" t="s">
        <v>22</v>
      </c>
      <c r="C11" s="36" t="s">
        <v>26</v>
      </c>
      <c r="D11" s="32">
        <f>2508+1600</f>
        <v>4108</v>
      </c>
      <c r="E11" s="8">
        <f>248*8*(A10/1979)</f>
        <v>239.60384032339564</v>
      </c>
      <c r="F11" s="31">
        <f>E11/A10</f>
        <v>1.0025265285497726</v>
      </c>
      <c r="G11" s="38">
        <f>D11/E11*F11</f>
        <v>17.188284518828453</v>
      </c>
      <c r="H11" s="33">
        <v>40.96</v>
      </c>
      <c r="I11" s="80">
        <f>H11*G11</f>
        <v>704.03213389121345</v>
      </c>
    </row>
    <row r="12" spans="1:13">
      <c r="A12" s="102"/>
      <c r="B12" s="32" t="s">
        <v>23</v>
      </c>
      <c r="C12" s="36" t="s">
        <v>26</v>
      </c>
      <c r="D12" s="32">
        <v>4108</v>
      </c>
      <c r="E12" s="8">
        <f>248*8*(A10/1979)</f>
        <v>239.60384032339564</v>
      </c>
      <c r="F12" s="31">
        <f>E12/A10</f>
        <v>1.0025265285497726</v>
      </c>
      <c r="G12" s="38">
        <f>D12/E12*F12</f>
        <v>17.188284518828453</v>
      </c>
      <c r="H12" s="33">
        <v>59.65</v>
      </c>
      <c r="I12" s="80">
        <f>H12*G12</f>
        <v>1025.2811715481173</v>
      </c>
    </row>
    <row r="13" spans="1:13" s="1" customFormat="1" ht="15.75" thickBot="1">
      <c r="A13" s="103"/>
      <c r="B13" s="19"/>
      <c r="C13" s="19"/>
      <c r="D13" s="19"/>
      <c r="E13" s="19"/>
      <c r="F13" s="19"/>
      <c r="G13" s="39"/>
      <c r="H13" s="22"/>
      <c r="I13" s="81">
        <f>SUM(I9:I12)</f>
        <v>8092.6652719345811</v>
      </c>
      <c r="J13" s="3">
        <f>I13*A10</f>
        <v>1934146.9999923648</v>
      </c>
      <c r="K13" s="117">
        <v>1934147</v>
      </c>
      <c r="L13" s="3">
        <f>K13-J13</f>
        <v>7.6352152973413467E-6</v>
      </c>
      <c r="M13" s="1">
        <f>L13/H10</f>
        <v>4.5166494902815484E-9</v>
      </c>
    </row>
    <row r="14" spans="1:13" s="1" customFormat="1">
      <c r="A14" s="100" t="s">
        <v>61</v>
      </c>
      <c r="B14" s="12" t="s">
        <v>20</v>
      </c>
      <c r="C14" s="34" t="s">
        <v>24</v>
      </c>
      <c r="D14" s="14">
        <v>80000</v>
      </c>
      <c r="E14" s="52">
        <f>248*8*(A15/1979)</f>
        <v>192.48509348155633</v>
      </c>
      <c r="F14" s="31">
        <f>E14/A15</f>
        <v>1.0025265285497726</v>
      </c>
      <c r="G14" s="38">
        <f>D14/E14*F14</f>
        <v>416.66666666666674</v>
      </c>
      <c r="H14" s="76">
        <v>7.6466200000000004</v>
      </c>
      <c r="I14" s="80">
        <f>H14*G14</f>
        <v>3186.0916666666676</v>
      </c>
      <c r="K14" s="78"/>
    </row>
    <row r="15" spans="1:13" s="1" customFormat="1">
      <c r="A15" s="101">
        <v>192</v>
      </c>
      <c r="B15" s="6" t="s">
        <v>21</v>
      </c>
      <c r="C15" s="35" t="s">
        <v>25</v>
      </c>
      <c r="D15" s="9">
        <f>518.7815151+54.26747748</f>
        <v>573.04899258</v>
      </c>
      <c r="E15" s="8">
        <f>248*8*(A15/1979)</f>
        <v>192.48509348155633</v>
      </c>
      <c r="F15" s="31">
        <f>E15/A15</f>
        <v>1.0025265285497726</v>
      </c>
      <c r="G15" s="38">
        <f>D15/E15*F15</f>
        <v>2.9846301696875002</v>
      </c>
      <c r="H15" s="7">
        <v>1690.46</v>
      </c>
      <c r="I15" s="80">
        <f>H15*G15</f>
        <v>5045.3979166499321</v>
      </c>
      <c r="K15" s="78"/>
    </row>
    <row r="16" spans="1:13" s="1" customFormat="1">
      <c r="A16" s="101"/>
      <c r="B16" s="32" t="s">
        <v>22</v>
      </c>
      <c r="C16" s="36" t="s">
        <v>26</v>
      </c>
      <c r="D16" s="6">
        <v>3100</v>
      </c>
      <c r="E16" s="8">
        <f>248*8*(A15/1979)</f>
        <v>192.48509348155633</v>
      </c>
      <c r="F16" s="31">
        <f>E16/A15</f>
        <v>1.0025265285497726</v>
      </c>
      <c r="G16" s="38">
        <f>D16/E16*F16</f>
        <v>16.145833333333336</v>
      </c>
      <c r="H16" s="33">
        <v>40.96</v>
      </c>
      <c r="I16" s="80">
        <f>H16*G16</f>
        <v>661.33333333333348</v>
      </c>
      <c r="K16" s="78"/>
    </row>
    <row r="17" spans="1:13" s="1" customFormat="1">
      <c r="A17" s="101"/>
      <c r="B17" s="32" t="s">
        <v>23</v>
      </c>
      <c r="C17" s="36" t="s">
        <v>26</v>
      </c>
      <c r="D17" s="6">
        <v>3100</v>
      </c>
      <c r="E17" s="8">
        <f>248*8*(A15/1979)</f>
        <v>192.48509348155633</v>
      </c>
      <c r="F17" s="31">
        <f>E17/A15</f>
        <v>1.0025265285497726</v>
      </c>
      <c r="G17" s="38">
        <f>D17/E17*F17</f>
        <v>16.145833333333336</v>
      </c>
      <c r="H17" s="33">
        <v>59.65</v>
      </c>
      <c r="I17" s="80">
        <f>H17*G17</f>
        <v>963.09895833333348</v>
      </c>
      <c r="K17" s="78"/>
    </row>
    <row r="18" spans="1:13" s="1" customFormat="1" ht="15.75" thickBot="1">
      <c r="A18" s="103"/>
      <c r="B18" s="19"/>
      <c r="C18" s="21"/>
      <c r="D18" s="19"/>
      <c r="E18" s="19"/>
      <c r="F18" s="19"/>
      <c r="G18" s="28"/>
      <c r="H18" s="22"/>
      <c r="I18" s="81">
        <f>SUM(I14:I17)</f>
        <v>9855.9218749832671</v>
      </c>
      <c r="J18" s="3">
        <f>I18*A15</f>
        <v>1892336.9999967874</v>
      </c>
      <c r="K18" s="117">
        <v>1892337</v>
      </c>
      <c r="L18" s="3">
        <f>K18-J18</f>
        <v>3.2125972211360931E-6</v>
      </c>
      <c r="M18" s="1">
        <f>L18/H15</f>
        <v>1.9004278250512248E-9</v>
      </c>
    </row>
    <row r="19" spans="1:13" s="1" customFormat="1">
      <c r="A19" s="100" t="s">
        <v>62</v>
      </c>
      <c r="B19" s="12" t="s">
        <v>20</v>
      </c>
      <c r="C19" s="34" t="s">
        <v>24</v>
      </c>
      <c r="D19" s="14">
        <f>42000+34000</f>
        <v>76000</v>
      </c>
      <c r="E19" s="52">
        <f>248*8*(A20/1979)</f>
        <v>214.54067710965134</v>
      </c>
      <c r="F19" s="31">
        <f>E19/A20</f>
        <v>1.0025265285497726</v>
      </c>
      <c r="G19" s="38">
        <f>D19/E19*F19</f>
        <v>355.14018691588785</v>
      </c>
      <c r="H19" s="76">
        <v>7.6466200000000004</v>
      </c>
      <c r="I19" s="80">
        <f>H19*G19</f>
        <v>2715.6220560747665</v>
      </c>
      <c r="K19" s="78"/>
    </row>
    <row r="20" spans="1:13" s="1" customFormat="1">
      <c r="A20" s="101">
        <v>214</v>
      </c>
      <c r="B20" s="6" t="s">
        <v>21</v>
      </c>
      <c r="C20" s="35" t="s">
        <v>25</v>
      </c>
      <c r="D20" s="9">
        <v>485.41685699999999</v>
      </c>
      <c r="E20" s="8">
        <f>248*8*(A20/1979)</f>
        <v>214.54067710965134</v>
      </c>
      <c r="F20" s="31">
        <f>E20/A20</f>
        <v>1.0025265285497726</v>
      </c>
      <c r="G20" s="38">
        <f>D20/E20*F20</f>
        <v>2.2683030700934581</v>
      </c>
      <c r="H20" s="7">
        <v>1690.46</v>
      </c>
      <c r="I20" s="80">
        <f>H20*G20</f>
        <v>3834.4756078701871</v>
      </c>
      <c r="K20" s="78"/>
    </row>
    <row r="21" spans="1:13" s="1" customFormat="1">
      <c r="A21" s="101"/>
      <c r="B21" s="32" t="s">
        <v>22</v>
      </c>
      <c r="C21" s="36" t="s">
        <v>26</v>
      </c>
      <c r="D21" s="6">
        <f>1560+650</f>
        <v>2210</v>
      </c>
      <c r="E21" s="8">
        <f>248*8*(A20/1979)</f>
        <v>214.54067710965134</v>
      </c>
      <c r="F21" s="31">
        <f>E21/A20</f>
        <v>1.0025265285497726</v>
      </c>
      <c r="G21" s="38">
        <f>D21/E21*F21</f>
        <v>10.327102803738317</v>
      </c>
      <c r="H21" s="33">
        <v>40.96</v>
      </c>
      <c r="I21" s="80">
        <f>H21*G21</f>
        <v>422.99813084112145</v>
      </c>
      <c r="K21" s="78"/>
    </row>
    <row r="22" spans="1:13" s="1" customFormat="1">
      <c r="A22" s="101"/>
      <c r="B22" s="32" t="s">
        <v>23</v>
      </c>
      <c r="C22" s="36" t="s">
        <v>26</v>
      </c>
      <c r="D22" s="6">
        <f>1560+650</f>
        <v>2210</v>
      </c>
      <c r="E22" s="8">
        <f>248*8*(A20/1979)</f>
        <v>214.54067710965134</v>
      </c>
      <c r="F22" s="31">
        <f>E22/A20</f>
        <v>1.0025265285497726</v>
      </c>
      <c r="G22" s="38">
        <f>D22/E22*F22</f>
        <v>10.327102803738317</v>
      </c>
      <c r="H22" s="33">
        <v>59.65</v>
      </c>
      <c r="I22" s="80">
        <f>H22*G22</f>
        <v>616.01168224299056</v>
      </c>
      <c r="K22" s="78"/>
    </row>
    <row r="23" spans="1:13" s="1" customFormat="1" ht="15.75" thickBot="1">
      <c r="A23" s="103"/>
      <c r="B23" s="19"/>
      <c r="C23" s="21"/>
      <c r="D23" s="19"/>
      <c r="E23" s="19"/>
      <c r="F23" s="19"/>
      <c r="G23" s="28"/>
      <c r="H23" s="22"/>
      <c r="I23" s="81">
        <f>SUM(I19:I22)</f>
        <v>7589.1074770290661</v>
      </c>
      <c r="J23" s="3">
        <f>I23*A20</f>
        <v>1624069.0000842202</v>
      </c>
      <c r="K23" s="117">
        <v>1624069</v>
      </c>
      <c r="L23" s="3">
        <f>K23-J23</f>
        <v>-8.4220198914408684E-5</v>
      </c>
      <c r="M23" s="1">
        <f>L23/H20</f>
        <v>-4.9820876515509791E-8</v>
      </c>
    </row>
    <row r="24" spans="1:13" s="1" customFormat="1">
      <c r="A24" s="100" t="s">
        <v>63</v>
      </c>
      <c r="B24" s="12" t="s">
        <v>20</v>
      </c>
      <c r="C24" s="34" t="s">
        <v>24</v>
      </c>
      <c r="D24" s="14">
        <v>42000</v>
      </c>
      <c r="E24" s="52">
        <f>248*8*(A25/1979)</f>
        <v>152.38403233956544</v>
      </c>
      <c r="F24" s="31">
        <f>E24/A25</f>
        <v>1.0025265285497726</v>
      </c>
      <c r="G24" s="38">
        <f>D24/E24*F24</f>
        <v>276.31578947368422</v>
      </c>
      <c r="H24" s="76">
        <v>7.6466200000000004</v>
      </c>
      <c r="I24" s="80">
        <f>H24*G24</f>
        <v>2112.8818421052633</v>
      </c>
      <c r="K24" s="78"/>
    </row>
    <row r="25" spans="1:13" s="1" customFormat="1">
      <c r="A25" s="101">
        <v>152</v>
      </c>
      <c r="B25" s="6" t="s">
        <v>21</v>
      </c>
      <c r="C25" s="35" t="s">
        <v>25</v>
      </c>
      <c r="D25" s="9">
        <v>412.24220630000002</v>
      </c>
      <c r="E25" s="8">
        <f>248*8*(A25/1979)</f>
        <v>152.38403233956544</v>
      </c>
      <c r="F25" s="31">
        <f>E25/A25</f>
        <v>1.0025265285497726</v>
      </c>
      <c r="G25" s="38">
        <f>D25/E25*F25</f>
        <v>2.7121197782894737</v>
      </c>
      <c r="H25" s="7">
        <v>1690.46</v>
      </c>
      <c r="I25" s="80">
        <f>H25*G25</f>
        <v>4584.730000407224</v>
      </c>
      <c r="K25" s="78"/>
    </row>
    <row r="26" spans="1:13" s="1" customFormat="1">
      <c r="A26" s="101"/>
      <c r="B26" s="32" t="s">
        <v>22</v>
      </c>
      <c r="C26" s="36" t="s">
        <v>26</v>
      </c>
      <c r="D26" s="6">
        <v>1700</v>
      </c>
      <c r="E26" s="8">
        <f>248*8*(A25/1979)</f>
        <v>152.38403233956544</v>
      </c>
      <c r="F26" s="31">
        <f>E26/A25</f>
        <v>1.0025265285497726</v>
      </c>
      <c r="G26" s="38">
        <f>D26/E26*F26</f>
        <v>11.184210526315789</v>
      </c>
      <c r="H26" s="33">
        <v>40.96</v>
      </c>
      <c r="I26" s="80">
        <f>H26*G26</f>
        <v>458.10526315789474</v>
      </c>
      <c r="K26" s="78"/>
    </row>
    <row r="27" spans="1:13" s="1" customFormat="1">
      <c r="A27" s="101"/>
      <c r="B27" s="32" t="s">
        <v>23</v>
      </c>
      <c r="C27" s="36" t="s">
        <v>26</v>
      </c>
      <c r="D27" s="6">
        <v>1700</v>
      </c>
      <c r="E27" s="8">
        <f>248*8*(A25/1979)</f>
        <v>152.38403233956544</v>
      </c>
      <c r="F27" s="31">
        <f>E27/A25</f>
        <v>1.0025265285497726</v>
      </c>
      <c r="G27" s="38">
        <f>D27/E27*F27</f>
        <v>11.184210526315789</v>
      </c>
      <c r="H27" s="33">
        <v>59.65</v>
      </c>
      <c r="I27" s="80">
        <f>H27*G27</f>
        <v>667.13815789473676</v>
      </c>
      <c r="K27" s="78"/>
    </row>
    <row r="28" spans="1:13" s="1" customFormat="1" ht="15.75" thickBot="1">
      <c r="A28" s="103"/>
      <c r="B28" s="19"/>
      <c r="C28" s="21"/>
      <c r="D28" s="19"/>
      <c r="E28" s="19"/>
      <c r="F28" s="19"/>
      <c r="G28" s="28"/>
      <c r="H28" s="22"/>
      <c r="I28" s="81">
        <f>SUM(I24:I27)</f>
        <v>7822.8552635651195</v>
      </c>
      <c r="J28" s="3">
        <f>I28*A25</f>
        <v>1189074.0000618983</v>
      </c>
      <c r="K28" s="117">
        <v>1189074</v>
      </c>
      <c r="L28" s="3">
        <f>K28-J28</f>
        <v>-6.1898259446024895E-5</v>
      </c>
      <c r="M28" s="1">
        <f>L28/H25</f>
        <v>-3.6616222475553929E-8</v>
      </c>
    </row>
    <row r="29" spans="1:13" s="1" customFormat="1">
      <c r="A29" s="100" t="s">
        <v>105</v>
      </c>
      <c r="B29" s="12" t="s">
        <v>20</v>
      </c>
      <c r="C29" s="34" t="s">
        <v>24</v>
      </c>
      <c r="D29" s="14"/>
      <c r="E29" s="52">
        <f>248*8*(A30/1979)</f>
        <v>35.088428499242042</v>
      </c>
      <c r="F29" s="31">
        <f>E29/A30</f>
        <v>1.0025265285497726</v>
      </c>
      <c r="G29" s="38">
        <f>D29/E29*F29</f>
        <v>0</v>
      </c>
      <c r="H29" s="76">
        <v>7.6466200000000004</v>
      </c>
      <c r="I29" s="80">
        <f>H29*G29</f>
        <v>0</v>
      </c>
      <c r="K29" s="78"/>
    </row>
    <row r="30" spans="1:13" s="1" customFormat="1">
      <c r="A30" s="101">
        <v>35</v>
      </c>
      <c r="B30" s="6" t="s">
        <v>21</v>
      </c>
      <c r="C30" s="35" t="s">
        <v>25</v>
      </c>
      <c r="D30" s="9"/>
      <c r="E30" s="8">
        <f>248*8*(A30/1979)</f>
        <v>35.088428499242042</v>
      </c>
      <c r="F30" s="31">
        <f>E30/A30</f>
        <v>1.0025265285497726</v>
      </c>
      <c r="G30" s="38">
        <f>D30/E30*F30</f>
        <v>0</v>
      </c>
      <c r="H30" s="7">
        <v>1690.46</v>
      </c>
      <c r="I30" s="80">
        <f>H30*G30</f>
        <v>0</v>
      </c>
      <c r="K30" s="78"/>
    </row>
    <row r="31" spans="1:13" s="1" customFormat="1">
      <c r="A31" s="101"/>
      <c r="B31" s="32" t="s">
        <v>22</v>
      </c>
      <c r="C31" s="36" t="s">
        <v>26</v>
      </c>
      <c r="D31" s="6"/>
      <c r="E31" s="8">
        <f>248*8*(A30/1979)</f>
        <v>35.088428499242042</v>
      </c>
      <c r="F31" s="31">
        <f>E31/A30</f>
        <v>1.0025265285497726</v>
      </c>
      <c r="G31" s="38">
        <f>D31/E31*F31</f>
        <v>0</v>
      </c>
      <c r="H31" s="33">
        <v>40.96</v>
      </c>
      <c r="I31" s="80">
        <f>H31*G31</f>
        <v>0</v>
      </c>
      <c r="K31" s="78"/>
    </row>
    <row r="32" spans="1:13" s="1" customFormat="1">
      <c r="A32" s="101"/>
      <c r="B32" s="32" t="s">
        <v>23</v>
      </c>
      <c r="C32" s="36" t="s">
        <v>26</v>
      </c>
      <c r="D32" s="6"/>
      <c r="E32" s="8">
        <f>248*8*(A30/1979)</f>
        <v>35.088428499242042</v>
      </c>
      <c r="F32" s="31">
        <f>E32/A30</f>
        <v>1.0025265285497726</v>
      </c>
      <c r="G32" s="38">
        <f>D32/E32*F32</f>
        <v>0</v>
      </c>
      <c r="H32" s="33">
        <v>59.65</v>
      </c>
      <c r="I32" s="80">
        <f>H32*G32</f>
        <v>0</v>
      </c>
      <c r="K32" s="78"/>
    </row>
    <row r="33" spans="1:13" s="1" customFormat="1" ht="15.75" thickBot="1">
      <c r="A33" s="103"/>
      <c r="B33" s="19"/>
      <c r="C33" s="21"/>
      <c r="D33" s="19"/>
      <c r="E33" s="19"/>
      <c r="F33" s="19"/>
      <c r="G33" s="28"/>
      <c r="H33" s="22"/>
      <c r="I33" s="81">
        <f>SUM(I29:I32)</f>
        <v>0</v>
      </c>
      <c r="J33" s="3">
        <f>I33*A30</f>
        <v>0</v>
      </c>
      <c r="K33" s="78"/>
      <c r="L33" s="3">
        <f>K33-J33</f>
        <v>0</v>
      </c>
      <c r="M33" s="1">
        <f>L33/H30</f>
        <v>0</v>
      </c>
    </row>
    <row r="34" spans="1:13" s="1" customFormat="1">
      <c r="A34" s="100" t="s">
        <v>64</v>
      </c>
      <c r="B34" s="12" t="s">
        <v>20</v>
      </c>
      <c r="C34" s="34" t="s">
        <v>24</v>
      </c>
      <c r="D34" s="14">
        <v>61000</v>
      </c>
      <c r="E34" s="52">
        <f>248*8*(A35/1979)</f>
        <v>212.53562405255181</v>
      </c>
      <c r="F34" s="31">
        <f>E34/A35</f>
        <v>1.0025265285497726</v>
      </c>
      <c r="G34" s="38">
        <f>D34/E34*F34</f>
        <v>287.73584905660374</v>
      </c>
      <c r="H34" s="76">
        <v>7.6466200000000004</v>
      </c>
      <c r="I34" s="80">
        <f>H34*G34</f>
        <v>2200.2066981132075</v>
      </c>
      <c r="K34" s="78"/>
    </row>
    <row r="35" spans="1:13" s="1" customFormat="1">
      <c r="A35" s="101">
        <v>212</v>
      </c>
      <c r="B35" s="6" t="s">
        <v>21</v>
      </c>
      <c r="C35" s="35" t="s">
        <v>25</v>
      </c>
      <c r="D35" s="9">
        <v>530.57994870000005</v>
      </c>
      <c r="E35" s="8">
        <f>248*8*(A35/1979)</f>
        <v>212.53562405255181</v>
      </c>
      <c r="F35" s="31">
        <f>E35/A35</f>
        <v>1.0025265285497726</v>
      </c>
      <c r="G35" s="38">
        <f>D35/E35*F35</f>
        <v>2.5027356070754716</v>
      </c>
      <c r="H35" s="7">
        <v>1690.46</v>
      </c>
      <c r="I35" s="80">
        <f>H35*G35</f>
        <v>4230.7744343368022</v>
      </c>
      <c r="K35" s="78"/>
    </row>
    <row r="36" spans="1:13" s="1" customFormat="1">
      <c r="A36" s="101"/>
      <c r="B36" s="32" t="s">
        <v>22</v>
      </c>
      <c r="C36" s="36" t="s">
        <v>26</v>
      </c>
      <c r="D36" s="6">
        <v>2400</v>
      </c>
      <c r="E36" s="8">
        <f>248*8*(A35/1979)</f>
        <v>212.53562405255181</v>
      </c>
      <c r="F36" s="31">
        <f>E36/A35</f>
        <v>1.0025265285497726</v>
      </c>
      <c r="G36" s="38">
        <f>D36/E36*F36</f>
        <v>11.320754716981131</v>
      </c>
      <c r="H36" s="33">
        <v>40.96</v>
      </c>
      <c r="I36" s="80">
        <f>H36*G36</f>
        <v>463.69811320754712</v>
      </c>
      <c r="K36" s="78"/>
    </row>
    <row r="37" spans="1:13" s="1" customFormat="1">
      <c r="A37" s="101"/>
      <c r="B37" s="32" t="s">
        <v>23</v>
      </c>
      <c r="C37" s="36" t="s">
        <v>26</v>
      </c>
      <c r="D37" s="6">
        <v>2400</v>
      </c>
      <c r="E37" s="8">
        <f>248*8*(A35/1979)</f>
        <v>212.53562405255181</v>
      </c>
      <c r="F37" s="31">
        <f>E37/A35</f>
        <v>1.0025265285497726</v>
      </c>
      <c r="G37" s="38">
        <f>D37/E37*F37</f>
        <v>11.320754716981131</v>
      </c>
      <c r="H37" s="33">
        <v>59.65</v>
      </c>
      <c r="I37" s="80">
        <f>H37*G37</f>
        <v>675.28301886792451</v>
      </c>
      <c r="K37" s="78"/>
    </row>
    <row r="38" spans="1:13" s="1" customFormat="1" ht="15.75" thickBot="1">
      <c r="A38" s="103"/>
      <c r="B38" s="19"/>
      <c r="C38" s="21"/>
      <c r="D38" s="19"/>
      <c r="E38" s="19"/>
      <c r="F38" s="19"/>
      <c r="G38" s="28"/>
      <c r="H38" s="22"/>
      <c r="I38" s="81">
        <f>SUM(I34:I37)</f>
        <v>7569.9622645254813</v>
      </c>
      <c r="J38" s="3">
        <f>I38*A35</f>
        <v>1604832.000079402</v>
      </c>
      <c r="K38" s="108">
        <v>1604832</v>
      </c>
      <c r="L38" s="3">
        <f>K38-J38</f>
        <v>-7.9402001574635506E-5</v>
      </c>
      <c r="M38" s="1">
        <f>L38/H35</f>
        <v>-4.6970647974300191E-8</v>
      </c>
    </row>
    <row r="39" spans="1:13" s="1" customFormat="1">
      <c r="A39" s="100" t="s">
        <v>65</v>
      </c>
      <c r="B39" s="12" t="s">
        <v>20</v>
      </c>
      <c r="C39" s="34" t="s">
        <v>24</v>
      </c>
      <c r="D39" s="14">
        <v>75000</v>
      </c>
      <c r="E39" s="52">
        <f>248*8*(A40/1979)</f>
        <v>252.63668519454271</v>
      </c>
      <c r="F39" s="31">
        <f>E39/A40</f>
        <v>1.0025265285497726</v>
      </c>
      <c r="G39" s="38">
        <f>D39/E39*F39</f>
        <v>297.61904761904765</v>
      </c>
      <c r="H39" s="76">
        <v>7.6466200000000004</v>
      </c>
      <c r="I39" s="80">
        <f>H39*G39</f>
        <v>2275.7797619047624</v>
      </c>
      <c r="K39" s="78"/>
    </row>
    <row r="40" spans="1:13" s="1" customFormat="1">
      <c r="A40" s="101">
        <v>252</v>
      </c>
      <c r="B40" s="6" t="s">
        <v>21</v>
      </c>
      <c r="C40" s="35" t="s">
        <v>25</v>
      </c>
      <c r="D40" s="9">
        <v>600.80628939999997</v>
      </c>
      <c r="E40" s="8">
        <f>248*8*(A40/1979)</f>
        <v>252.63668519454271</v>
      </c>
      <c r="F40" s="31">
        <f>E40/A40</f>
        <v>1.0025265285497726</v>
      </c>
      <c r="G40" s="38">
        <f>D40/E40*F40</f>
        <v>2.3841519420634922</v>
      </c>
      <c r="H40" s="7">
        <v>1690.46</v>
      </c>
      <c r="I40" s="80">
        <f>H40*G40</f>
        <v>4030.3134919806512</v>
      </c>
      <c r="K40" s="78"/>
    </row>
    <row r="41" spans="1:13" s="1" customFormat="1">
      <c r="A41" s="101"/>
      <c r="B41" s="32" t="s">
        <v>22</v>
      </c>
      <c r="C41" s="36" t="s">
        <v>26</v>
      </c>
      <c r="D41" s="6">
        <v>3450</v>
      </c>
      <c r="E41" s="8">
        <f>248*8*(A40/1979)</f>
        <v>252.63668519454271</v>
      </c>
      <c r="F41" s="31">
        <f>E41/A40</f>
        <v>1.0025265285497726</v>
      </c>
      <c r="G41" s="38">
        <f>D41/E41*F41</f>
        <v>13.69047619047619</v>
      </c>
      <c r="H41" s="33">
        <v>40.96</v>
      </c>
      <c r="I41" s="80">
        <f>H41*G41</f>
        <v>560.7619047619047</v>
      </c>
      <c r="K41" s="78"/>
    </row>
    <row r="42" spans="1:13" s="1" customFormat="1">
      <c r="A42" s="101"/>
      <c r="B42" s="32" t="s">
        <v>23</v>
      </c>
      <c r="C42" s="36" t="s">
        <v>26</v>
      </c>
      <c r="D42" s="6">
        <v>3450</v>
      </c>
      <c r="E42" s="8">
        <f>248*8*(A40/1979)</f>
        <v>252.63668519454271</v>
      </c>
      <c r="F42" s="31">
        <f>E42/A40</f>
        <v>1.0025265285497726</v>
      </c>
      <c r="G42" s="38">
        <f>D42/E42*F42</f>
        <v>13.69047619047619</v>
      </c>
      <c r="H42" s="33">
        <v>59.65</v>
      </c>
      <c r="I42" s="80">
        <f>H42*G42</f>
        <v>816.6369047619047</v>
      </c>
      <c r="K42" s="78"/>
    </row>
    <row r="43" spans="1:13" s="1" customFormat="1" ht="15.75" thickBot="1">
      <c r="A43" s="103"/>
      <c r="B43" s="19"/>
      <c r="C43" s="21"/>
      <c r="D43" s="19"/>
      <c r="E43" s="19"/>
      <c r="F43" s="19"/>
      <c r="G43" s="28"/>
      <c r="H43" s="22"/>
      <c r="I43" s="81">
        <f>SUM(I39:I42)</f>
        <v>7683.4920634092232</v>
      </c>
      <c r="J43" s="3">
        <f>I43*A40</f>
        <v>1936239.9999791242</v>
      </c>
      <c r="K43" s="108">
        <v>1936240</v>
      </c>
      <c r="L43" s="3">
        <f>K43-J43</f>
        <v>2.0875828340649605E-5</v>
      </c>
      <c r="M43" s="1">
        <f>L43/H40</f>
        <v>1.2349199827650229E-8</v>
      </c>
    </row>
    <row r="44" spans="1:13" s="1" customFormat="1">
      <c r="A44" s="100" t="s">
        <v>98</v>
      </c>
      <c r="B44" s="12" t="s">
        <v>20</v>
      </c>
      <c r="C44" s="34" t="s">
        <v>24</v>
      </c>
      <c r="D44" s="14">
        <v>40000</v>
      </c>
      <c r="E44" s="52">
        <f>248*8*(A45/1979)</f>
        <v>130.32844871147046</v>
      </c>
      <c r="F44" s="31">
        <f>E44/A45</f>
        <v>1.0025265285497726</v>
      </c>
      <c r="G44" s="38">
        <f>D44/E44*F44</f>
        <v>307.69230769230762</v>
      </c>
      <c r="H44" s="76">
        <v>7.6466200000000004</v>
      </c>
      <c r="I44" s="80">
        <f>H44*G44</f>
        <v>2352.8061538461534</v>
      </c>
      <c r="K44" s="78"/>
    </row>
    <row r="45" spans="1:13" s="1" customFormat="1">
      <c r="A45" s="101">
        <v>130</v>
      </c>
      <c r="B45" s="6" t="s">
        <v>21</v>
      </c>
      <c r="C45" s="35" t="s">
        <v>25</v>
      </c>
      <c r="D45" s="9">
        <f>313.8190197-103.025+0.000379</f>
        <v>210.79439870000002</v>
      </c>
      <c r="E45" s="8">
        <f>248*8*(A45/1979)</f>
        <v>130.32844871147046</v>
      </c>
      <c r="F45" s="31">
        <f>E45/A45</f>
        <v>1.0025265285497726</v>
      </c>
      <c r="G45" s="38">
        <f>D45/E45*F45</f>
        <v>1.6214953746153844</v>
      </c>
      <c r="H45" s="7">
        <v>1690.46</v>
      </c>
      <c r="I45" s="80">
        <f>H45*G45</f>
        <v>2741.073070972323</v>
      </c>
      <c r="K45" s="78"/>
    </row>
    <row r="46" spans="1:13" s="1" customFormat="1">
      <c r="A46" s="101"/>
      <c r="B46" s="32" t="s">
        <v>22</v>
      </c>
      <c r="C46" s="36" t="s">
        <v>26</v>
      </c>
      <c r="D46" s="6">
        <v>1370</v>
      </c>
      <c r="E46" s="8">
        <f>248*8*(A45/1979)</f>
        <v>130.32844871147046</v>
      </c>
      <c r="F46" s="31">
        <f>E46/A45</f>
        <v>1.0025265285497726</v>
      </c>
      <c r="G46" s="38">
        <f>D46/E46*F46</f>
        <v>10.538461538461537</v>
      </c>
      <c r="H46" s="33">
        <v>40.96</v>
      </c>
      <c r="I46" s="80">
        <f>H46*G46</f>
        <v>431.65538461538455</v>
      </c>
      <c r="K46" s="78"/>
    </row>
    <row r="47" spans="1:13" s="1" customFormat="1">
      <c r="A47" s="101"/>
      <c r="B47" s="32" t="s">
        <v>23</v>
      </c>
      <c r="C47" s="36" t="s">
        <v>26</v>
      </c>
      <c r="D47" s="6">
        <v>1370</v>
      </c>
      <c r="E47" s="8">
        <f>248*8*(A45/1979)</f>
        <v>130.32844871147046</v>
      </c>
      <c r="F47" s="31">
        <f>E47/A45</f>
        <v>1.0025265285497726</v>
      </c>
      <c r="G47" s="38">
        <f>D47/E47*F47</f>
        <v>10.538461538461537</v>
      </c>
      <c r="H47" s="33">
        <v>59.65</v>
      </c>
      <c r="I47" s="80">
        <f>H47*G47</f>
        <v>628.61923076923063</v>
      </c>
      <c r="K47" s="78"/>
    </row>
    <row r="48" spans="1:13" s="1" customFormat="1" ht="15.75" thickBot="1">
      <c r="A48" s="103"/>
      <c r="B48" s="19"/>
      <c r="C48" s="21"/>
      <c r="D48" s="19"/>
      <c r="E48" s="19"/>
      <c r="F48" s="19"/>
      <c r="G48" s="28"/>
      <c r="H48" s="22"/>
      <c r="I48" s="81">
        <f>SUM(I44:I47)</f>
        <v>6154.1538402030919</v>
      </c>
      <c r="J48" s="3">
        <f>I48*A45</f>
        <v>800039.99922640191</v>
      </c>
      <c r="K48" s="108">
        <v>800040</v>
      </c>
      <c r="L48" s="3">
        <f>K48-J48</f>
        <v>7.7359809074550867E-4</v>
      </c>
      <c r="M48" s="1">
        <f>L48/H45</f>
        <v>4.5762578868799539E-7</v>
      </c>
    </row>
    <row r="49" spans="1:13" s="1" customFormat="1">
      <c r="A49" s="100" t="s">
        <v>66</v>
      </c>
      <c r="B49" s="12" t="s">
        <v>20</v>
      </c>
      <c r="C49" s="34" t="s">
        <v>24</v>
      </c>
      <c r="D49" s="14">
        <v>44000</v>
      </c>
      <c r="E49" s="52">
        <f>248*8*(A50/1979)</f>
        <v>125.31581606872159</v>
      </c>
      <c r="F49" s="31">
        <f>E49/A50</f>
        <v>1.0025265285497726</v>
      </c>
      <c r="G49" s="38">
        <f>D49/E49*F49</f>
        <v>351.99999999999994</v>
      </c>
      <c r="H49" s="76">
        <v>7.6466200000000004</v>
      </c>
      <c r="I49" s="80">
        <f>H49*G49</f>
        <v>2691.6102399999995</v>
      </c>
      <c r="K49" s="78"/>
    </row>
    <row r="50" spans="1:13" s="1" customFormat="1">
      <c r="A50" s="101">
        <v>125</v>
      </c>
      <c r="B50" s="6" t="s">
        <v>21</v>
      </c>
      <c r="C50" s="35" t="s">
        <v>25</v>
      </c>
      <c r="D50" s="9">
        <v>122.8734901</v>
      </c>
      <c r="E50" s="8">
        <f>248*8*(A50/1979)</f>
        <v>125.31581606872159</v>
      </c>
      <c r="F50" s="31">
        <f>E50/A50</f>
        <v>1.0025265285497726</v>
      </c>
      <c r="G50" s="38">
        <f>D50/E50*F50</f>
        <v>0.98298792079999997</v>
      </c>
      <c r="H50" s="7">
        <v>1690.46</v>
      </c>
      <c r="I50" s="80">
        <f>H50*G50</f>
        <v>1661.701760595568</v>
      </c>
      <c r="K50" s="78"/>
    </row>
    <row r="51" spans="1:13" s="1" customFormat="1">
      <c r="A51" s="101"/>
      <c r="B51" s="32" t="s">
        <v>22</v>
      </c>
      <c r="C51" s="36" t="s">
        <v>26</v>
      </c>
      <c r="D51" s="6">
        <v>1000</v>
      </c>
      <c r="E51" s="8">
        <f>248*8*(A50/1979)</f>
        <v>125.31581606872159</v>
      </c>
      <c r="F51" s="31">
        <f>E51/A50</f>
        <v>1.0025265285497726</v>
      </c>
      <c r="G51" s="38">
        <f>D51/E51*F51</f>
        <v>8</v>
      </c>
      <c r="H51" s="33">
        <v>40.96</v>
      </c>
      <c r="I51" s="80">
        <f>H51*G51</f>
        <v>327.68</v>
      </c>
      <c r="K51" s="78"/>
    </row>
    <row r="52" spans="1:13" s="1" customFormat="1">
      <c r="A52" s="101"/>
      <c r="B52" s="32" t="s">
        <v>23</v>
      </c>
      <c r="C52" s="36" t="s">
        <v>26</v>
      </c>
      <c r="D52" s="6">
        <v>1100</v>
      </c>
      <c r="E52" s="8">
        <f>248*8*(A50/1979)</f>
        <v>125.31581606872159</v>
      </c>
      <c r="F52" s="31">
        <f>E52/A50</f>
        <v>1.0025265285497726</v>
      </c>
      <c r="G52" s="38">
        <f>D52/E52*F52</f>
        <v>8.8000000000000007</v>
      </c>
      <c r="H52" s="33">
        <v>59.65</v>
      </c>
      <c r="I52" s="80">
        <f>H52*G52</f>
        <v>524.92000000000007</v>
      </c>
      <c r="K52" s="78"/>
    </row>
    <row r="53" spans="1:13" s="1" customFormat="1" ht="15.75" thickBot="1">
      <c r="A53" s="103"/>
      <c r="B53" s="19"/>
      <c r="C53" s="21"/>
      <c r="D53" s="19"/>
      <c r="E53" s="19"/>
      <c r="F53" s="19"/>
      <c r="G53" s="28"/>
      <c r="H53" s="22"/>
      <c r="I53" s="81">
        <f>SUM(I49:I52)</f>
        <v>5205.9120005955683</v>
      </c>
      <c r="J53" s="3">
        <f>I53*A50</f>
        <v>650739.00007444608</v>
      </c>
      <c r="K53" s="108">
        <v>650739</v>
      </c>
      <c r="L53" s="3">
        <f>K53-J53</f>
        <v>-7.4446084909141064E-5</v>
      </c>
      <c r="M53" s="1">
        <f>L53/H50</f>
        <v>-4.4038950882683451E-8</v>
      </c>
    </row>
    <row r="54" spans="1:13" s="1" customFormat="1">
      <c r="A54" s="100" t="s">
        <v>67</v>
      </c>
      <c r="B54" s="14" t="s">
        <v>20</v>
      </c>
      <c r="C54" s="51" t="s">
        <v>24</v>
      </c>
      <c r="D54" s="14">
        <v>94000</v>
      </c>
      <c r="E54" s="52">
        <f>248*8*(A55/1979)</f>
        <v>257.64931783729156</v>
      </c>
      <c r="F54" s="31">
        <f>E54/A55</f>
        <v>1.0025265285497726</v>
      </c>
      <c r="G54" s="44">
        <f>D54/E54*F54</f>
        <v>365.75875486381324</v>
      </c>
      <c r="H54" s="76">
        <v>7.6466200000000004</v>
      </c>
      <c r="I54" s="82">
        <f>H54*G54</f>
        <v>2796.8182101167317</v>
      </c>
      <c r="K54" s="78"/>
    </row>
    <row r="55" spans="1:13" s="1" customFormat="1">
      <c r="A55" s="101">
        <v>257</v>
      </c>
      <c r="B55" s="6" t="s">
        <v>21</v>
      </c>
      <c r="C55" s="35" t="s">
        <v>25</v>
      </c>
      <c r="D55" s="9">
        <v>773.84068239999999</v>
      </c>
      <c r="E55" s="8">
        <f>248*8*(A55/1979)</f>
        <v>257.64931783729156</v>
      </c>
      <c r="F55" s="31">
        <f>E55/A55</f>
        <v>1.0025265285497726</v>
      </c>
      <c r="G55" s="38">
        <f>D55/E55*F55</f>
        <v>3.011053238910506</v>
      </c>
      <c r="H55" s="7">
        <v>1690.46</v>
      </c>
      <c r="I55" s="80">
        <f>H55*G55</f>
        <v>5090.0650582486542</v>
      </c>
      <c r="K55" s="78"/>
    </row>
    <row r="56" spans="1:13" s="1" customFormat="1">
      <c r="A56" s="101"/>
      <c r="B56" s="32" t="s">
        <v>22</v>
      </c>
      <c r="C56" s="36" t="s">
        <v>26</v>
      </c>
      <c r="D56" s="6">
        <v>6100</v>
      </c>
      <c r="E56" s="8">
        <f>248*8*(A55/1979)</f>
        <v>257.64931783729156</v>
      </c>
      <c r="F56" s="31">
        <f>E56/A55</f>
        <v>1.0025265285497726</v>
      </c>
      <c r="G56" s="38">
        <f>D56/E56*F56</f>
        <v>23.735408560311285</v>
      </c>
      <c r="H56" s="33">
        <v>40.96</v>
      </c>
      <c r="I56" s="80">
        <f>H56*G56</f>
        <v>972.20233463035026</v>
      </c>
      <c r="K56" s="78"/>
    </row>
    <row r="57" spans="1:13" s="1" customFormat="1">
      <c r="A57" s="101"/>
      <c r="B57" s="32" t="s">
        <v>23</v>
      </c>
      <c r="C57" s="36" t="s">
        <v>26</v>
      </c>
      <c r="D57" s="6">
        <v>6100</v>
      </c>
      <c r="E57" s="8">
        <f>248*8*(A55/1979)</f>
        <v>257.64931783729156</v>
      </c>
      <c r="F57" s="31">
        <f>E57/A55</f>
        <v>1.0025265285497726</v>
      </c>
      <c r="G57" s="38">
        <f>D57/E57*F57</f>
        <v>23.735408560311285</v>
      </c>
      <c r="H57" s="33">
        <v>59.65</v>
      </c>
      <c r="I57" s="80">
        <f>H57*G57</f>
        <v>1415.8171206225682</v>
      </c>
      <c r="K57" s="78"/>
    </row>
    <row r="58" spans="1:13" s="1" customFormat="1" ht="15.75" thickBot="1">
      <c r="A58" s="103"/>
      <c r="B58" s="19"/>
      <c r="C58" s="21"/>
      <c r="D58" s="19"/>
      <c r="E58" s="19"/>
      <c r="F58" s="19"/>
      <c r="G58" s="28"/>
      <c r="H58" s="22"/>
      <c r="I58" s="81">
        <f>SUM(I54:I57)</f>
        <v>10274.902723618305</v>
      </c>
      <c r="J58" s="3">
        <f>I58*A55</f>
        <v>2640649.9999699043</v>
      </c>
      <c r="K58" s="108">
        <v>2640650</v>
      </c>
      <c r="L58" s="3">
        <f>K58-J58</f>
        <v>3.0095688998699188E-5</v>
      </c>
      <c r="M58" s="1">
        <f>L58/H55</f>
        <v>1.7803254143073002E-8</v>
      </c>
    </row>
    <row r="59" spans="1:13" s="1" customFormat="1">
      <c r="A59" s="100" t="s">
        <v>68</v>
      </c>
      <c r="B59" s="12" t="s">
        <v>20</v>
      </c>
      <c r="C59" s="34" t="s">
        <v>24</v>
      </c>
      <c r="D59" s="14">
        <v>49000</v>
      </c>
      <c r="E59" s="52">
        <f>248*8*(A60/1979)</f>
        <v>191.48256695300657</v>
      </c>
      <c r="F59" s="31">
        <f>E59/A60</f>
        <v>1.0025265285497726</v>
      </c>
      <c r="G59" s="38">
        <f>D59/E59*F59</f>
        <v>256.54450261780107</v>
      </c>
      <c r="H59" s="76">
        <v>7.6466200000000004</v>
      </c>
      <c r="I59" s="80">
        <f>H59*G59</f>
        <v>1961.6983246073301</v>
      </c>
      <c r="K59" s="78"/>
    </row>
    <row r="60" spans="1:13" s="1" customFormat="1">
      <c r="A60" s="101">
        <v>191</v>
      </c>
      <c r="B60" s="6" t="s">
        <v>21</v>
      </c>
      <c r="C60" s="35" t="s">
        <v>25</v>
      </c>
      <c r="D60" s="9">
        <v>662.43958450000002</v>
      </c>
      <c r="E60" s="8">
        <f>248*8*(A60/1979)</f>
        <v>191.48256695300657</v>
      </c>
      <c r="F60" s="31">
        <f>E60/A60</f>
        <v>1.0025265285497726</v>
      </c>
      <c r="G60" s="38">
        <f>D60/E60*F60</f>
        <v>3.4682700759162306</v>
      </c>
      <c r="H60" s="7">
        <v>1690.46</v>
      </c>
      <c r="I60" s="80">
        <f>H60*G60</f>
        <v>5862.9718325333515</v>
      </c>
      <c r="K60" s="78"/>
    </row>
    <row r="61" spans="1:13" s="1" customFormat="1">
      <c r="A61" s="101"/>
      <c r="B61" s="32" t="s">
        <v>22</v>
      </c>
      <c r="C61" s="36" t="s">
        <v>26</v>
      </c>
      <c r="D61" s="6">
        <v>2300</v>
      </c>
      <c r="E61" s="8">
        <f>248*8*(A60/1979)</f>
        <v>191.48256695300657</v>
      </c>
      <c r="F61" s="31">
        <f>E61/A60</f>
        <v>1.0025265285497726</v>
      </c>
      <c r="G61" s="38">
        <f>D61/E61*F61</f>
        <v>12.041884816753928</v>
      </c>
      <c r="H61" s="33">
        <v>40.96</v>
      </c>
      <c r="I61" s="80">
        <f>H61*G61</f>
        <v>493.2356020942409</v>
      </c>
      <c r="K61" s="78"/>
    </row>
    <row r="62" spans="1:13" s="1" customFormat="1">
      <c r="A62" s="101"/>
      <c r="B62" s="32" t="s">
        <v>23</v>
      </c>
      <c r="C62" s="36" t="s">
        <v>26</v>
      </c>
      <c r="D62" s="6">
        <v>2300</v>
      </c>
      <c r="E62" s="8">
        <f>248*8*(A60/1979)</f>
        <v>191.48256695300657</v>
      </c>
      <c r="F62" s="31">
        <f>E62/A60</f>
        <v>1.0025265285497726</v>
      </c>
      <c r="G62" s="38">
        <f>D62/E62*F62</f>
        <v>12.041884816753928</v>
      </c>
      <c r="H62" s="33">
        <v>59.65</v>
      </c>
      <c r="I62" s="80">
        <f>H62*G62</f>
        <v>718.29842931937185</v>
      </c>
      <c r="K62" s="78"/>
    </row>
    <row r="63" spans="1:13" s="1" customFormat="1" ht="15.75" thickBot="1">
      <c r="A63" s="103"/>
      <c r="B63" s="19"/>
      <c r="C63" s="21"/>
      <c r="D63" s="19"/>
      <c r="E63" s="19"/>
      <c r="F63" s="19"/>
      <c r="G63" s="28"/>
      <c r="H63" s="22"/>
      <c r="I63" s="81">
        <f>SUM(I59:I62)</f>
        <v>9036.2041885542931</v>
      </c>
      <c r="J63" s="3">
        <f>I63*A60</f>
        <v>1725915.00001387</v>
      </c>
      <c r="K63" s="108">
        <v>1725915</v>
      </c>
      <c r="L63" s="3">
        <f>K63-J63</f>
        <v>-1.3869954273104668E-5</v>
      </c>
      <c r="M63" s="1">
        <f>L63/H60</f>
        <v>-8.2048402642503624E-9</v>
      </c>
    </row>
    <row r="64" spans="1:13" s="1" customFormat="1" ht="15.75" thickBot="1">
      <c r="A64" s="104"/>
      <c r="B64" s="47"/>
      <c r="C64" s="48"/>
      <c r="D64" s="47"/>
      <c r="E64" s="53"/>
      <c r="F64" s="47"/>
      <c r="G64" s="46"/>
      <c r="H64" s="49"/>
      <c r="I64" s="83"/>
      <c r="K64" s="78"/>
    </row>
    <row r="65" spans="1:13" s="1" customFormat="1">
      <c r="A65" s="100" t="s">
        <v>69</v>
      </c>
      <c r="B65" s="14" t="s">
        <v>20</v>
      </c>
      <c r="C65" s="51" t="s">
        <v>24</v>
      </c>
      <c r="D65" s="14">
        <v>125000</v>
      </c>
      <c r="E65" s="52">
        <f>248*8*(A66/1979)</f>
        <v>317.80090955027794</v>
      </c>
      <c r="F65" s="31">
        <f>E65/A66</f>
        <v>1.0025265285497726</v>
      </c>
      <c r="G65" s="44">
        <f>D65/E65*F65</f>
        <v>394.32176656151421</v>
      </c>
      <c r="H65" s="76">
        <v>7.6466200000000004</v>
      </c>
      <c r="I65" s="82">
        <f>H65*G65</f>
        <v>3015.2287066246058</v>
      </c>
      <c r="K65" s="78"/>
    </row>
    <row r="66" spans="1:13" s="1" customFormat="1">
      <c r="A66" s="101">
        <v>317</v>
      </c>
      <c r="B66" s="6" t="s">
        <v>21</v>
      </c>
      <c r="C66" s="35" t="s">
        <v>25</v>
      </c>
      <c r="D66" s="9">
        <v>740.16273679999995</v>
      </c>
      <c r="E66" s="8">
        <f>248*8*(A66/1979)</f>
        <v>317.80090955027794</v>
      </c>
      <c r="F66" s="31">
        <f>E66/A66</f>
        <v>1.0025265285497726</v>
      </c>
      <c r="G66" s="38">
        <f>D66/E66*F66</f>
        <v>2.3348982233438482</v>
      </c>
      <c r="H66" s="7">
        <v>1690.46</v>
      </c>
      <c r="I66" s="80">
        <f>H66*G66</f>
        <v>3947.0520506338416</v>
      </c>
      <c r="K66" s="78"/>
    </row>
    <row r="67" spans="1:13" s="1" customFormat="1">
      <c r="A67" s="101"/>
      <c r="B67" s="32" t="s">
        <v>22</v>
      </c>
      <c r="C67" s="36" t="s">
        <v>26</v>
      </c>
      <c r="D67" s="6">
        <v>4700</v>
      </c>
      <c r="E67" s="8">
        <f>248*8*(A66/1979)</f>
        <v>317.80090955027794</v>
      </c>
      <c r="F67" s="31">
        <f>E67/A66</f>
        <v>1.0025265285497726</v>
      </c>
      <c r="G67" s="38">
        <f>D67/E67*F67</f>
        <v>14.826498422712934</v>
      </c>
      <c r="H67" s="33">
        <v>40.96</v>
      </c>
      <c r="I67" s="80">
        <f>H67*G67</f>
        <v>607.29337539432174</v>
      </c>
      <c r="K67" s="78"/>
    </row>
    <row r="68" spans="1:13" s="1" customFormat="1">
      <c r="A68" s="101"/>
      <c r="B68" s="32" t="s">
        <v>23</v>
      </c>
      <c r="C68" s="36" t="s">
        <v>26</v>
      </c>
      <c r="D68" s="6">
        <v>4700</v>
      </c>
      <c r="E68" s="8">
        <f>248*8*(A66/1979)</f>
        <v>317.80090955027794</v>
      </c>
      <c r="F68" s="31">
        <f>E68/A66</f>
        <v>1.0025265285497726</v>
      </c>
      <c r="G68" s="38">
        <f>D68/E68*F68</f>
        <v>14.826498422712934</v>
      </c>
      <c r="H68" s="33">
        <v>59.65</v>
      </c>
      <c r="I68" s="80">
        <f>H68*G68</f>
        <v>884.40063091482648</v>
      </c>
      <c r="K68" s="78"/>
    </row>
    <row r="69" spans="1:13" s="1" customFormat="1" ht="15.75" thickBot="1">
      <c r="A69" s="103"/>
      <c r="B69" s="19"/>
      <c r="C69" s="21"/>
      <c r="D69" s="19"/>
      <c r="E69" s="19"/>
      <c r="F69" s="19"/>
      <c r="G69" s="28"/>
      <c r="H69" s="22"/>
      <c r="I69" s="81">
        <f>SUM(I65:I68)</f>
        <v>8453.9747635675958</v>
      </c>
      <c r="J69" s="3">
        <f>I69*A66</f>
        <v>2679910.000050928</v>
      </c>
      <c r="K69" s="108">
        <v>2679910</v>
      </c>
      <c r="L69" s="3">
        <f>K69-J69</f>
        <v>-5.0927978008985519E-5</v>
      </c>
      <c r="M69" s="1">
        <f>L69/H66</f>
        <v>-3.0126698063832044E-8</v>
      </c>
    </row>
    <row r="70" spans="1:13" s="1" customFormat="1">
      <c r="A70" s="100" t="s">
        <v>70</v>
      </c>
      <c r="B70" s="12" t="s">
        <v>20</v>
      </c>
      <c r="C70" s="34" t="s">
        <v>24</v>
      </c>
      <c r="D70" s="14">
        <v>200000</v>
      </c>
      <c r="E70" s="52">
        <f>248*8*(A71/1979)</f>
        <v>402.01313794845879</v>
      </c>
      <c r="F70" s="31">
        <f>E70/A71</f>
        <v>1.0025265285497726</v>
      </c>
      <c r="G70" s="38">
        <f>D70/E70*F70</f>
        <v>498.75311720698255</v>
      </c>
      <c r="H70" s="76">
        <v>5.0591299999999997</v>
      </c>
      <c r="I70" s="80">
        <f>H70*G70</f>
        <v>2523.2568578553614</v>
      </c>
      <c r="K70" s="78"/>
    </row>
    <row r="71" spans="1:13" s="1" customFormat="1">
      <c r="A71" s="101">
        <v>401</v>
      </c>
      <c r="B71" s="6" t="s">
        <v>21</v>
      </c>
      <c r="C71" s="35" t="s">
        <v>25</v>
      </c>
      <c r="D71" s="9">
        <v>929.31273139999996</v>
      </c>
      <c r="E71" s="8">
        <f>248*8*(A71/1979)</f>
        <v>402.01313794845879</v>
      </c>
      <c r="F71" s="31">
        <f>E71/A71</f>
        <v>1.0025265285497726</v>
      </c>
      <c r="G71" s="38">
        <f>D71/E71*F71</f>
        <v>2.3174881082294263</v>
      </c>
      <c r="H71" s="7">
        <v>1690.46</v>
      </c>
      <c r="I71" s="80">
        <f>H71*G71</f>
        <v>3917.620947437516</v>
      </c>
      <c r="K71" s="78"/>
    </row>
    <row r="72" spans="1:13" s="1" customFormat="1">
      <c r="A72" s="101"/>
      <c r="B72" s="32" t="s">
        <v>22</v>
      </c>
      <c r="C72" s="36" t="s">
        <v>26</v>
      </c>
      <c r="D72" s="6">
        <v>6100</v>
      </c>
      <c r="E72" s="8">
        <f>248*8*(A71/1979)</f>
        <v>402.01313794845879</v>
      </c>
      <c r="F72" s="31">
        <f>E72/A71</f>
        <v>1.0025265285497726</v>
      </c>
      <c r="G72" s="38">
        <f>D72/E72*F72</f>
        <v>15.211970074812967</v>
      </c>
      <c r="H72" s="33">
        <v>40.96</v>
      </c>
      <c r="I72" s="80">
        <f>H72*G72</f>
        <v>623.08229426433911</v>
      </c>
      <c r="K72" s="78"/>
    </row>
    <row r="73" spans="1:13" s="1" customFormat="1">
      <c r="A73" s="101"/>
      <c r="B73" s="32" t="s">
        <v>23</v>
      </c>
      <c r="C73" s="36" t="s">
        <v>26</v>
      </c>
      <c r="D73" s="6">
        <v>6100</v>
      </c>
      <c r="E73" s="8">
        <f>248*8*(A71/1979)</f>
        <v>402.01313794845879</v>
      </c>
      <c r="F73" s="31">
        <f>E73/A71</f>
        <v>1.0025265285497726</v>
      </c>
      <c r="G73" s="38">
        <f>D73/E73*F73</f>
        <v>15.211970074812967</v>
      </c>
      <c r="H73" s="33">
        <v>59.65</v>
      </c>
      <c r="I73" s="80">
        <f>H73*G73</f>
        <v>907.39401496259347</v>
      </c>
      <c r="K73" s="78"/>
    </row>
    <row r="74" spans="1:13" s="1" customFormat="1" ht="15.75" thickBot="1">
      <c r="A74" s="103"/>
      <c r="B74" s="19"/>
      <c r="C74" s="21"/>
      <c r="D74" s="19"/>
      <c r="E74" s="19"/>
      <c r="F74" s="19"/>
      <c r="G74" s="28"/>
      <c r="H74" s="22"/>
      <c r="I74" s="81">
        <f>SUM(I70:I73)</f>
        <v>7971.3541145198096</v>
      </c>
      <c r="J74" s="3">
        <f>I74*A71</f>
        <v>3196512.9999224436</v>
      </c>
      <c r="K74" s="108">
        <v>3196513</v>
      </c>
      <c r="L74" s="3">
        <f>K74-J74</f>
        <v>7.7556353062391281E-5</v>
      </c>
      <c r="M74" s="1">
        <f>L74/H71</f>
        <v>4.5878845439934265E-8</v>
      </c>
    </row>
    <row r="75" spans="1:13" s="1" customFormat="1">
      <c r="A75" s="104"/>
      <c r="B75" s="47"/>
      <c r="C75" s="48"/>
      <c r="D75" s="47"/>
      <c r="E75" s="47"/>
      <c r="F75" s="47"/>
      <c r="G75" s="46"/>
      <c r="H75" s="49"/>
      <c r="I75" s="50"/>
      <c r="K75" s="78"/>
    </row>
  </sheetData>
  <mergeCells count="1">
    <mergeCell ref="A3:I3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R176"/>
  <sheetViews>
    <sheetView zoomScale="110" zoomScaleNormal="110" workbookViewId="0">
      <pane xSplit="1" ySplit="6" topLeftCell="B157" activePane="bottomRight" state="frozen"/>
      <selection pane="topRight" activeCell="B1" sqref="B1"/>
      <selection pane="bottomLeft" activeCell="A7" sqref="A7"/>
      <selection pane="bottomRight" activeCell="F179" sqref="F179"/>
    </sheetView>
  </sheetViews>
  <sheetFormatPr defaultRowHeight="15"/>
  <cols>
    <col min="1" max="1" width="13.28515625" style="97" customWidth="1"/>
    <col min="2" max="2" width="40.42578125" style="1" customWidth="1"/>
    <col min="3" max="3" width="10.85546875" style="1" customWidth="1"/>
    <col min="4" max="4" width="8.28515625" style="1" customWidth="1"/>
    <col min="5" max="5" width="11.42578125" style="1" customWidth="1"/>
    <col min="6" max="6" width="9.85546875" style="1" customWidth="1"/>
    <col min="7" max="7" width="12.5703125" customWidth="1"/>
    <col min="8" max="8" width="10.85546875" style="1" customWidth="1"/>
    <col min="9" max="9" width="11.85546875" style="1" bestFit="1" customWidth="1"/>
    <col min="10" max="10" width="12" style="1" customWidth="1"/>
    <col min="11" max="11" width="11.5703125" style="1" bestFit="1" customWidth="1"/>
    <col min="12" max="18" width="9.140625" style="1"/>
  </cols>
  <sheetData>
    <row r="1" spans="1:11" ht="18.75">
      <c r="A1" s="95" t="s">
        <v>82</v>
      </c>
    </row>
    <row r="3" spans="1:11" ht="18.75">
      <c r="A3" s="92" t="s">
        <v>35</v>
      </c>
      <c r="B3" s="92"/>
      <c r="C3" s="92"/>
      <c r="D3" s="92"/>
      <c r="E3" s="92"/>
      <c r="F3" s="92"/>
      <c r="G3" s="92"/>
      <c r="H3" s="92"/>
    </row>
    <row r="4" spans="1:11" ht="15.75" thickBot="1">
      <c r="G4" s="55" t="s">
        <v>77</v>
      </c>
    </row>
    <row r="5" spans="1:11" ht="105">
      <c r="A5" s="98" t="s">
        <v>2</v>
      </c>
      <c r="B5" s="23" t="s">
        <v>15</v>
      </c>
      <c r="C5" s="23" t="s">
        <v>14</v>
      </c>
      <c r="D5" s="23" t="s">
        <v>16</v>
      </c>
      <c r="E5" s="23" t="s">
        <v>27</v>
      </c>
      <c r="F5" s="23" t="s">
        <v>72</v>
      </c>
      <c r="G5" s="23" t="s">
        <v>29</v>
      </c>
      <c r="H5" s="23" t="s">
        <v>30</v>
      </c>
      <c r="I5" s="23" t="s">
        <v>11</v>
      </c>
      <c r="J5" s="2" t="s">
        <v>34</v>
      </c>
      <c r="K5" s="2" t="s">
        <v>33</v>
      </c>
    </row>
    <row r="6" spans="1:11" ht="15.75" thickBot="1">
      <c r="A6" s="105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 t="s">
        <v>31</v>
      </c>
      <c r="H6" s="10">
        <v>8</v>
      </c>
      <c r="I6" s="40" t="s">
        <v>32</v>
      </c>
    </row>
    <row r="7" spans="1:11">
      <c r="A7" s="100" t="s">
        <v>59</v>
      </c>
      <c r="B7" s="14" t="s">
        <v>36</v>
      </c>
      <c r="C7" s="14" t="s">
        <v>17</v>
      </c>
      <c r="D7" s="14">
        <v>1</v>
      </c>
      <c r="E7" s="16">
        <f>248*8*(A8/1979)</f>
        <v>239.60384032339564</v>
      </c>
      <c r="F7" s="29">
        <f>E7/A8</f>
        <v>1.0025265285497726</v>
      </c>
      <c r="G7" s="42">
        <f t="shared" ref="G7:G17" si="0">D7/E7*F7</f>
        <v>4.1841004184100423E-3</v>
      </c>
      <c r="H7" s="15">
        <v>169663.68</v>
      </c>
      <c r="I7" s="82">
        <f>H7*G7</f>
        <v>709.88987447698753</v>
      </c>
      <c r="J7" s="124"/>
      <c r="K7" s="124"/>
    </row>
    <row r="8" spans="1:11" s="1" customFormat="1">
      <c r="A8" s="106">
        <f>ком.усл!A10</f>
        <v>239</v>
      </c>
      <c r="B8" s="6" t="s">
        <v>37</v>
      </c>
      <c r="C8" s="6" t="s">
        <v>17</v>
      </c>
      <c r="D8" s="6">
        <v>1</v>
      </c>
      <c r="E8" s="8">
        <f>248*8*(A8/1979)</f>
        <v>239.60384032339564</v>
      </c>
      <c r="F8" s="30">
        <f>E8/A8</f>
        <v>1.0025265285497726</v>
      </c>
      <c r="G8" s="41">
        <f t="shared" si="0"/>
        <v>4.1841004184100423E-3</v>
      </c>
      <c r="H8" s="7">
        <v>12000</v>
      </c>
      <c r="I8" s="84">
        <f t="shared" ref="I8:I15" si="1">H8*G8</f>
        <v>50.209205020920507</v>
      </c>
      <c r="J8" s="124"/>
      <c r="K8" s="124"/>
    </row>
    <row r="9" spans="1:11" s="1" customFormat="1">
      <c r="A9" s="101"/>
      <c r="B9" s="6" t="s">
        <v>40</v>
      </c>
      <c r="C9" s="6" t="s">
        <v>17</v>
      </c>
      <c r="D9" s="6">
        <v>1</v>
      </c>
      <c r="E9" s="8">
        <f>248*8*(A8/1979)</f>
        <v>239.60384032339564</v>
      </c>
      <c r="F9" s="30">
        <f>E9/A8</f>
        <v>1.0025265285497726</v>
      </c>
      <c r="G9" s="41">
        <f t="shared" si="0"/>
        <v>4.1841004184100423E-3</v>
      </c>
      <c r="H9" s="7">
        <v>31200</v>
      </c>
      <c r="I9" s="84">
        <f>H9*G9</f>
        <v>130.54393305439334</v>
      </c>
      <c r="J9" s="124"/>
      <c r="K9" s="124"/>
    </row>
    <row r="10" spans="1:11" s="1" customFormat="1">
      <c r="A10" s="101"/>
      <c r="B10" s="6" t="s">
        <v>38</v>
      </c>
      <c r="C10" s="6" t="s">
        <v>17</v>
      </c>
      <c r="D10" s="6">
        <v>1</v>
      </c>
      <c r="E10" s="8">
        <f>248*8*(A8/1979)</f>
        <v>239.60384032339564</v>
      </c>
      <c r="F10" s="30">
        <f>E10/A8</f>
        <v>1.0025265285497726</v>
      </c>
      <c r="G10" s="41">
        <f t="shared" si="0"/>
        <v>4.1841004184100423E-3</v>
      </c>
      <c r="H10" s="7">
        <f>7200+41965.44</f>
        <v>49165.440000000002</v>
      </c>
      <c r="I10" s="84">
        <f t="shared" si="1"/>
        <v>205.71313807531385</v>
      </c>
      <c r="J10" s="124"/>
      <c r="K10" s="124"/>
    </row>
    <row r="11" spans="1:11" s="1" customFormat="1">
      <c r="A11" s="101"/>
      <c r="B11" s="6" t="s">
        <v>111</v>
      </c>
      <c r="C11" s="6" t="s">
        <v>17</v>
      </c>
      <c r="D11" s="6">
        <v>1</v>
      </c>
      <c r="E11" s="8">
        <f>248*8*(A8/1979)</f>
        <v>239.60384032339564</v>
      </c>
      <c r="F11" s="30">
        <f>E11/A8</f>
        <v>1.0025265285497726</v>
      </c>
      <c r="G11" s="41">
        <f t="shared" si="0"/>
        <v>4.1841004184100423E-3</v>
      </c>
      <c r="H11" s="8">
        <v>16800</v>
      </c>
      <c r="I11" s="84">
        <f t="shared" si="1"/>
        <v>70.292887029288707</v>
      </c>
      <c r="J11" s="124"/>
      <c r="K11" s="124"/>
    </row>
    <row r="12" spans="1:11" s="1" customFormat="1">
      <c r="A12" s="101"/>
      <c r="B12" s="6" t="s">
        <v>74</v>
      </c>
      <c r="C12" s="6" t="s">
        <v>17</v>
      </c>
      <c r="D12" s="6">
        <v>1</v>
      </c>
      <c r="E12" s="8">
        <f>248*8*(A8/1979)</f>
        <v>239.60384032339564</v>
      </c>
      <c r="F12" s="30">
        <f>E12/A8</f>
        <v>1.0025265285497726</v>
      </c>
      <c r="G12" s="41">
        <f t="shared" si="0"/>
        <v>4.1841004184100423E-3</v>
      </c>
      <c r="H12" s="8">
        <v>12200</v>
      </c>
      <c r="I12" s="84">
        <f t="shared" si="1"/>
        <v>51.046025104602514</v>
      </c>
      <c r="J12" s="124"/>
      <c r="K12" s="124"/>
    </row>
    <row r="13" spans="1:11" s="1" customFormat="1">
      <c r="A13" s="101"/>
      <c r="B13" s="6" t="s">
        <v>41</v>
      </c>
      <c r="C13" s="6" t="s">
        <v>17</v>
      </c>
      <c r="D13" s="6">
        <v>1</v>
      </c>
      <c r="E13" s="8">
        <f>248*8*(A8/1979)</f>
        <v>239.60384032339564</v>
      </c>
      <c r="F13" s="30">
        <f>E13/A8</f>
        <v>1.0025265285497726</v>
      </c>
      <c r="G13" s="41">
        <f t="shared" si="0"/>
        <v>4.1841004184100423E-3</v>
      </c>
      <c r="H13" s="8">
        <v>19960</v>
      </c>
      <c r="I13" s="84">
        <f t="shared" si="1"/>
        <v>83.51464435146444</v>
      </c>
      <c r="J13" s="124"/>
      <c r="K13" s="124"/>
    </row>
    <row r="14" spans="1:11" s="1" customFormat="1">
      <c r="A14" s="101"/>
      <c r="B14" s="6" t="s">
        <v>90</v>
      </c>
      <c r="C14" s="6" t="s">
        <v>17</v>
      </c>
      <c r="D14" s="6">
        <v>1</v>
      </c>
      <c r="E14" s="8">
        <f>248*8*(A8/1979)</f>
        <v>239.60384032339564</v>
      </c>
      <c r="F14" s="30">
        <f>E14/A8</f>
        <v>1.0025265285497726</v>
      </c>
      <c r="G14" s="41">
        <f t="shared" si="0"/>
        <v>4.1841004184100423E-3</v>
      </c>
      <c r="H14" s="8">
        <v>60000</v>
      </c>
      <c r="I14" s="84">
        <f t="shared" si="1"/>
        <v>251.04602510460253</v>
      </c>
      <c r="J14" s="124"/>
      <c r="K14" s="124"/>
    </row>
    <row r="15" spans="1:11" s="1" customFormat="1">
      <c r="A15" s="101"/>
      <c r="B15" s="37" t="s">
        <v>73</v>
      </c>
      <c r="C15" s="6" t="s">
        <v>17</v>
      </c>
      <c r="D15" s="6">
        <v>1</v>
      </c>
      <c r="E15" s="8">
        <f>248*8*(A8/1979)</f>
        <v>239.60384032339564</v>
      </c>
      <c r="F15" s="30">
        <f>E15/A8</f>
        <v>1.0025265285497726</v>
      </c>
      <c r="G15" s="41">
        <f t="shared" si="0"/>
        <v>4.1841004184100423E-3</v>
      </c>
      <c r="H15" s="8">
        <v>50400</v>
      </c>
      <c r="I15" s="84">
        <f t="shared" si="1"/>
        <v>210.87866108786613</v>
      </c>
      <c r="J15" s="124"/>
      <c r="K15" s="124"/>
    </row>
    <row r="16" spans="1:11" s="1" customFormat="1">
      <c r="A16" s="102"/>
      <c r="B16" s="6" t="s">
        <v>39</v>
      </c>
      <c r="C16" s="6" t="s">
        <v>17</v>
      </c>
      <c r="D16" s="6">
        <v>1</v>
      </c>
      <c r="E16" s="8">
        <f>248*8*(A8/1979)</f>
        <v>239.60384032339564</v>
      </c>
      <c r="F16" s="30">
        <f>E16/A8</f>
        <v>1.0025265285497726</v>
      </c>
      <c r="G16" s="41">
        <f t="shared" si="0"/>
        <v>4.1841004184100423E-3</v>
      </c>
      <c r="H16" s="8">
        <v>18919.009999999998</v>
      </c>
      <c r="I16" s="84">
        <f>H16*G16</f>
        <v>79.159037656903763</v>
      </c>
      <c r="J16" s="124"/>
      <c r="K16" s="124"/>
    </row>
    <row r="17" spans="1:11" s="1" customFormat="1" ht="13.7" customHeight="1">
      <c r="A17" s="102"/>
      <c r="B17" s="56" t="s">
        <v>99</v>
      </c>
      <c r="C17" s="6" t="s">
        <v>17</v>
      </c>
      <c r="D17" s="6">
        <v>1</v>
      </c>
      <c r="E17" s="8">
        <f>248*8*(A8/1979)</f>
        <v>239.60384032339564</v>
      </c>
      <c r="F17" s="30">
        <f>E17/A8</f>
        <v>1.0025265285497726</v>
      </c>
      <c r="G17" s="41">
        <f t="shared" si="0"/>
        <v>4.1841004184100423E-3</v>
      </c>
      <c r="H17" s="8">
        <v>22300</v>
      </c>
      <c r="I17" s="84">
        <f>H17*G17</f>
        <v>93.305439330543948</v>
      </c>
      <c r="J17" s="124"/>
      <c r="K17" s="124"/>
    </row>
    <row r="18" spans="1:11" s="1" customFormat="1" ht="15.75" thickBot="1">
      <c r="A18" s="103"/>
      <c r="B18" s="19"/>
      <c r="C18" s="19"/>
      <c r="D18" s="19"/>
      <c r="E18" s="19"/>
      <c r="F18" s="19"/>
      <c r="G18" s="22"/>
      <c r="H18" s="43"/>
      <c r="I18" s="81">
        <f>SUM(I7:I17)</f>
        <v>1935.5988702928873</v>
      </c>
      <c r="J18" s="125">
        <v>462608.13</v>
      </c>
      <c r="K18" s="125">
        <f>I18*A8</f>
        <v>462608.13000000006</v>
      </c>
    </row>
    <row r="19" spans="1:11">
      <c r="A19" s="100" t="s">
        <v>61</v>
      </c>
      <c r="B19" s="14" t="s">
        <v>36</v>
      </c>
      <c r="C19" s="14" t="s">
        <v>17</v>
      </c>
      <c r="D19" s="14">
        <v>1</v>
      </c>
      <c r="E19" s="16">
        <f>248*8*(A20/1979)</f>
        <v>192.48509348155633</v>
      </c>
      <c r="F19" s="29">
        <f>E19/A20</f>
        <v>1.0025265285497726</v>
      </c>
      <c r="G19" s="42">
        <f>D19/E19*F19</f>
        <v>5.2083333333333339E-3</v>
      </c>
      <c r="H19" s="15">
        <v>84831</v>
      </c>
      <c r="I19" s="82">
        <f>H19*G19</f>
        <v>441.82812500000006</v>
      </c>
      <c r="J19" s="124"/>
      <c r="K19" s="124"/>
    </row>
    <row r="20" spans="1:11" s="1" customFormat="1">
      <c r="A20" s="106">
        <f>ком.усл!A15</f>
        <v>192</v>
      </c>
      <c r="B20" s="6" t="s">
        <v>37</v>
      </c>
      <c r="C20" s="6" t="s">
        <v>17</v>
      </c>
      <c r="D20" s="6">
        <v>1</v>
      </c>
      <c r="E20" s="8">
        <f>248*8*(A20/1979)</f>
        <v>192.48509348155633</v>
      </c>
      <c r="F20" s="30">
        <f>E20/A20</f>
        <v>1.0025265285497726</v>
      </c>
      <c r="G20" s="41">
        <f>D20/E20*F20</f>
        <v>5.2083333333333339E-3</v>
      </c>
      <c r="H20" s="7">
        <v>18000</v>
      </c>
      <c r="I20" s="84">
        <f t="shared" ref="I20:I30" si="2">H20*G20</f>
        <v>93.750000000000014</v>
      </c>
      <c r="J20" s="124"/>
      <c r="K20" s="124"/>
    </row>
    <row r="21" spans="1:11" s="1" customFormat="1">
      <c r="A21" s="101"/>
      <c r="B21" s="6" t="s">
        <v>111</v>
      </c>
      <c r="C21" s="6" t="s">
        <v>17</v>
      </c>
      <c r="D21" s="6">
        <v>1</v>
      </c>
      <c r="E21" s="8">
        <f>248*8*(A20/1979)</f>
        <v>192.48509348155633</v>
      </c>
      <c r="F21" s="30">
        <f>E21/A20</f>
        <v>1.0025265285497726</v>
      </c>
      <c r="G21" s="41">
        <f>D21/E21*F21</f>
        <v>5.2083333333333339E-3</v>
      </c>
      <c r="H21" s="7">
        <v>12000</v>
      </c>
      <c r="I21" s="84">
        <f t="shared" si="2"/>
        <v>62.500000000000007</v>
      </c>
      <c r="J21" s="124"/>
      <c r="K21" s="124"/>
    </row>
    <row r="22" spans="1:11" s="1" customFormat="1">
      <c r="A22" s="101"/>
      <c r="B22" s="6" t="s">
        <v>38</v>
      </c>
      <c r="C22" s="6" t="s">
        <v>17</v>
      </c>
      <c r="D22" s="6">
        <v>1</v>
      </c>
      <c r="E22" s="8">
        <f>248*8*(A20/1979)</f>
        <v>192.48509348155633</v>
      </c>
      <c r="F22" s="30">
        <f>E22/A20</f>
        <v>1.0025265285497726</v>
      </c>
      <c r="G22" s="41">
        <f t="shared" ref="G22:G30" si="3">D22/E22*F22</f>
        <v>5.2083333333333339E-3</v>
      </c>
      <c r="H22" s="7">
        <f>5294.52+20982.72</f>
        <v>26277.24</v>
      </c>
      <c r="I22" s="84">
        <f t="shared" si="2"/>
        <v>136.86062500000003</v>
      </c>
      <c r="J22" s="124"/>
      <c r="K22" s="124"/>
    </row>
    <row r="23" spans="1:11" s="1" customFormat="1">
      <c r="A23" s="101"/>
      <c r="B23" s="6" t="s">
        <v>39</v>
      </c>
      <c r="C23" s="6" t="s">
        <v>17</v>
      </c>
      <c r="D23" s="6">
        <v>1</v>
      </c>
      <c r="E23" s="8">
        <f>248*8*(A20/1979)</f>
        <v>192.48509348155633</v>
      </c>
      <c r="F23" s="30">
        <f>E23/A20</f>
        <v>1.0025265285497726</v>
      </c>
      <c r="G23" s="41">
        <f t="shared" si="3"/>
        <v>5.2083333333333339E-3</v>
      </c>
      <c r="H23" s="8">
        <v>12346.2</v>
      </c>
      <c r="I23" s="84">
        <f t="shared" si="2"/>
        <v>64.303125000000009</v>
      </c>
      <c r="J23" s="124"/>
      <c r="K23" s="124"/>
    </row>
    <row r="24" spans="1:11" s="1" customFormat="1">
      <c r="A24" s="101"/>
      <c r="B24" s="6" t="s">
        <v>74</v>
      </c>
      <c r="C24" s="6" t="s">
        <v>17</v>
      </c>
      <c r="D24" s="6">
        <v>1</v>
      </c>
      <c r="E24" s="8">
        <f>248*8*(A20/1979)</f>
        <v>192.48509348155633</v>
      </c>
      <c r="F24" s="30">
        <f>E24/A20</f>
        <v>1.0025265285497726</v>
      </c>
      <c r="G24" s="41">
        <f t="shared" si="3"/>
        <v>5.2083333333333339E-3</v>
      </c>
      <c r="H24" s="8">
        <v>13000</v>
      </c>
      <c r="I24" s="84">
        <f t="shared" si="2"/>
        <v>67.708333333333343</v>
      </c>
      <c r="J24" s="124"/>
      <c r="K24" s="124"/>
    </row>
    <row r="25" spans="1:11" s="1" customFormat="1">
      <c r="A25" s="101"/>
      <c r="B25" s="6" t="s">
        <v>41</v>
      </c>
      <c r="C25" s="6" t="s">
        <v>17</v>
      </c>
      <c r="D25" s="6">
        <v>1</v>
      </c>
      <c r="E25" s="8">
        <f>248*8*(A20/1979)</f>
        <v>192.48509348155633</v>
      </c>
      <c r="F25" s="30">
        <f>E25/A20</f>
        <v>1.0025265285497726</v>
      </c>
      <c r="G25" s="41">
        <f t="shared" si="3"/>
        <v>5.2083333333333339E-3</v>
      </c>
      <c r="H25" s="8">
        <v>8490</v>
      </c>
      <c r="I25" s="84">
        <f t="shared" si="2"/>
        <v>44.218750000000007</v>
      </c>
      <c r="J25" s="124"/>
      <c r="K25" s="124"/>
    </row>
    <row r="26" spans="1:11" s="1" customFormat="1">
      <c r="A26" s="101"/>
      <c r="B26" s="6" t="s">
        <v>90</v>
      </c>
      <c r="C26" s="6" t="s">
        <v>17</v>
      </c>
      <c r="D26" s="6">
        <v>1</v>
      </c>
      <c r="E26" s="8">
        <f>248*8*(A20/1979)</f>
        <v>192.48509348155633</v>
      </c>
      <c r="F26" s="30">
        <f>E26/A20</f>
        <v>1.0025265285497726</v>
      </c>
      <c r="G26" s="41">
        <f t="shared" si="3"/>
        <v>5.2083333333333339E-3</v>
      </c>
      <c r="H26" s="8">
        <v>30000</v>
      </c>
      <c r="I26" s="84">
        <f t="shared" si="2"/>
        <v>156.25000000000003</v>
      </c>
      <c r="J26" s="124"/>
      <c r="K26" s="124"/>
    </row>
    <row r="27" spans="1:11" s="1" customFormat="1">
      <c r="A27" s="101"/>
      <c r="B27" s="37" t="s">
        <v>73</v>
      </c>
      <c r="C27" s="6" t="s">
        <v>17</v>
      </c>
      <c r="D27" s="6">
        <v>1</v>
      </c>
      <c r="E27" s="8">
        <f>248*8*(A20/1979)</f>
        <v>192.48509348155633</v>
      </c>
      <c r="F27" s="30">
        <f>E27/A20</f>
        <v>1.0025265285497726</v>
      </c>
      <c r="G27" s="41">
        <f t="shared" si="3"/>
        <v>5.2083333333333339E-3</v>
      </c>
      <c r="H27" s="8">
        <v>25200</v>
      </c>
      <c r="I27" s="84">
        <f t="shared" si="2"/>
        <v>131.25000000000003</v>
      </c>
      <c r="J27" s="124"/>
      <c r="K27" s="124"/>
    </row>
    <row r="28" spans="1:11" s="1" customFormat="1">
      <c r="A28" s="102"/>
      <c r="B28" s="56" t="s">
        <v>99</v>
      </c>
      <c r="C28" s="6" t="s">
        <v>17</v>
      </c>
      <c r="D28" s="6">
        <v>1</v>
      </c>
      <c r="E28" s="8">
        <f>248*8*(A20/1979)</f>
        <v>192.48509348155633</v>
      </c>
      <c r="F28" s="30">
        <f>E28/A20</f>
        <v>1.0025265285497726</v>
      </c>
      <c r="G28" s="41">
        <f>D28/E28*F28</f>
        <v>5.2083333333333339E-3</v>
      </c>
      <c r="H28" s="8">
        <v>3000</v>
      </c>
      <c r="I28" s="84">
        <f t="shared" si="2"/>
        <v>15.625000000000002</v>
      </c>
      <c r="J28" s="124"/>
      <c r="K28" s="124"/>
    </row>
    <row r="29" spans="1:11" s="1" customFormat="1">
      <c r="A29" s="102"/>
      <c r="B29" s="56" t="s">
        <v>113</v>
      </c>
      <c r="C29" s="6" t="s">
        <v>17</v>
      </c>
      <c r="D29" s="6">
        <v>1</v>
      </c>
      <c r="E29" s="8">
        <f>248*8*(A20/1979)</f>
        <v>192.48509348155633</v>
      </c>
      <c r="F29" s="30">
        <f>E29/A20</f>
        <v>1.0025265285497726</v>
      </c>
      <c r="G29" s="41">
        <f>D29/E29*F29</f>
        <v>5.2083333333333339E-3</v>
      </c>
      <c r="H29" s="8">
        <f>24000+1100+10080+1250+1850</f>
        <v>38280</v>
      </c>
      <c r="I29" s="84">
        <f>H29*G29</f>
        <v>199.37500000000003</v>
      </c>
      <c r="J29" s="124"/>
      <c r="K29" s="124"/>
    </row>
    <row r="30" spans="1:11" s="1" customFormat="1" ht="13.7" customHeight="1">
      <c r="A30" s="102"/>
      <c r="B30" s="6" t="s">
        <v>112</v>
      </c>
      <c r="C30" s="6" t="s">
        <v>17</v>
      </c>
      <c r="D30" s="6">
        <v>1</v>
      </c>
      <c r="E30" s="8">
        <f>248*8*(A20/1979)</f>
        <v>192.48509348155633</v>
      </c>
      <c r="F30" s="30">
        <f>E30/A20</f>
        <v>1.0025265285497726</v>
      </c>
      <c r="G30" s="41">
        <f t="shared" si="3"/>
        <v>5.2083333333333339E-3</v>
      </c>
      <c r="H30" s="8">
        <f>71339</f>
        <v>71339</v>
      </c>
      <c r="I30" s="84">
        <f t="shared" si="2"/>
        <v>371.55729166666669</v>
      </c>
      <c r="J30" s="124"/>
      <c r="K30" s="124"/>
    </row>
    <row r="31" spans="1:11" s="1" customFormat="1" ht="15.75" thickBot="1">
      <c r="A31" s="103"/>
      <c r="B31" s="19"/>
      <c r="C31" s="19"/>
      <c r="D31" s="19"/>
      <c r="E31" s="19"/>
      <c r="F31" s="19"/>
      <c r="G31" s="22"/>
      <c r="H31" s="43"/>
      <c r="I31" s="81">
        <f>SUM(I19:I30)</f>
        <v>1785.2262500000004</v>
      </c>
      <c r="J31" s="125">
        <v>342763.44</v>
      </c>
      <c r="K31" s="125">
        <f>I31*A20</f>
        <v>342763.44000000006</v>
      </c>
    </row>
    <row r="32" spans="1:11">
      <c r="A32" s="100" t="s">
        <v>62</v>
      </c>
      <c r="B32" s="14" t="s">
        <v>36</v>
      </c>
      <c r="C32" s="14" t="s">
        <v>17</v>
      </c>
      <c r="D32" s="14">
        <v>1</v>
      </c>
      <c r="E32" s="16">
        <f>248*8*(A33/1979)</f>
        <v>214.54067710965134</v>
      </c>
      <c r="F32" s="29">
        <f>E32/A33</f>
        <v>1.0025265285497726</v>
      </c>
      <c r="G32" s="42">
        <f>D32/E32*F32</f>
        <v>4.6728971962616819E-3</v>
      </c>
      <c r="H32" s="15">
        <v>84831</v>
      </c>
      <c r="I32" s="82">
        <f>H32*G32</f>
        <v>396.40654205607473</v>
      </c>
      <c r="J32" s="124"/>
      <c r="K32" s="124"/>
    </row>
    <row r="33" spans="1:11" s="1" customFormat="1">
      <c r="A33" s="106">
        <f>ком.усл!A20</f>
        <v>214</v>
      </c>
      <c r="B33" s="6" t="s">
        <v>37</v>
      </c>
      <c r="C33" s="6" t="s">
        <v>17</v>
      </c>
      <c r="D33" s="6">
        <v>1</v>
      </c>
      <c r="E33" s="8">
        <f>248*8*(A33/1979)</f>
        <v>214.54067710965134</v>
      </c>
      <c r="F33" s="30">
        <f>E33/A33</f>
        <v>1.0025265285497726</v>
      </c>
      <c r="G33" s="41">
        <f>D33/E33*F33</f>
        <v>4.6728971962616819E-3</v>
      </c>
      <c r="H33" s="7">
        <v>36000</v>
      </c>
      <c r="I33" s="84">
        <f t="shared" ref="I33:I43" si="4">H33*G33</f>
        <v>168.22429906542055</v>
      </c>
      <c r="J33" s="124"/>
      <c r="K33" s="124"/>
    </row>
    <row r="34" spans="1:11" s="1" customFormat="1">
      <c r="A34" s="101"/>
      <c r="B34" s="6" t="s">
        <v>90</v>
      </c>
      <c r="C34" s="6" t="s">
        <v>17</v>
      </c>
      <c r="D34" s="6">
        <v>1</v>
      </c>
      <c r="E34" s="8">
        <f>248*8*(A33/1979)</f>
        <v>214.54067710965134</v>
      </c>
      <c r="F34" s="30">
        <f>E34/A33</f>
        <v>1.0025265285497726</v>
      </c>
      <c r="G34" s="41">
        <f>D34/E34*F34</f>
        <v>4.6728971962616819E-3</v>
      </c>
      <c r="H34" s="7">
        <v>60000</v>
      </c>
      <c r="I34" s="84">
        <f t="shared" si="4"/>
        <v>280.37383177570092</v>
      </c>
      <c r="J34" s="124"/>
      <c r="K34" s="124"/>
    </row>
    <row r="35" spans="1:11" s="1" customFormat="1">
      <c r="A35" s="101"/>
      <c r="B35" s="6" t="s">
        <v>38</v>
      </c>
      <c r="C35" s="6" t="s">
        <v>17</v>
      </c>
      <c r="D35" s="6">
        <v>1</v>
      </c>
      <c r="E35" s="8">
        <f>248*8*(A33/1979)</f>
        <v>214.54067710965134</v>
      </c>
      <c r="F35" s="30">
        <f>E35/A33</f>
        <v>1.0025265285497726</v>
      </c>
      <c r="G35" s="41">
        <f t="shared" ref="G35:G43" si="5">D35/E35*F35</f>
        <v>4.6728971962616819E-3</v>
      </c>
      <c r="H35" s="7">
        <v>41965.440000000002</v>
      </c>
      <c r="I35" s="84">
        <f t="shared" si="4"/>
        <v>196.10018691588786</v>
      </c>
      <c r="J35" s="124"/>
      <c r="K35" s="124"/>
    </row>
    <row r="36" spans="1:11" s="1" customFormat="1">
      <c r="A36" s="101"/>
      <c r="B36" s="6" t="s">
        <v>111</v>
      </c>
      <c r="C36" s="6" t="s">
        <v>17</v>
      </c>
      <c r="D36" s="6">
        <v>1</v>
      </c>
      <c r="E36" s="8">
        <f>248*8*(A33/1979)</f>
        <v>214.54067710965134</v>
      </c>
      <c r="F36" s="30">
        <f>E36/A33</f>
        <v>1.0025265285497726</v>
      </c>
      <c r="G36" s="41">
        <f t="shared" ref="G36" si="6">D36/E36*F36</f>
        <v>4.6728971962616819E-3</v>
      </c>
      <c r="H36" s="7">
        <v>16800</v>
      </c>
      <c r="I36" s="84">
        <f t="shared" ref="I36" si="7">H36*G36</f>
        <v>78.504672897196258</v>
      </c>
      <c r="J36" s="124"/>
      <c r="K36" s="124"/>
    </row>
    <row r="37" spans="1:11" s="1" customFormat="1">
      <c r="A37" s="101"/>
      <c r="B37" s="6" t="s">
        <v>74</v>
      </c>
      <c r="C37" s="6" t="s">
        <v>17</v>
      </c>
      <c r="D37" s="6">
        <v>1</v>
      </c>
      <c r="E37" s="8">
        <f>248*8*(A33/1979)</f>
        <v>214.54067710965134</v>
      </c>
      <c r="F37" s="30">
        <f>E37/A33</f>
        <v>1.0025265285497726</v>
      </c>
      <c r="G37" s="41">
        <f t="shared" si="5"/>
        <v>4.6728971962616819E-3</v>
      </c>
      <c r="H37" s="8">
        <v>20000</v>
      </c>
      <c r="I37" s="84">
        <f t="shared" si="4"/>
        <v>93.457943925233636</v>
      </c>
      <c r="J37" s="124"/>
      <c r="K37" s="124"/>
    </row>
    <row r="38" spans="1:11" s="1" customFormat="1">
      <c r="A38" s="101"/>
      <c r="B38" s="6" t="s">
        <v>39</v>
      </c>
      <c r="C38" s="6" t="s">
        <v>17</v>
      </c>
      <c r="D38" s="6">
        <v>1</v>
      </c>
      <c r="E38" s="8">
        <f>248*8*(A33/1979)</f>
        <v>214.54067710965134</v>
      </c>
      <c r="F38" s="30">
        <f>E38/A33</f>
        <v>1.0025265285497726</v>
      </c>
      <c r="G38" s="41">
        <f t="shared" si="5"/>
        <v>4.6728971962616819E-3</v>
      </c>
      <c r="H38" s="8">
        <v>9640.7999999999993</v>
      </c>
      <c r="I38" s="84">
        <f t="shared" si="4"/>
        <v>45.05046728971962</v>
      </c>
      <c r="J38" s="124"/>
      <c r="K38" s="124"/>
    </row>
    <row r="39" spans="1:11" s="1" customFormat="1">
      <c r="A39" s="101"/>
      <c r="B39" s="6" t="s">
        <v>41</v>
      </c>
      <c r="C39" s="6" t="s">
        <v>17</v>
      </c>
      <c r="D39" s="6">
        <v>1</v>
      </c>
      <c r="E39" s="8">
        <f>248*8*(A33/1979)</f>
        <v>214.54067710965134</v>
      </c>
      <c r="F39" s="30">
        <f>E39/A33</f>
        <v>1.0025265285497726</v>
      </c>
      <c r="G39" s="41">
        <f t="shared" si="5"/>
        <v>4.6728971962616819E-3</v>
      </c>
      <c r="H39" s="8">
        <v>19960</v>
      </c>
      <c r="I39" s="84">
        <f t="shared" si="4"/>
        <v>93.271028037383175</v>
      </c>
      <c r="J39" s="124"/>
      <c r="K39" s="124"/>
    </row>
    <row r="40" spans="1:11" s="1" customFormat="1">
      <c r="A40" s="101"/>
      <c r="B40" s="56" t="s">
        <v>99</v>
      </c>
      <c r="C40" s="6" t="s">
        <v>17</v>
      </c>
      <c r="D40" s="6">
        <v>1</v>
      </c>
      <c r="E40" s="8">
        <f>248*8*(A33/1979)</f>
        <v>214.54067710965134</v>
      </c>
      <c r="F40" s="30">
        <f>E40/A33</f>
        <v>1.0025265285497726</v>
      </c>
      <c r="G40" s="41">
        <f t="shared" si="5"/>
        <v>4.6728971962616819E-3</v>
      </c>
      <c r="H40" s="8">
        <v>20940</v>
      </c>
      <c r="I40" s="84">
        <f t="shared" si="4"/>
        <v>97.850467289719617</v>
      </c>
      <c r="J40" s="124"/>
      <c r="K40" s="124"/>
    </row>
    <row r="41" spans="1:11" s="1" customFormat="1">
      <c r="A41" s="101"/>
      <c r="B41" s="37" t="s">
        <v>73</v>
      </c>
      <c r="C41" s="6" t="s">
        <v>17</v>
      </c>
      <c r="D41" s="6">
        <v>1</v>
      </c>
      <c r="E41" s="8">
        <f>248*8*(A33/1979)</f>
        <v>214.54067710965134</v>
      </c>
      <c r="F41" s="30">
        <f>E41/A33</f>
        <v>1.0025265285497726</v>
      </c>
      <c r="G41" s="41">
        <f t="shared" si="5"/>
        <v>4.6728971962616819E-3</v>
      </c>
      <c r="H41" s="8">
        <v>25200</v>
      </c>
      <c r="I41" s="84">
        <f t="shared" si="4"/>
        <v>117.75700934579439</v>
      </c>
      <c r="J41" s="124"/>
      <c r="K41" s="124"/>
    </row>
    <row r="42" spans="1:11" s="1" customFormat="1">
      <c r="A42" s="102"/>
      <c r="B42" s="6" t="s">
        <v>40</v>
      </c>
      <c r="C42" s="6" t="s">
        <v>17</v>
      </c>
      <c r="D42" s="6">
        <v>1</v>
      </c>
      <c r="E42" s="8">
        <f>248*8*(A33/1979)</f>
        <v>214.54067710965134</v>
      </c>
      <c r="F42" s="30">
        <f>E42/A33</f>
        <v>1.0025265285497726</v>
      </c>
      <c r="G42" s="41">
        <f t="shared" si="5"/>
        <v>4.6728971962616819E-3</v>
      </c>
      <c r="H42" s="8">
        <v>12000</v>
      </c>
      <c r="I42" s="84">
        <f t="shared" si="4"/>
        <v>56.074766355140184</v>
      </c>
      <c r="J42" s="124"/>
      <c r="K42" s="124"/>
    </row>
    <row r="43" spans="1:11" s="1" customFormat="1" ht="13.7" customHeight="1">
      <c r="A43" s="102"/>
      <c r="B43" s="6" t="s">
        <v>113</v>
      </c>
      <c r="C43" s="6" t="s">
        <v>17</v>
      </c>
      <c r="D43" s="6">
        <v>1</v>
      </c>
      <c r="E43" s="8">
        <f>248*8*(A33/1979)</f>
        <v>214.54067710965134</v>
      </c>
      <c r="F43" s="30">
        <f>E43/A33</f>
        <v>1.0025265285497726</v>
      </c>
      <c r="G43" s="41">
        <f t="shared" si="5"/>
        <v>4.6728971962616819E-3</v>
      </c>
      <c r="H43" s="8">
        <f>8096+15200+720+1800+3000</f>
        <v>28816</v>
      </c>
      <c r="I43" s="84">
        <f t="shared" si="4"/>
        <v>134.65420560747663</v>
      </c>
      <c r="J43" s="124"/>
      <c r="K43" s="124"/>
    </row>
    <row r="44" spans="1:11" s="1" customFormat="1" ht="15.75" thickBot="1">
      <c r="A44" s="103"/>
      <c r="B44" s="19"/>
      <c r="C44" s="19"/>
      <c r="D44" s="19"/>
      <c r="E44" s="19"/>
      <c r="F44" s="19"/>
      <c r="G44" s="22"/>
      <c r="H44" s="43"/>
      <c r="I44" s="81">
        <f>SUM(I32:I43)</f>
        <v>1757.7254205607471</v>
      </c>
      <c r="J44" s="125">
        <v>376153.24</v>
      </c>
      <c r="K44" s="125">
        <f>I44*A33</f>
        <v>376153.23999999987</v>
      </c>
    </row>
    <row r="45" spans="1:11">
      <c r="A45" s="100" t="s">
        <v>63</v>
      </c>
      <c r="B45" s="14" t="s">
        <v>36</v>
      </c>
      <c r="C45" s="14" t="s">
        <v>17</v>
      </c>
      <c r="D45" s="14">
        <v>1</v>
      </c>
      <c r="E45" s="16">
        <f>248*8*(A46/1979)</f>
        <v>152.38403233956544</v>
      </c>
      <c r="F45" s="29">
        <f>E45/A46</f>
        <v>1.0025265285497726</v>
      </c>
      <c r="G45" s="42">
        <f>D45/E45*F45</f>
        <v>6.5789473684210523E-3</v>
      </c>
      <c r="H45" s="15">
        <v>42415</v>
      </c>
      <c r="I45" s="82">
        <f>H45*G45</f>
        <v>279.04605263157896</v>
      </c>
      <c r="J45" s="124"/>
      <c r="K45" s="124"/>
    </row>
    <row r="46" spans="1:11" s="1" customFormat="1">
      <c r="A46" s="106">
        <f>ком.усл!A25</f>
        <v>152</v>
      </c>
      <c r="B46" s="6" t="s">
        <v>37</v>
      </c>
      <c r="C46" s="6" t="s">
        <v>17</v>
      </c>
      <c r="D46" s="6">
        <v>1</v>
      </c>
      <c r="E46" s="8">
        <f>248*8*(A46/1979)</f>
        <v>152.38403233956544</v>
      </c>
      <c r="F46" s="30">
        <f>E46/A46</f>
        <v>1.0025265285497726</v>
      </c>
      <c r="G46" s="41">
        <f>D46/E46*F46</f>
        <v>6.5789473684210523E-3</v>
      </c>
      <c r="H46" s="7">
        <v>21600</v>
      </c>
      <c r="I46" s="84">
        <f t="shared" ref="I46:I55" si="8">H46*G46</f>
        <v>142.10526315789474</v>
      </c>
      <c r="J46" s="124"/>
      <c r="K46" s="124"/>
    </row>
    <row r="47" spans="1:11" s="1" customFormat="1">
      <c r="A47" s="101"/>
      <c r="B47" s="6" t="s">
        <v>90</v>
      </c>
      <c r="C47" s="6" t="s">
        <v>17</v>
      </c>
      <c r="D47" s="6">
        <v>1</v>
      </c>
      <c r="E47" s="8">
        <f>248*8*(A46/1979)</f>
        <v>152.38403233956544</v>
      </c>
      <c r="F47" s="30">
        <f>E47/A46</f>
        <v>1.0025265285497726</v>
      </c>
      <c r="G47" s="41">
        <f>D47/E47*F47</f>
        <v>6.5789473684210523E-3</v>
      </c>
      <c r="H47" s="7">
        <v>30000</v>
      </c>
      <c r="I47" s="84">
        <f t="shared" si="8"/>
        <v>197.36842105263156</v>
      </c>
      <c r="J47" s="124"/>
      <c r="K47" s="124"/>
    </row>
    <row r="48" spans="1:11" s="1" customFormat="1">
      <c r="A48" s="101"/>
      <c r="B48" s="6" t="s">
        <v>38</v>
      </c>
      <c r="C48" s="6" t="s">
        <v>17</v>
      </c>
      <c r="D48" s="6">
        <v>1</v>
      </c>
      <c r="E48" s="8">
        <f>248*8*(A46/1979)</f>
        <v>152.38403233956544</v>
      </c>
      <c r="F48" s="30">
        <f>E48/A46</f>
        <v>1.0025265285497726</v>
      </c>
      <c r="G48" s="41">
        <f t="shared" ref="G48:G55" si="9">D48/E48*F48</f>
        <v>6.5789473684210523E-3</v>
      </c>
      <c r="H48" s="7">
        <f>6000+20982.72</f>
        <v>26982.720000000001</v>
      </c>
      <c r="I48" s="84">
        <f t="shared" si="8"/>
        <v>177.51789473684209</v>
      </c>
      <c r="J48" s="124"/>
      <c r="K48" s="124"/>
    </row>
    <row r="49" spans="1:11" s="1" customFormat="1">
      <c r="A49" s="101"/>
      <c r="B49" s="6" t="s">
        <v>39</v>
      </c>
      <c r="C49" s="6" t="s">
        <v>17</v>
      </c>
      <c r="D49" s="6">
        <v>1</v>
      </c>
      <c r="E49" s="8">
        <f>248*8*(A46/1979)</f>
        <v>152.38403233956544</v>
      </c>
      <c r="F49" s="30">
        <f>E49/A46</f>
        <v>1.0025265285497726</v>
      </c>
      <c r="G49" s="41">
        <f t="shared" si="9"/>
        <v>6.5789473684210523E-3</v>
      </c>
      <c r="H49" s="8">
        <v>9428.2900000000009</v>
      </c>
      <c r="I49" s="84">
        <f t="shared" si="8"/>
        <v>62.028223684210531</v>
      </c>
      <c r="J49" s="124"/>
      <c r="K49" s="124"/>
    </row>
    <row r="50" spans="1:11" s="1" customFormat="1">
      <c r="A50" s="101"/>
      <c r="B50" s="6" t="s">
        <v>74</v>
      </c>
      <c r="C50" s="6" t="s">
        <v>17</v>
      </c>
      <c r="D50" s="6">
        <v>1</v>
      </c>
      <c r="E50" s="8">
        <f>248*8*(A46/1979)</f>
        <v>152.38403233956544</v>
      </c>
      <c r="F50" s="30">
        <f>E50/A46</f>
        <v>1.0025265285497726</v>
      </c>
      <c r="G50" s="41">
        <f t="shared" si="9"/>
        <v>6.5789473684210523E-3</v>
      </c>
      <c r="H50" s="8">
        <v>13000</v>
      </c>
      <c r="I50" s="84">
        <f t="shared" si="8"/>
        <v>85.526315789473685</v>
      </c>
      <c r="J50" s="124"/>
      <c r="K50" s="124"/>
    </row>
    <row r="51" spans="1:11" s="1" customFormat="1">
      <c r="A51" s="101"/>
      <c r="B51" s="6" t="s">
        <v>41</v>
      </c>
      <c r="C51" s="6" t="s">
        <v>17</v>
      </c>
      <c r="D51" s="6">
        <v>1</v>
      </c>
      <c r="E51" s="8">
        <f>248*8*(A46/1979)</f>
        <v>152.38403233956544</v>
      </c>
      <c r="F51" s="30">
        <f>E51/A46</f>
        <v>1.0025265285497726</v>
      </c>
      <c r="G51" s="41">
        <f t="shared" si="9"/>
        <v>6.5789473684210523E-3</v>
      </c>
      <c r="H51" s="8">
        <v>12460</v>
      </c>
      <c r="I51" s="84">
        <f t="shared" si="8"/>
        <v>81.973684210526315</v>
      </c>
      <c r="J51" s="124"/>
      <c r="K51" s="124"/>
    </row>
    <row r="52" spans="1:11" s="1" customFormat="1">
      <c r="A52" s="101"/>
      <c r="B52" s="6" t="s">
        <v>111</v>
      </c>
      <c r="C52" s="6" t="s">
        <v>17</v>
      </c>
      <c r="D52" s="6">
        <v>1</v>
      </c>
      <c r="E52" s="8">
        <f>248*8*(A46/1979)</f>
        <v>152.38403233956544</v>
      </c>
      <c r="F52" s="30">
        <f>E52/A46</f>
        <v>1.0025265285497726</v>
      </c>
      <c r="G52" s="41">
        <f t="shared" si="9"/>
        <v>6.5789473684210523E-3</v>
      </c>
      <c r="H52" s="8">
        <v>12000</v>
      </c>
      <c r="I52" s="84">
        <f t="shared" si="8"/>
        <v>78.94736842105263</v>
      </c>
      <c r="J52" s="124"/>
      <c r="K52" s="124"/>
    </row>
    <row r="53" spans="1:11" s="1" customFormat="1">
      <c r="A53" s="101"/>
      <c r="B53" s="37" t="s">
        <v>73</v>
      </c>
      <c r="C53" s="6" t="s">
        <v>17</v>
      </c>
      <c r="D53" s="6">
        <v>1</v>
      </c>
      <c r="E53" s="8">
        <f>248*8*(A46/1979)</f>
        <v>152.38403233956544</v>
      </c>
      <c r="F53" s="30">
        <f>E53/A46</f>
        <v>1.0025265285497726</v>
      </c>
      <c r="G53" s="41">
        <f t="shared" si="9"/>
        <v>6.5789473684210523E-3</v>
      </c>
      <c r="H53" s="8">
        <v>25200</v>
      </c>
      <c r="I53" s="84">
        <f t="shared" si="8"/>
        <v>165.78947368421052</v>
      </c>
      <c r="J53" s="124"/>
      <c r="K53" s="124"/>
    </row>
    <row r="54" spans="1:11" s="1" customFormat="1">
      <c r="A54" s="102"/>
      <c r="B54" s="6" t="s">
        <v>40</v>
      </c>
      <c r="C54" s="6" t="s">
        <v>17</v>
      </c>
      <c r="D54" s="6">
        <v>1</v>
      </c>
      <c r="E54" s="8">
        <f>248*8*(A46/1979)</f>
        <v>152.38403233956544</v>
      </c>
      <c r="F54" s="30">
        <f>E54/A46</f>
        <v>1.0025265285497726</v>
      </c>
      <c r="G54" s="41">
        <f t="shared" si="9"/>
        <v>6.5789473684210523E-3</v>
      </c>
      <c r="H54" s="8">
        <v>12000</v>
      </c>
      <c r="I54" s="84">
        <f t="shared" si="8"/>
        <v>78.94736842105263</v>
      </c>
      <c r="J54" s="124"/>
      <c r="K54" s="124"/>
    </row>
    <row r="55" spans="1:11" s="1" customFormat="1" ht="13.7" customHeight="1">
      <c r="A55" s="102"/>
      <c r="B55" s="6" t="s">
        <v>108</v>
      </c>
      <c r="C55" s="6" t="s">
        <v>17</v>
      </c>
      <c r="D55" s="6">
        <v>1</v>
      </c>
      <c r="E55" s="8">
        <f>248*8*(A46/1979)</f>
        <v>152.38403233956544</v>
      </c>
      <c r="F55" s="30">
        <f>E55/A46</f>
        <v>1.0025265285497726</v>
      </c>
      <c r="G55" s="41">
        <f t="shared" si="9"/>
        <v>6.5789473684210523E-3</v>
      </c>
      <c r="H55" s="8"/>
      <c r="I55" s="84">
        <f t="shared" si="8"/>
        <v>0</v>
      </c>
      <c r="J55" s="124"/>
      <c r="K55" s="124"/>
    </row>
    <row r="56" spans="1:11" s="1" customFormat="1" ht="15.75" thickBot="1">
      <c r="A56" s="103"/>
      <c r="B56" s="19"/>
      <c r="C56" s="19"/>
      <c r="D56" s="19"/>
      <c r="E56" s="19"/>
      <c r="F56" s="19"/>
      <c r="G56" s="22"/>
      <c r="H56" s="43"/>
      <c r="I56" s="81">
        <f>SUM(I45:I55)</f>
        <v>1349.2500657894736</v>
      </c>
      <c r="J56" s="125">
        <v>205086.01</v>
      </c>
      <c r="K56" s="125">
        <f>I56*A46</f>
        <v>205086.00999999998</v>
      </c>
    </row>
    <row r="57" spans="1:11">
      <c r="A57" s="100" t="s">
        <v>102</v>
      </c>
      <c r="B57" s="14" t="s">
        <v>36</v>
      </c>
      <c r="C57" s="14" t="s">
        <v>17</v>
      </c>
      <c r="D57" s="14">
        <v>1</v>
      </c>
      <c r="E57" s="16">
        <f>248*8*(A58/1979)</f>
        <v>35.088428499242042</v>
      </c>
      <c r="F57" s="29">
        <f>E57/A58</f>
        <v>1.0025265285497726</v>
      </c>
      <c r="G57" s="42">
        <f>D57/E57*F57</f>
        <v>2.8571428571428574E-2</v>
      </c>
      <c r="H57" s="15"/>
      <c r="I57" s="82">
        <f>H57*G57</f>
        <v>0</v>
      </c>
      <c r="J57" s="124"/>
      <c r="K57" s="124"/>
    </row>
    <row r="58" spans="1:11" s="1" customFormat="1">
      <c r="A58" s="106">
        <f>ком.усл!A30</f>
        <v>35</v>
      </c>
      <c r="B58" s="6" t="s">
        <v>37</v>
      </c>
      <c r="C58" s="6" t="s">
        <v>17</v>
      </c>
      <c r="D58" s="6">
        <v>1</v>
      </c>
      <c r="E58" s="8">
        <f>248*8*(A58/1979)</f>
        <v>35.088428499242042</v>
      </c>
      <c r="F58" s="30">
        <f>E58/A58</f>
        <v>1.0025265285497726</v>
      </c>
      <c r="G58" s="41">
        <f>D58/E58*F58</f>
        <v>2.8571428571428574E-2</v>
      </c>
      <c r="H58" s="7"/>
      <c r="I58" s="84">
        <f t="shared" ref="I58:I67" si="10">H58*G58</f>
        <v>0</v>
      </c>
      <c r="J58" s="124"/>
      <c r="K58" s="124"/>
    </row>
    <row r="59" spans="1:11" s="1" customFormat="1">
      <c r="A59" s="101"/>
      <c r="B59" s="6" t="s">
        <v>90</v>
      </c>
      <c r="C59" s="6" t="s">
        <v>17</v>
      </c>
      <c r="D59" s="6">
        <v>1</v>
      </c>
      <c r="E59" s="8">
        <f>248*8*(A58/1979)</f>
        <v>35.088428499242042</v>
      </c>
      <c r="F59" s="30">
        <f>E59/A58</f>
        <v>1.0025265285497726</v>
      </c>
      <c r="G59" s="41">
        <f>D59/E59*F59</f>
        <v>2.8571428571428574E-2</v>
      </c>
      <c r="H59" s="7"/>
      <c r="I59" s="84">
        <f t="shared" si="10"/>
        <v>0</v>
      </c>
      <c r="J59" s="124"/>
      <c r="K59" s="124"/>
    </row>
    <row r="60" spans="1:11" s="1" customFormat="1">
      <c r="A60" s="101"/>
      <c r="B60" s="6" t="s">
        <v>38</v>
      </c>
      <c r="C60" s="6" t="s">
        <v>17</v>
      </c>
      <c r="D60" s="6">
        <v>1</v>
      </c>
      <c r="E60" s="8">
        <f>248*8*(A58/1979)</f>
        <v>35.088428499242042</v>
      </c>
      <c r="F60" s="30">
        <f>E60/A58</f>
        <v>1.0025265285497726</v>
      </c>
      <c r="G60" s="41">
        <f t="shared" ref="G60:G67" si="11">D60/E60*F60</f>
        <v>2.8571428571428574E-2</v>
      </c>
      <c r="H60" s="7"/>
      <c r="I60" s="84">
        <f t="shared" si="10"/>
        <v>0</v>
      </c>
      <c r="J60" s="124"/>
      <c r="K60" s="124"/>
    </row>
    <row r="61" spans="1:11" s="1" customFormat="1">
      <c r="A61" s="101"/>
      <c r="B61" s="6" t="s">
        <v>39</v>
      </c>
      <c r="C61" s="6" t="s">
        <v>17</v>
      </c>
      <c r="D61" s="6">
        <v>1</v>
      </c>
      <c r="E61" s="8">
        <f>248*8*(A58/1979)</f>
        <v>35.088428499242042</v>
      </c>
      <c r="F61" s="30">
        <f>E61/A58</f>
        <v>1.0025265285497726</v>
      </c>
      <c r="G61" s="41">
        <f t="shared" si="11"/>
        <v>2.8571428571428574E-2</v>
      </c>
      <c r="H61" s="8"/>
      <c r="I61" s="84">
        <f t="shared" si="10"/>
        <v>0</v>
      </c>
      <c r="J61" s="124"/>
      <c r="K61" s="124"/>
    </row>
    <row r="62" spans="1:11" s="1" customFormat="1">
      <c r="A62" s="101"/>
      <c r="B62" s="6" t="s">
        <v>74</v>
      </c>
      <c r="C62" s="6" t="s">
        <v>17</v>
      </c>
      <c r="D62" s="6">
        <v>1</v>
      </c>
      <c r="E62" s="8">
        <f>248*8*(A58/1979)</f>
        <v>35.088428499242042</v>
      </c>
      <c r="F62" s="30">
        <f>E62/A58</f>
        <v>1.0025265285497726</v>
      </c>
      <c r="G62" s="41">
        <f t="shared" si="11"/>
        <v>2.8571428571428574E-2</v>
      </c>
      <c r="H62" s="8"/>
      <c r="I62" s="84">
        <f t="shared" si="10"/>
        <v>0</v>
      </c>
      <c r="J62" s="124"/>
      <c r="K62" s="124"/>
    </row>
    <row r="63" spans="1:11" s="1" customFormat="1">
      <c r="A63" s="101"/>
      <c r="B63" s="6" t="s">
        <v>41</v>
      </c>
      <c r="C63" s="6" t="s">
        <v>17</v>
      </c>
      <c r="D63" s="6">
        <v>1</v>
      </c>
      <c r="E63" s="8">
        <f>248*8*(A58/1979)</f>
        <v>35.088428499242042</v>
      </c>
      <c r="F63" s="30">
        <f>E63/A58</f>
        <v>1.0025265285497726</v>
      </c>
      <c r="G63" s="41">
        <f t="shared" si="11"/>
        <v>2.8571428571428574E-2</v>
      </c>
      <c r="H63" s="8"/>
      <c r="I63" s="84">
        <f t="shared" si="10"/>
        <v>0</v>
      </c>
      <c r="J63" s="124"/>
      <c r="K63" s="124"/>
    </row>
    <row r="64" spans="1:11" s="1" customFormat="1">
      <c r="A64" s="101"/>
      <c r="B64" s="6" t="s">
        <v>95</v>
      </c>
      <c r="C64" s="6" t="s">
        <v>17</v>
      </c>
      <c r="D64" s="6">
        <v>1</v>
      </c>
      <c r="E64" s="8">
        <f>248*8*(A58/1979)</f>
        <v>35.088428499242042</v>
      </c>
      <c r="F64" s="30">
        <f>E64/A58</f>
        <v>1.0025265285497726</v>
      </c>
      <c r="G64" s="41">
        <f t="shared" si="11"/>
        <v>2.8571428571428574E-2</v>
      </c>
      <c r="H64" s="8"/>
      <c r="I64" s="84">
        <f t="shared" si="10"/>
        <v>0</v>
      </c>
      <c r="J64" s="124"/>
      <c r="K64" s="124"/>
    </row>
    <row r="65" spans="1:11" s="1" customFormat="1">
      <c r="A65" s="101"/>
      <c r="B65" s="37" t="s">
        <v>73</v>
      </c>
      <c r="C65" s="6" t="s">
        <v>17</v>
      </c>
      <c r="D65" s="6">
        <v>1</v>
      </c>
      <c r="E65" s="8">
        <f>248*8*(A58/1979)</f>
        <v>35.088428499242042</v>
      </c>
      <c r="F65" s="30">
        <f>E65/A58</f>
        <v>1.0025265285497726</v>
      </c>
      <c r="G65" s="41">
        <f t="shared" si="11"/>
        <v>2.8571428571428574E-2</v>
      </c>
      <c r="H65" s="8"/>
      <c r="I65" s="84">
        <f t="shared" si="10"/>
        <v>0</v>
      </c>
      <c r="J65" s="124"/>
      <c r="K65" s="124"/>
    </row>
    <row r="66" spans="1:11" s="1" customFormat="1">
      <c r="A66" s="102"/>
      <c r="B66" s="56" t="s">
        <v>78</v>
      </c>
      <c r="C66" s="6" t="s">
        <v>17</v>
      </c>
      <c r="D66" s="6">
        <v>1</v>
      </c>
      <c r="E66" s="8">
        <f>248*8*(A58/1979)</f>
        <v>35.088428499242042</v>
      </c>
      <c r="F66" s="30">
        <f>E66/A58</f>
        <v>1.0025265285497726</v>
      </c>
      <c r="G66" s="41">
        <f t="shared" si="11"/>
        <v>2.8571428571428574E-2</v>
      </c>
      <c r="H66" s="8"/>
      <c r="I66" s="84">
        <f t="shared" si="10"/>
        <v>0</v>
      </c>
      <c r="J66" s="124"/>
      <c r="K66" s="124"/>
    </row>
    <row r="67" spans="1:11" s="1" customFormat="1" ht="13.7" customHeight="1">
      <c r="A67" s="102"/>
      <c r="B67" s="6" t="s">
        <v>100</v>
      </c>
      <c r="C67" s="6" t="s">
        <v>17</v>
      </c>
      <c r="D67" s="6">
        <v>1</v>
      </c>
      <c r="E67" s="8">
        <f>248*8*(A58/1979)</f>
        <v>35.088428499242042</v>
      </c>
      <c r="F67" s="30">
        <f>E67/A58</f>
        <v>1.0025265285497726</v>
      </c>
      <c r="G67" s="41">
        <f t="shared" si="11"/>
        <v>2.8571428571428574E-2</v>
      </c>
      <c r="H67" s="8"/>
      <c r="I67" s="84">
        <f t="shared" si="10"/>
        <v>0</v>
      </c>
      <c r="J67" s="124"/>
      <c r="K67" s="124"/>
    </row>
    <row r="68" spans="1:11" s="1" customFormat="1" ht="15.75" thickBot="1">
      <c r="A68" s="103"/>
      <c r="B68" s="19"/>
      <c r="C68" s="19"/>
      <c r="D68" s="19"/>
      <c r="E68" s="19"/>
      <c r="F68" s="19"/>
      <c r="G68" s="22"/>
      <c r="H68" s="43"/>
      <c r="I68" s="81">
        <f>SUM(I57:I67)</f>
        <v>0</v>
      </c>
      <c r="J68" s="125">
        <v>0</v>
      </c>
      <c r="K68" s="125">
        <f>I68*A58</f>
        <v>0</v>
      </c>
    </row>
    <row r="69" spans="1:11">
      <c r="A69" s="100" t="s">
        <v>64</v>
      </c>
      <c r="B69" s="14" t="s">
        <v>36</v>
      </c>
      <c r="C69" s="14" t="s">
        <v>17</v>
      </c>
      <c r="D69" s="14">
        <v>1</v>
      </c>
      <c r="E69" s="16">
        <f>248*8*(A70/1979)</f>
        <v>212.53562405255181</v>
      </c>
      <c r="F69" s="29">
        <f>E69/A70</f>
        <v>1.0025265285497726</v>
      </c>
      <c r="G69" s="42">
        <f>D69/E69*F69</f>
        <v>4.7169811320754715E-3</v>
      </c>
      <c r="H69" s="15">
        <v>84831.84</v>
      </c>
      <c r="I69" s="82">
        <f>H69*G69</f>
        <v>400.15018867924528</v>
      </c>
      <c r="J69" s="124"/>
      <c r="K69" s="124"/>
    </row>
    <row r="70" spans="1:11" s="1" customFormat="1">
      <c r="A70" s="106">
        <f>ком.усл!A35</f>
        <v>212</v>
      </c>
      <c r="B70" s="6" t="s">
        <v>37</v>
      </c>
      <c r="C70" s="6" t="s">
        <v>17</v>
      </c>
      <c r="D70" s="6">
        <v>1</v>
      </c>
      <c r="E70" s="8">
        <f>248*8*(A70/1979)</f>
        <v>212.53562405255181</v>
      </c>
      <c r="F70" s="30">
        <f>E70/A70</f>
        <v>1.0025265285497726</v>
      </c>
      <c r="G70" s="41">
        <f>D70/E70*F70</f>
        <v>4.7169811320754715E-3</v>
      </c>
      <c r="H70" s="7">
        <v>6000</v>
      </c>
      <c r="I70" s="84">
        <f t="shared" ref="I70:I81" si="12">H70*G70</f>
        <v>28.30188679245283</v>
      </c>
      <c r="J70" s="124"/>
      <c r="K70" s="124"/>
    </row>
    <row r="71" spans="1:11" s="1" customFormat="1">
      <c r="A71" s="101"/>
      <c r="B71" s="6" t="s">
        <v>40</v>
      </c>
      <c r="C71" s="6" t="s">
        <v>17</v>
      </c>
      <c r="D71" s="6">
        <v>1</v>
      </c>
      <c r="E71" s="8">
        <f>248*8*(A70/1979)</f>
        <v>212.53562405255181</v>
      </c>
      <c r="F71" s="30">
        <f>E71/A70</f>
        <v>1.0025265285497726</v>
      </c>
      <c r="G71" s="41">
        <f>D71/E71*F71</f>
        <v>4.7169811320754715E-3</v>
      </c>
      <c r="H71" s="7">
        <v>6000</v>
      </c>
      <c r="I71" s="84">
        <f t="shared" si="12"/>
        <v>28.30188679245283</v>
      </c>
      <c r="J71" s="124"/>
      <c r="K71" s="124"/>
    </row>
    <row r="72" spans="1:11" s="1" customFormat="1">
      <c r="A72" s="101"/>
      <c r="B72" s="6" t="s">
        <v>38</v>
      </c>
      <c r="C72" s="6" t="s">
        <v>17</v>
      </c>
      <c r="D72" s="6">
        <v>1</v>
      </c>
      <c r="E72" s="8">
        <f>248*8*(A70/1979)</f>
        <v>212.53562405255181</v>
      </c>
      <c r="F72" s="30">
        <f>E72/A70</f>
        <v>1.0025265285497726</v>
      </c>
      <c r="G72" s="41">
        <f t="shared" ref="G72:G81" si="13">D72/E72*F72</f>
        <v>4.7169811320754715E-3</v>
      </c>
      <c r="H72" s="7">
        <f>3600+20982.72</f>
        <v>24582.720000000001</v>
      </c>
      <c r="I72" s="84">
        <f t="shared" si="12"/>
        <v>115.95622641509433</v>
      </c>
      <c r="J72" s="124"/>
      <c r="K72" s="124"/>
    </row>
    <row r="73" spans="1:11" s="1" customFormat="1">
      <c r="A73" s="101"/>
      <c r="B73" s="6" t="s">
        <v>74</v>
      </c>
      <c r="C73" s="6" t="s">
        <v>17</v>
      </c>
      <c r="D73" s="6">
        <v>1</v>
      </c>
      <c r="E73" s="8">
        <f>248*8*(A70/1979)</f>
        <v>212.53562405255181</v>
      </c>
      <c r="F73" s="30">
        <f>E73/A70</f>
        <v>1.0025265285497726</v>
      </c>
      <c r="G73" s="41">
        <f t="shared" si="13"/>
        <v>4.7169811320754715E-3</v>
      </c>
      <c r="H73" s="8">
        <v>10000</v>
      </c>
      <c r="I73" s="84">
        <f t="shared" si="12"/>
        <v>47.169811320754718</v>
      </c>
      <c r="J73" s="124"/>
      <c r="K73" s="124"/>
    </row>
    <row r="74" spans="1:11" s="1" customFormat="1">
      <c r="A74" s="101"/>
      <c r="B74" s="6" t="s">
        <v>113</v>
      </c>
      <c r="C74" s="6" t="s">
        <v>17</v>
      </c>
      <c r="D74" s="6">
        <v>1</v>
      </c>
      <c r="E74" s="8">
        <f>248*8*(A70/1979)</f>
        <v>212.53562405255181</v>
      </c>
      <c r="F74" s="30">
        <f>E74/A70</f>
        <v>1.0025265285497726</v>
      </c>
      <c r="G74" s="41">
        <f t="shared" ref="G74" si="14">D74/E74*F74</f>
        <v>4.7169811320754715E-3</v>
      </c>
      <c r="H74" s="8">
        <f>16000+7500+2700</f>
        <v>26200</v>
      </c>
      <c r="I74" s="84">
        <f t="shared" ref="I74" si="15">H74*G74</f>
        <v>123.58490566037736</v>
      </c>
      <c r="J74" s="124"/>
      <c r="K74" s="124"/>
    </row>
    <row r="75" spans="1:11" s="1" customFormat="1">
      <c r="A75" s="101"/>
      <c r="B75" s="6" t="s">
        <v>111</v>
      </c>
      <c r="C75" s="6" t="s">
        <v>17</v>
      </c>
      <c r="D75" s="6">
        <v>1</v>
      </c>
      <c r="E75" s="8">
        <f>248*8*(A70/1979)</f>
        <v>212.53562405255181</v>
      </c>
      <c r="F75" s="30">
        <f>E75/A70</f>
        <v>1.0025265285497726</v>
      </c>
      <c r="G75" s="41">
        <f t="shared" si="13"/>
        <v>4.7169811320754715E-3</v>
      </c>
      <c r="H75" s="8">
        <v>12000</v>
      </c>
      <c r="I75" s="84">
        <f t="shared" si="12"/>
        <v>56.60377358490566</v>
      </c>
      <c r="J75" s="124"/>
      <c r="K75" s="124"/>
    </row>
    <row r="76" spans="1:11" s="1" customFormat="1">
      <c r="A76" s="101"/>
      <c r="B76" s="6" t="s">
        <v>39</v>
      </c>
      <c r="C76" s="6" t="s">
        <v>17</v>
      </c>
      <c r="D76" s="6">
        <v>1</v>
      </c>
      <c r="E76" s="8">
        <f>248*8*(A70/1979)</f>
        <v>212.53562405255181</v>
      </c>
      <c r="F76" s="30">
        <f>E76/A70</f>
        <v>1.0025265285497726</v>
      </c>
      <c r="G76" s="41">
        <f t="shared" si="13"/>
        <v>4.7169811320754715E-3</v>
      </c>
      <c r="H76" s="8">
        <v>12874.8</v>
      </c>
      <c r="I76" s="84">
        <f t="shared" si="12"/>
        <v>60.730188679245281</v>
      </c>
      <c r="J76" s="124"/>
      <c r="K76" s="124"/>
    </row>
    <row r="77" spans="1:11" s="1" customFormat="1">
      <c r="A77" s="101"/>
      <c r="B77" s="6" t="s">
        <v>90</v>
      </c>
      <c r="C77" s="6" t="s">
        <v>17</v>
      </c>
      <c r="D77" s="6">
        <v>1</v>
      </c>
      <c r="E77" s="8">
        <f>248*8*(A70/1979)</f>
        <v>212.53562405255181</v>
      </c>
      <c r="F77" s="30">
        <f>E77/A70</f>
        <v>1.0025265285497726</v>
      </c>
      <c r="G77" s="41">
        <f t="shared" si="13"/>
        <v>4.7169811320754715E-3</v>
      </c>
      <c r="H77" s="8">
        <v>30000</v>
      </c>
      <c r="I77" s="84">
        <f t="shared" si="12"/>
        <v>141.50943396226415</v>
      </c>
      <c r="J77" s="124"/>
      <c r="K77" s="124"/>
    </row>
    <row r="78" spans="1:11" s="1" customFormat="1">
      <c r="A78" s="101"/>
      <c r="B78" s="37" t="s">
        <v>73</v>
      </c>
      <c r="C78" s="6" t="s">
        <v>17</v>
      </c>
      <c r="D78" s="6">
        <v>1</v>
      </c>
      <c r="E78" s="8">
        <f>248*8*(A70/1979)</f>
        <v>212.53562405255181</v>
      </c>
      <c r="F78" s="30">
        <f>E78/A70</f>
        <v>1.0025265285497726</v>
      </c>
      <c r="G78" s="41">
        <f t="shared" si="13"/>
        <v>4.7169811320754715E-3</v>
      </c>
      <c r="H78" s="8">
        <v>25200</v>
      </c>
      <c r="I78" s="84">
        <f t="shared" si="12"/>
        <v>118.86792452830188</v>
      </c>
      <c r="J78" s="124"/>
      <c r="K78" s="124"/>
    </row>
    <row r="79" spans="1:11" s="1" customFormat="1">
      <c r="A79" s="102"/>
      <c r="B79" s="6" t="s">
        <v>41</v>
      </c>
      <c r="C79" s="6" t="s">
        <v>17</v>
      </c>
      <c r="D79" s="6">
        <v>1</v>
      </c>
      <c r="E79" s="8">
        <f>248*8*(A70/1979)</f>
        <v>212.53562405255181</v>
      </c>
      <c r="F79" s="30">
        <f>E79/A70</f>
        <v>1.0025265285497726</v>
      </c>
      <c r="G79" s="41">
        <f t="shared" si="13"/>
        <v>4.7169811320754715E-3</v>
      </c>
      <c r="H79" s="8">
        <v>15640</v>
      </c>
      <c r="I79" s="84">
        <f t="shared" si="12"/>
        <v>73.773584905660371</v>
      </c>
      <c r="J79" s="124"/>
      <c r="K79" s="124"/>
    </row>
    <row r="80" spans="1:11" s="1" customFormat="1">
      <c r="A80" s="102"/>
      <c r="B80" s="56" t="s">
        <v>110</v>
      </c>
      <c r="C80" s="6" t="s">
        <v>17</v>
      </c>
      <c r="D80" s="6">
        <v>1</v>
      </c>
      <c r="E80" s="8">
        <f>248*8*(A70/1979)</f>
        <v>212.53562405255181</v>
      </c>
      <c r="F80" s="30">
        <f>E80/A70</f>
        <v>1.0025265285497726</v>
      </c>
      <c r="G80" s="41">
        <f>D80/E80*F80</f>
        <v>4.7169811320754715E-3</v>
      </c>
      <c r="H80" s="8">
        <v>160000</v>
      </c>
      <c r="I80" s="84">
        <f>H80*G80</f>
        <v>754.71698113207549</v>
      </c>
      <c r="J80" s="124"/>
      <c r="K80" s="124"/>
    </row>
    <row r="81" spans="1:11" s="1" customFormat="1" ht="13.7" customHeight="1">
      <c r="A81" s="102"/>
      <c r="B81" s="56" t="s">
        <v>99</v>
      </c>
      <c r="C81" s="6" t="s">
        <v>17</v>
      </c>
      <c r="D81" s="6">
        <v>1</v>
      </c>
      <c r="E81" s="8">
        <f>248*8*(A70/1979)</f>
        <v>212.53562405255181</v>
      </c>
      <c r="F81" s="30">
        <f>E81/A70</f>
        <v>1.0025265285497726</v>
      </c>
      <c r="G81" s="41">
        <f t="shared" si="13"/>
        <v>4.7169811320754715E-3</v>
      </c>
      <c r="H81" s="8">
        <v>7840</v>
      </c>
      <c r="I81" s="84">
        <f t="shared" si="12"/>
        <v>36.981132075471699</v>
      </c>
      <c r="J81" s="124"/>
      <c r="K81" s="124"/>
    </row>
    <row r="82" spans="1:11" s="1" customFormat="1" ht="15.75" thickBot="1">
      <c r="A82" s="103"/>
      <c r="B82" s="19"/>
      <c r="C82" s="19"/>
      <c r="D82" s="19"/>
      <c r="E82" s="19"/>
      <c r="F82" s="19"/>
      <c r="G82" s="22"/>
      <c r="H82" s="43"/>
      <c r="I82" s="81">
        <f>SUM(I69:I81)</f>
        <v>1986.6479245283019</v>
      </c>
      <c r="J82" s="125">
        <v>421169.36</v>
      </c>
      <c r="K82" s="125">
        <f>I82*A70</f>
        <v>421169.36</v>
      </c>
    </row>
    <row r="83" spans="1:11">
      <c r="A83" s="100" t="s">
        <v>65</v>
      </c>
      <c r="B83" s="14" t="s">
        <v>36</v>
      </c>
      <c r="C83" s="14" t="s">
        <v>17</v>
      </c>
      <c r="D83" s="14">
        <v>1</v>
      </c>
      <c r="E83" s="16">
        <f>248*8*(A84/1979)</f>
        <v>252.63668519454271</v>
      </c>
      <c r="F83" s="29">
        <f>E83/A84</f>
        <v>1.0025265285497726</v>
      </c>
      <c r="G83" s="42">
        <f>D83/E83*F83</f>
        <v>3.968253968253968E-3</v>
      </c>
      <c r="H83" s="15">
        <v>84831.84</v>
      </c>
      <c r="I83" s="82">
        <f>H83*G83</f>
        <v>336.63428571428568</v>
      </c>
      <c r="J83" s="124"/>
      <c r="K83" s="124"/>
    </row>
    <row r="84" spans="1:11" s="1" customFormat="1">
      <c r="A84" s="106">
        <f>ком.усл!A40</f>
        <v>252</v>
      </c>
      <c r="B84" s="6" t="s">
        <v>37</v>
      </c>
      <c r="C84" s="6" t="s">
        <v>17</v>
      </c>
      <c r="D84" s="6">
        <v>1</v>
      </c>
      <c r="E84" s="8">
        <f>248*8*(A84/1979)</f>
        <v>252.63668519454271</v>
      </c>
      <c r="F84" s="30">
        <f>E84/A84</f>
        <v>1.0025265285497726</v>
      </c>
      <c r="G84" s="41">
        <f>D84/E84*F84</f>
        <v>3.968253968253968E-3</v>
      </c>
      <c r="H84" s="7">
        <v>18000</v>
      </c>
      <c r="I84" s="84">
        <f t="shared" ref="I84:I94" si="16">H84*G84</f>
        <v>71.428571428571431</v>
      </c>
      <c r="J84" s="124"/>
      <c r="K84" s="124"/>
    </row>
    <row r="85" spans="1:11" s="1" customFormat="1">
      <c r="A85" s="101"/>
      <c r="B85" s="6" t="s">
        <v>90</v>
      </c>
      <c r="C85" s="6" t="s">
        <v>17</v>
      </c>
      <c r="D85" s="6">
        <v>1</v>
      </c>
      <c r="E85" s="8">
        <f>248*8*(A84/1979)</f>
        <v>252.63668519454271</v>
      </c>
      <c r="F85" s="30">
        <f>E85/A84</f>
        <v>1.0025265285497726</v>
      </c>
      <c r="G85" s="41">
        <f>D85/E85*F85</f>
        <v>3.968253968253968E-3</v>
      </c>
      <c r="H85" s="7">
        <v>30000</v>
      </c>
      <c r="I85" s="84">
        <f t="shared" si="16"/>
        <v>119.04761904761904</v>
      </c>
      <c r="J85" s="124"/>
      <c r="K85" s="124"/>
    </row>
    <row r="86" spans="1:11" s="1" customFormat="1">
      <c r="A86" s="101"/>
      <c r="B86" s="6" t="s">
        <v>38</v>
      </c>
      <c r="C86" s="6" t="s">
        <v>17</v>
      </c>
      <c r="D86" s="6">
        <v>1</v>
      </c>
      <c r="E86" s="8">
        <f>248*8*(A84/1979)</f>
        <v>252.63668519454271</v>
      </c>
      <c r="F86" s="30">
        <f>E86/A84</f>
        <v>1.0025265285497726</v>
      </c>
      <c r="G86" s="41">
        <f t="shared" ref="G86:G94" si="17">D86/E86*F86</f>
        <v>3.968253968253968E-3</v>
      </c>
      <c r="H86" s="7">
        <v>20982.720000000001</v>
      </c>
      <c r="I86" s="84">
        <f t="shared" si="16"/>
        <v>83.264761904761912</v>
      </c>
      <c r="J86" s="124"/>
      <c r="K86" s="124"/>
    </row>
    <row r="87" spans="1:11" s="1" customFormat="1">
      <c r="A87" s="101"/>
      <c r="B87" s="6" t="s">
        <v>110</v>
      </c>
      <c r="C87" s="6" t="s">
        <v>17</v>
      </c>
      <c r="D87" s="6">
        <v>1</v>
      </c>
      <c r="E87" s="8">
        <f>248*8*(A84/1979)</f>
        <v>252.63668519454271</v>
      </c>
      <c r="F87" s="30">
        <f>E87/A84</f>
        <v>1.0025265285497726</v>
      </c>
      <c r="G87" s="41">
        <f t="shared" si="17"/>
        <v>3.968253968253968E-3</v>
      </c>
      <c r="H87" s="8">
        <v>72000</v>
      </c>
      <c r="I87" s="84">
        <f t="shared" si="16"/>
        <v>285.71428571428572</v>
      </c>
      <c r="J87" s="124"/>
      <c r="K87" s="124"/>
    </row>
    <row r="88" spans="1:11" s="1" customFormat="1">
      <c r="A88" s="101"/>
      <c r="B88" s="6" t="s">
        <v>74</v>
      </c>
      <c r="C88" s="6" t="s">
        <v>17</v>
      </c>
      <c r="D88" s="6">
        <v>1</v>
      </c>
      <c r="E88" s="8">
        <f>248*8*(A84/1979)</f>
        <v>252.63668519454271</v>
      </c>
      <c r="F88" s="30">
        <f>E88/A84</f>
        <v>1.0025265285497726</v>
      </c>
      <c r="G88" s="41">
        <f t="shared" si="17"/>
        <v>3.968253968253968E-3</v>
      </c>
      <c r="H88" s="8">
        <v>6500</v>
      </c>
      <c r="I88" s="84">
        <f t="shared" si="16"/>
        <v>25.793650793650791</v>
      </c>
      <c r="J88" s="124"/>
      <c r="K88" s="124"/>
    </row>
    <row r="89" spans="1:11" s="1" customFormat="1">
      <c r="A89" s="101"/>
      <c r="B89" s="6" t="s">
        <v>107</v>
      </c>
      <c r="C89" s="6" t="s">
        <v>17</v>
      </c>
      <c r="D89" s="6">
        <v>1</v>
      </c>
      <c r="E89" s="8">
        <f>248*8*(A84/1979)</f>
        <v>252.63668519454271</v>
      </c>
      <c r="F89" s="30">
        <f>E89/A84</f>
        <v>1.0025265285497726</v>
      </c>
      <c r="G89" s="41">
        <f t="shared" ref="G89" si="18">D89/E89*F89</f>
        <v>3.968253968253968E-3</v>
      </c>
      <c r="H89" s="8"/>
      <c r="I89" s="84">
        <f t="shared" ref="I89" si="19">H89*G89</f>
        <v>0</v>
      </c>
      <c r="J89" s="124"/>
      <c r="K89" s="124"/>
    </row>
    <row r="90" spans="1:11" s="1" customFormat="1">
      <c r="A90" s="101"/>
      <c r="B90" s="6" t="s">
        <v>41</v>
      </c>
      <c r="C90" s="6" t="s">
        <v>17</v>
      </c>
      <c r="D90" s="6">
        <v>1</v>
      </c>
      <c r="E90" s="8">
        <f>248*8*(A84/1979)</f>
        <v>252.63668519454271</v>
      </c>
      <c r="F90" s="30">
        <f>E90/A84</f>
        <v>1.0025265285497726</v>
      </c>
      <c r="G90" s="41">
        <f t="shared" si="17"/>
        <v>3.968253968253968E-3</v>
      </c>
      <c r="H90" s="8">
        <v>7400</v>
      </c>
      <c r="I90" s="84">
        <f t="shared" si="16"/>
        <v>29.365079365079364</v>
      </c>
      <c r="J90" s="124"/>
      <c r="K90" s="124"/>
    </row>
    <row r="91" spans="1:11" s="1" customFormat="1">
      <c r="A91" s="101"/>
      <c r="B91" s="6" t="s">
        <v>39</v>
      </c>
      <c r="C91" s="6" t="s">
        <v>17</v>
      </c>
      <c r="D91" s="6">
        <v>1</v>
      </c>
      <c r="E91" s="8">
        <f>248*8*(A84/1979)</f>
        <v>252.63668519454271</v>
      </c>
      <c r="F91" s="30">
        <f>E91/A84</f>
        <v>1.0025265285497726</v>
      </c>
      <c r="G91" s="41">
        <f t="shared" si="17"/>
        <v>3.968253968253968E-3</v>
      </c>
      <c r="H91" s="8">
        <v>11197.04</v>
      </c>
      <c r="I91" s="84">
        <f t="shared" si="16"/>
        <v>44.432698412698414</v>
      </c>
      <c r="J91" s="124"/>
      <c r="K91" s="124"/>
    </row>
    <row r="92" spans="1:11" s="1" customFormat="1">
      <c r="A92" s="101"/>
      <c r="B92" s="37" t="s">
        <v>73</v>
      </c>
      <c r="C92" s="6" t="s">
        <v>17</v>
      </c>
      <c r="D92" s="6">
        <v>1</v>
      </c>
      <c r="E92" s="8">
        <f>248*8*(A84/1979)</f>
        <v>252.63668519454271</v>
      </c>
      <c r="F92" s="30">
        <f>E92/A84</f>
        <v>1.0025265285497726</v>
      </c>
      <c r="G92" s="41">
        <f t="shared" si="17"/>
        <v>3.968253968253968E-3</v>
      </c>
      <c r="H92" s="8">
        <v>25200</v>
      </c>
      <c r="I92" s="84">
        <f t="shared" si="16"/>
        <v>100</v>
      </c>
      <c r="J92" s="124"/>
      <c r="K92" s="124"/>
    </row>
    <row r="93" spans="1:11" s="1" customFormat="1">
      <c r="A93" s="102"/>
      <c r="B93" s="56" t="s">
        <v>99</v>
      </c>
      <c r="C93" s="6" t="s">
        <v>17</v>
      </c>
      <c r="D93" s="6">
        <v>1</v>
      </c>
      <c r="E93" s="8">
        <f>248*8*(A84/1979)</f>
        <v>252.63668519454271</v>
      </c>
      <c r="F93" s="30">
        <f>E93/A84</f>
        <v>1.0025265285497726</v>
      </c>
      <c r="G93" s="41">
        <f t="shared" si="17"/>
        <v>3.968253968253968E-3</v>
      </c>
      <c r="H93" s="8"/>
      <c r="I93" s="84">
        <f t="shared" si="16"/>
        <v>0</v>
      </c>
      <c r="J93" s="124"/>
      <c r="K93" s="124"/>
    </row>
    <row r="94" spans="1:11" s="1" customFormat="1" ht="13.7" customHeight="1">
      <c r="A94" s="102"/>
      <c r="B94" s="6" t="s">
        <v>111</v>
      </c>
      <c r="C94" s="6" t="s">
        <v>17</v>
      </c>
      <c r="D94" s="6">
        <v>1</v>
      </c>
      <c r="E94" s="8">
        <f>248*8*(A84/1979)</f>
        <v>252.63668519454271</v>
      </c>
      <c r="F94" s="30">
        <f>E94/A84</f>
        <v>1.0025265285497726</v>
      </c>
      <c r="G94" s="41">
        <f t="shared" si="17"/>
        <v>3.968253968253968E-3</v>
      </c>
      <c r="H94" s="8">
        <v>12000</v>
      </c>
      <c r="I94" s="84">
        <f t="shared" si="16"/>
        <v>47.619047619047613</v>
      </c>
      <c r="J94" s="124"/>
      <c r="K94" s="124"/>
    </row>
    <row r="95" spans="1:11" s="1" customFormat="1" ht="15.75" thickBot="1">
      <c r="A95" s="103"/>
      <c r="B95" s="19"/>
      <c r="C95" s="19"/>
      <c r="D95" s="19"/>
      <c r="E95" s="19"/>
      <c r="F95" s="19"/>
      <c r="G95" s="22"/>
      <c r="H95" s="43"/>
      <c r="I95" s="81">
        <f>SUM(I83:I94)</f>
        <v>1143.3000000000002</v>
      </c>
      <c r="J95" s="125">
        <v>288111.59999999998</v>
      </c>
      <c r="K95" s="125">
        <f>I95*A84</f>
        <v>288111.60000000003</v>
      </c>
    </row>
    <row r="96" spans="1:11">
      <c r="A96" s="100" t="s">
        <v>97</v>
      </c>
      <c r="B96" s="14" t="s">
        <v>36</v>
      </c>
      <c r="C96" s="14" t="s">
        <v>17</v>
      </c>
      <c r="D96" s="14">
        <v>1</v>
      </c>
      <c r="E96" s="16">
        <f>248*8*(A97/1979)</f>
        <v>130.32844871147046</v>
      </c>
      <c r="F96" s="29">
        <f>E96/A97</f>
        <v>1.0025265285497726</v>
      </c>
      <c r="G96" s="42">
        <f>D96/E96*F96</f>
        <v>7.6923076923076919E-3</v>
      </c>
      <c r="H96" s="15">
        <v>42415.92</v>
      </c>
      <c r="I96" s="82">
        <f>H96*G96</f>
        <v>326.27630769230768</v>
      </c>
      <c r="J96" s="124"/>
      <c r="K96" s="124"/>
    </row>
    <row r="97" spans="1:11" s="1" customFormat="1">
      <c r="A97" s="106">
        <f>ком.усл!A45</f>
        <v>130</v>
      </c>
      <c r="B97" s="6" t="s">
        <v>37</v>
      </c>
      <c r="C97" s="6" t="s">
        <v>17</v>
      </c>
      <c r="D97" s="6">
        <v>1</v>
      </c>
      <c r="E97" s="8">
        <f>248*8*(A97/1979)</f>
        <v>130.32844871147046</v>
      </c>
      <c r="F97" s="30">
        <f>E97/A97</f>
        <v>1.0025265285497726</v>
      </c>
      <c r="G97" s="41">
        <f>D97/E97*F97</f>
        <v>7.6923076923076919E-3</v>
      </c>
      <c r="H97" s="7">
        <v>14400</v>
      </c>
      <c r="I97" s="84">
        <f t="shared" ref="I97:I106" si="20">H97*G97</f>
        <v>110.76923076923076</v>
      </c>
      <c r="J97" s="124"/>
      <c r="K97" s="124"/>
    </row>
    <row r="98" spans="1:11" s="1" customFormat="1">
      <c r="A98" s="101"/>
      <c r="B98" s="6" t="s">
        <v>90</v>
      </c>
      <c r="C98" s="6" t="s">
        <v>17</v>
      </c>
      <c r="D98" s="6">
        <v>1</v>
      </c>
      <c r="E98" s="8">
        <f>248*8*(A97/1979)</f>
        <v>130.32844871147046</v>
      </c>
      <c r="F98" s="30">
        <f>E98/A97</f>
        <v>1.0025265285497726</v>
      </c>
      <c r="G98" s="41">
        <f>D98/E98*F98</f>
        <v>7.6923076923076919E-3</v>
      </c>
      <c r="H98" s="7">
        <v>30000</v>
      </c>
      <c r="I98" s="84">
        <f t="shared" si="20"/>
        <v>230.76923076923075</v>
      </c>
      <c r="J98" s="124"/>
      <c r="K98" s="124"/>
    </row>
    <row r="99" spans="1:11" s="1" customFormat="1">
      <c r="A99" s="101"/>
      <c r="B99" s="6" t="s">
        <v>38</v>
      </c>
      <c r="C99" s="6" t="s">
        <v>17</v>
      </c>
      <c r="D99" s="6">
        <v>1</v>
      </c>
      <c r="E99" s="8">
        <f>248*8*(A97/1979)</f>
        <v>130.32844871147046</v>
      </c>
      <c r="F99" s="30">
        <f>E99/A97</f>
        <v>1.0025265285497726</v>
      </c>
      <c r="G99" s="41">
        <f t="shared" ref="G99:G106" si="21">D99/E99*F99</f>
        <v>7.6923076923076919E-3</v>
      </c>
      <c r="H99" s="7">
        <f>20982.72</f>
        <v>20982.720000000001</v>
      </c>
      <c r="I99" s="84">
        <f t="shared" si="20"/>
        <v>161.40553846153847</v>
      </c>
      <c r="J99" s="124"/>
      <c r="K99" s="124"/>
    </row>
    <row r="100" spans="1:11" s="1" customFormat="1">
      <c r="A100" s="101"/>
      <c r="B100" s="6" t="s">
        <v>111</v>
      </c>
      <c r="C100" s="6" t="s">
        <v>17</v>
      </c>
      <c r="D100" s="6">
        <v>1</v>
      </c>
      <c r="E100" s="8">
        <f>248*8*(A97/1979)</f>
        <v>130.32844871147046</v>
      </c>
      <c r="F100" s="30">
        <f>E100/A97</f>
        <v>1.0025265285497726</v>
      </c>
      <c r="G100" s="41">
        <f t="shared" si="21"/>
        <v>7.6923076923076919E-3</v>
      </c>
      <c r="H100" s="8">
        <v>12000</v>
      </c>
      <c r="I100" s="84">
        <f t="shared" si="20"/>
        <v>92.307692307692307</v>
      </c>
      <c r="J100" s="124"/>
      <c r="K100" s="124"/>
    </row>
    <row r="101" spans="1:11" s="1" customFormat="1">
      <c r="A101" s="101"/>
      <c r="B101" s="6" t="s">
        <v>74</v>
      </c>
      <c r="C101" s="6" t="s">
        <v>17</v>
      </c>
      <c r="D101" s="6">
        <v>1</v>
      </c>
      <c r="E101" s="8">
        <f>248*8*(A97/1979)</f>
        <v>130.32844871147046</v>
      </c>
      <c r="F101" s="30">
        <f>E101/A97</f>
        <v>1.0025265285497726</v>
      </c>
      <c r="G101" s="41">
        <f t="shared" si="21"/>
        <v>7.6923076923076919E-3</v>
      </c>
      <c r="H101" s="8">
        <v>5500</v>
      </c>
      <c r="I101" s="84">
        <f t="shared" si="20"/>
        <v>42.307692307692307</v>
      </c>
      <c r="J101" s="124"/>
      <c r="K101" s="124"/>
    </row>
    <row r="102" spans="1:11" s="1" customFormat="1">
      <c r="A102" s="101"/>
      <c r="B102" s="6" t="s">
        <v>41</v>
      </c>
      <c r="C102" s="6" t="s">
        <v>17</v>
      </c>
      <c r="D102" s="6">
        <v>1</v>
      </c>
      <c r="E102" s="8">
        <f>248*8*(A97/1979)</f>
        <v>130.32844871147046</v>
      </c>
      <c r="F102" s="30">
        <f>E102/A97</f>
        <v>1.0025265285497726</v>
      </c>
      <c r="G102" s="41">
        <f t="shared" si="21"/>
        <v>7.6923076923076919E-3</v>
      </c>
      <c r="H102" s="8">
        <v>10200</v>
      </c>
      <c r="I102" s="84">
        <f t="shared" si="20"/>
        <v>78.461538461538453</v>
      </c>
      <c r="J102" s="124"/>
      <c r="K102" s="124"/>
    </row>
    <row r="103" spans="1:11" s="1" customFormat="1">
      <c r="A103" s="101"/>
      <c r="B103" s="6" t="s">
        <v>39</v>
      </c>
      <c r="C103" s="6" t="s">
        <v>17</v>
      </c>
      <c r="D103" s="6">
        <v>1</v>
      </c>
      <c r="E103" s="8">
        <f>248*8*(A97/1979)</f>
        <v>130.32844871147046</v>
      </c>
      <c r="F103" s="30">
        <f>E103/A97</f>
        <v>1.0025265285497726</v>
      </c>
      <c r="G103" s="41">
        <f t="shared" si="21"/>
        <v>7.6923076923076919E-3</v>
      </c>
      <c r="H103" s="8">
        <v>7675.2</v>
      </c>
      <c r="I103" s="84">
        <f t="shared" si="20"/>
        <v>59.039999999999992</v>
      </c>
      <c r="J103" s="124"/>
      <c r="K103" s="124"/>
    </row>
    <row r="104" spans="1:11" s="1" customFormat="1">
      <c r="A104" s="101"/>
      <c r="B104" s="37" t="s">
        <v>73</v>
      </c>
      <c r="C104" s="6" t="s">
        <v>17</v>
      </c>
      <c r="D104" s="6">
        <v>1</v>
      </c>
      <c r="E104" s="8">
        <f>248*8*(A97/1979)</f>
        <v>130.32844871147046</v>
      </c>
      <c r="F104" s="30">
        <f>E104/A97</f>
        <v>1.0025265285497726</v>
      </c>
      <c r="G104" s="41">
        <f t="shared" si="21"/>
        <v>7.6923076923076919E-3</v>
      </c>
      <c r="H104" s="8">
        <v>18900</v>
      </c>
      <c r="I104" s="84">
        <f t="shared" si="20"/>
        <v>145.38461538461539</v>
      </c>
      <c r="J104" s="124"/>
      <c r="K104" s="124"/>
    </row>
    <row r="105" spans="1:11" s="1" customFormat="1">
      <c r="A105" s="102"/>
      <c r="B105" s="6" t="s">
        <v>40</v>
      </c>
      <c r="C105" s="6" t="s">
        <v>17</v>
      </c>
      <c r="D105" s="6">
        <v>1</v>
      </c>
      <c r="E105" s="8">
        <f>248*8*(A97/1979)</f>
        <v>130.32844871147046</v>
      </c>
      <c r="F105" s="30">
        <f>E105/A97</f>
        <v>1.0025265285497726</v>
      </c>
      <c r="G105" s="41">
        <f t="shared" si="21"/>
        <v>7.6923076923076919E-3</v>
      </c>
      <c r="H105" s="8">
        <v>6000</v>
      </c>
      <c r="I105" s="84">
        <f t="shared" si="20"/>
        <v>46.153846153846153</v>
      </c>
      <c r="J105" s="124"/>
      <c r="K105" s="124"/>
    </row>
    <row r="106" spans="1:11" s="1" customFormat="1" ht="13.7" customHeight="1">
      <c r="A106" s="102"/>
      <c r="B106" s="56" t="s">
        <v>101</v>
      </c>
      <c r="C106" s="6" t="s">
        <v>17</v>
      </c>
      <c r="D106" s="6">
        <v>1</v>
      </c>
      <c r="E106" s="8">
        <f>248*8*(A97/1979)</f>
        <v>130.32844871147046</v>
      </c>
      <c r="F106" s="30">
        <f>E106/A97</f>
        <v>1.0025265285497726</v>
      </c>
      <c r="G106" s="41">
        <f t="shared" si="21"/>
        <v>7.6923076923076919E-3</v>
      </c>
      <c r="H106" s="8"/>
      <c r="I106" s="84">
        <f t="shared" si="20"/>
        <v>0</v>
      </c>
      <c r="J106" s="124"/>
      <c r="K106" s="124"/>
    </row>
    <row r="107" spans="1:11" s="1" customFormat="1" ht="15.75" thickBot="1">
      <c r="A107" s="103"/>
      <c r="B107" s="19"/>
      <c r="C107" s="19"/>
      <c r="D107" s="19"/>
      <c r="E107" s="19"/>
      <c r="F107" s="19"/>
      <c r="G107" s="22"/>
      <c r="H107" s="43"/>
      <c r="I107" s="81">
        <f>SUM(I96:I106)</f>
        <v>1292.8756923076924</v>
      </c>
      <c r="J107" s="125">
        <v>168073.84</v>
      </c>
      <c r="K107" s="125">
        <f>I107*A97</f>
        <v>168073.84</v>
      </c>
    </row>
    <row r="108" spans="1:11">
      <c r="A108" s="100" t="s">
        <v>66</v>
      </c>
      <c r="B108" s="14" t="s">
        <v>36</v>
      </c>
      <c r="C108" s="14" t="s">
        <v>17</v>
      </c>
      <c r="D108" s="14">
        <v>1</v>
      </c>
      <c r="E108" s="16">
        <f>248*8*(A109/1979)</f>
        <v>125.31581606872159</v>
      </c>
      <c r="F108" s="29">
        <f>E108/A109</f>
        <v>1.0025265285497726</v>
      </c>
      <c r="G108" s="42">
        <f>D108/E108*F108</f>
        <v>8.0000000000000002E-3</v>
      </c>
      <c r="H108" s="15">
        <v>84831.16</v>
      </c>
      <c r="I108" s="82">
        <f>H108*G108</f>
        <v>678.64928000000009</v>
      </c>
      <c r="J108" s="124"/>
      <c r="K108" s="124"/>
    </row>
    <row r="109" spans="1:11" s="1" customFormat="1">
      <c r="A109" s="106">
        <f>ком.усл!A50</f>
        <v>125</v>
      </c>
      <c r="B109" s="6" t="s">
        <v>37</v>
      </c>
      <c r="C109" s="6" t="s">
        <v>17</v>
      </c>
      <c r="D109" s="6">
        <v>1</v>
      </c>
      <c r="E109" s="8">
        <f>248*8*(A109/1979)</f>
        <v>125.31581606872159</v>
      </c>
      <c r="F109" s="30">
        <f>E109/A109</f>
        <v>1.0025265285497726</v>
      </c>
      <c r="G109" s="41">
        <f>D109/E109*F109</f>
        <v>8.0000000000000002E-3</v>
      </c>
      <c r="H109" s="7">
        <v>31200</v>
      </c>
      <c r="I109" s="84">
        <f t="shared" ref="I109:I119" si="22">H109*G109</f>
        <v>249.6</v>
      </c>
      <c r="J109" s="124"/>
      <c r="K109" s="124"/>
    </row>
    <row r="110" spans="1:11" s="1" customFormat="1">
      <c r="A110" s="101"/>
      <c r="B110" s="6" t="s">
        <v>40</v>
      </c>
      <c r="C110" s="6" t="s">
        <v>17</v>
      </c>
      <c r="D110" s="6">
        <v>1</v>
      </c>
      <c r="E110" s="8">
        <f>248*8*(A109/1979)</f>
        <v>125.31581606872159</v>
      </c>
      <c r="F110" s="30">
        <f>E110/A109</f>
        <v>1.0025265285497726</v>
      </c>
      <c r="G110" s="41">
        <f>D110/E110*F110</f>
        <v>8.0000000000000002E-3</v>
      </c>
      <c r="H110" s="7">
        <v>12000</v>
      </c>
      <c r="I110" s="84">
        <f t="shared" si="22"/>
        <v>96</v>
      </c>
      <c r="J110" s="124"/>
      <c r="K110" s="124"/>
    </row>
    <row r="111" spans="1:11" s="1" customFormat="1">
      <c r="A111" s="101"/>
      <c r="B111" s="6" t="s">
        <v>38</v>
      </c>
      <c r="C111" s="6" t="s">
        <v>17</v>
      </c>
      <c r="D111" s="6">
        <v>1</v>
      </c>
      <c r="E111" s="8">
        <f>248*8*(A109/1979)</f>
        <v>125.31581606872159</v>
      </c>
      <c r="F111" s="30">
        <f>E111/A109</f>
        <v>1.0025265285497726</v>
      </c>
      <c r="G111" s="41">
        <f t="shared" ref="G111:G119" si="23">D111/E111*F111</f>
        <v>8.0000000000000002E-3</v>
      </c>
      <c r="H111" s="7">
        <f>12000+41965.44</f>
        <v>53965.440000000002</v>
      </c>
      <c r="I111" s="84">
        <f t="shared" si="22"/>
        <v>431.72352000000001</v>
      </c>
      <c r="J111" s="124"/>
      <c r="K111" s="124"/>
    </row>
    <row r="112" spans="1:11" s="1" customFormat="1">
      <c r="A112" s="101"/>
      <c r="B112" s="6" t="s">
        <v>111</v>
      </c>
      <c r="C112" s="6" t="s">
        <v>17</v>
      </c>
      <c r="D112" s="6">
        <v>1</v>
      </c>
      <c r="E112" s="8">
        <f>248*8*(A109/1979)</f>
        <v>125.31581606872159</v>
      </c>
      <c r="F112" s="30">
        <f>E112/A109</f>
        <v>1.0025265285497726</v>
      </c>
      <c r="G112" s="41">
        <f t="shared" si="23"/>
        <v>8.0000000000000002E-3</v>
      </c>
      <c r="H112" s="8">
        <v>12000</v>
      </c>
      <c r="I112" s="84">
        <f t="shared" si="22"/>
        <v>96</v>
      </c>
      <c r="J112" s="124"/>
      <c r="K112" s="124"/>
    </row>
    <row r="113" spans="1:11" s="1" customFormat="1">
      <c r="A113" s="101"/>
      <c r="B113" s="6" t="s">
        <v>74</v>
      </c>
      <c r="C113" s="6" t="s">
        <v>17</v>
      </c>
      <c r="D113" s="6">
        <v>1</v>
      </c>
      <c r="E113" s="8">
        <f>248*8*(A109/1979)</f>
        <v>125.31581606872159</v>
      </c>
      <c r="F113" s="30">
        <f>E113/A109</f>
        <v>1.0025265285497726</v>
      </c>
      <c r="G113" s="41">
        <f t="shared" si="23"/>
        <v>8.0000000000000002E-3</v>
      </c>
      <c r="H113" s="8">
        <v>10000</v>
      </c>
      <c r="I113" s="84">
        <f t="shared" si="22"/>
        <v>80</v>
      </c>
      <c r="J113" s="124"/>
      <c r="K113" s="124"/>
    </row>
    <row r="114" spans="1:11" s="1" customFormat="1">
      <c r="A114" s="101"/>
      <c r="B114" s="6" t="s">
        <v>39</v>
      </c>
      <c r="C114" s="6" t="s">
        <v>17</v>
      </c>
      <c r="D114" s="6">
        <v>1</v>
      </c>
      <c r="E114" s="8">
        <f>248*8*(A109/1979)</f>
        <v>125.31581606872159</v>
      </c>
      <c r="F114" s="30">
        <f>E114/A109</f>
        <v>1.0025265285497726</v>
      </c>
      <c r="G114" s="41">
        <f t="shared" si="23"/>
        <v>8.0000000000000002E-3</v>
      </c>
      <c r="H114" s="8">
        <v>9210.9599999999991</v>
      </c>
      <c r="I114" s="84">
        <f t="shared" si="22"/>
        <v>73.68768</v>
      </c>
      <c r="J114" s="124"/>
      <c r="K114" s="124"/>
    </row>
    <row r="115" spans="1:11" s="1" customFormat="1">
      <c r="A115" s="101"/>
      <c r="B115" s="6" t="s">
        <v>90</v>
      </c>
      <c r="C115" s="6" t="s">
        <v>17</v>
      </c>
      <c r="D115" s="6">
        <v>1</v>
      </c>
      <c r="E115" s="8">
        <f>248*8*(A109/1979)</f>
        <v>125.31581606872159</v>
      </c>
      <c r="F115" s="30">
        <f>E115/A109</f>
        <v>1.0025265285497726</v>
      </c>
      <c r="G115" s="41">
        <f t="shared" si="23"/>
        <v>8.0000000000000002E-3</v>
      </c>
      <c r="H115" s="8">
        <v>60000</v>
      </c>
      <c r="I115" s="84">
        <f t="shared" si="22"/>
        <v>480</v>
      </c>
      <c r="J115" s="124"/>
      <c r="K115" s="124"/>
    </row>
    <row r="116" spans="1:11" s="1" customFormat="1">
      <c r="A116" s="101"/>
      <c r="B116" s="37" t="s">
        <v>73</v>
      </c>
      <c r="C116" s="6" t="s">
        <v>17</v>
      </c>
      <c r="D116" s="6">
        <v>1</v>
      </c>
      <c r="E116" s="8">
        <f>248*8*(A109/1979)</f>
        <v>125.31581606872159</v>
      </c>
      <c r="F116" s="30">
        <f>E116/A109</f>
        <v>1.0025265285497726</v>
      </c>
      <c r="G116" s="41">
        <f t="shared" si="23"/>
        <v>8.0000000000000002E-3</v>
      </c>
      <c r="H116" s="8">
        <v>25200</v>
      </c>
      <c r="I116" s="84">
        <f t="shared" si="22"/>
        <v>201.6</v>
      </c>
      <c r="J116" s="124"/>
      <c r="K116" s="124"/>
    </row>
    <row r="117" spans="1:11" s="1" customFormat="1">
      <c r="A117" s="102"/>
      <c r="B117" s="6" t="s">
        <v>41</v>
      </c>
      <c r="C117" s="6" t="s">
        <v>17</v>
      </c>
      <c r="D117" s="6">
        <v>1</v>
      </c>
      <c r="E117" s="8">
        <f>248*8*(A109/1979)</f>
        <v>125.31581606872159</v>
      </c>
      <c r="F117" s="30">
        <f>E117/A109</f>
        <v>1.0025265285497726</v>
      </c>
      <c r="G117" s="41">
        <f t="shared" si="23"/>
        <v>8.0000000000000002E-3</v>
      </c>
      <c r="H117" s="8">
        <v>10000</v>
      </c>
      <c r="I117" s="84">
        <f t="shared" si="22"/>
        <v>80</v>
      </c>
      <c r="J117" s="124"/>
      <c r="K117" s="124"/>
    </row>
    <row r="118" spans="1:11" s="1" customFormat="1">
      <c r="A118" s="102"/>
      <c r="B118" s="56" t="s">
        <v>114</v>
      </c>
      <c r="C118" s="6" t="s">
        <v>17</v>
      </c>
      <c r="D118" s="6">
        <v>1</v>
      </c>
      <c r="E118" s="8">
        <f>248*8*(A109/1979)</f>
        <v>125.31581606872159</v>
      </c>
      <c r="F118" s="30">
        <f>E118/A109</f>
        <v>1.0025265285497726</v>
      </c>
      <c r="G118" s="41">
        <f>D118/E118*F118</f>
        <v>8.0000000000000002E-3</v>
      </c>
      <c r="H118" s="8">
        <v>22438.25</v>
      </c>
      <c r="I118" s="84">
        <f t="shared" si="22"/>
        <v>179.506</v>
      </c>
      <c r="J118" s="124"/>
      <c r="K118" s="124"/>
    </row>
    <row r="119" spans="1:11" s="1" customFormat="1" ht="13.7" customHeight="1">
      <c r="A119" s="102"/>
      <c r="B119" s="6" t="s">
        <v>115</v>
      </c>
      <c r="C119" s="6" t="s">
        <v>17</v>
      </c>
      <c r="D119" s="6">
        <v>1</v>
      </c>
      <c r="E119" s="8">
        <f>248*8*(A109/1979)</f>
        <v>125.31581606872159</v>
      </c>
      <c r="F119" s="30">
        <f>E119/A109</f>
        <v>1.0025265285497726</v>
      </c>
      <c r="G119" s="41">
        <f t="shared" si="23"/>
        <v>8.0000000000000002E-3</v>
      </c>
      <c r="H119" s="8">
        <f>1850+3000+200</f>
        <v>5050</v>
      </c>
      <c r="I119" s="84">
        <f t="shared" si="22"/>
        <v>40.4</v>
      </c>
      <c r="J119" s="124"/>
      <c r="K119" s="124"/>
    </row>
    <row r="120" spans="1:11" s="1" customFormat="1" ht="15.75" thickBot="1">
      <c r="A120" s="103"/>
      <c r="B120" s="19"/>
      <c r="C120" s="19"/>
      <c r="D120" s="19"/>
      <c r="E120" s="19"/>
      <c r="F120" s="19"/>
      <c r="G120" s="22"/>
      <c r="H120" s="43"/>
      <c r="I120" s="81">
        <f>SUM(I108:I119)</f>
        <v>2687.1664799999999</v>
      </c>
      <c r="J120" s="125">
        <v>335895.81</v>
      </c>
      <c r="K120" s="125">
        <f>I120*A109</f>
        <v>335895.81</v>
      </c>
    </row>
    <row r="121" spans="1:11">
      <c r="A121" s="100" t="s">
        <v>68</v>
      </c>
      <c r="B121" s="14" t="s">
        <v>36</v>
      </c>
      <c r="C121" s="14" t="s">
        <v>17</v>
      </c>
      <c r="D121" s="14">
        <v>1</v>
      </c>
      <c r="E121" s="16">
        <f>248*8*(A122/1979)</f>
        <v>191.48256695300657</v>
      </c>
      <c r="F121" s="29">
        <f>E121/A122</f>
        <v>1.0025265285497726</v>
      </c>
      <c r="G121" s="42">
        <f>D121/E121*F121</f>
        <v>5.235602094240838E-3</v>
      </c>
      <c r="H121" s="15">
        <v>84831</v>
      </c>
      <c r="I121" s="82">
        <f>H121*G121</f>
        <v>444.14136125654454</v>
      </c>
      <c r="J121" s="124"/>
      <c r="K121" s="124"/>
    </row>
    <row r="122" spans="1:11" s="1" customFormat="1">
      <c r="A122" s="106">
        <f>ком.усл!A60</f>
        <v>191</v>
      </c>
      <c r="B122" s="6" t="s">
        <v>37</v>
      </c>
      <c r="C122" s="6" t="s">
        <v>17</v>
      </c>
      <c r="D122" s="6">
        <v>1</v>
      </c>
      <c r="E122" s="8">
        <f>248*8*(A122/1979)</f>
        <v>191.48256695300657</v>
      </c>
      <c r="F122" s="30">
        <f>E122/A122</f>
        <v>1.0025265285497726</v>
      </c>
      <c r="G122" s="41">
        <f>D122/E122*F122</f>
        <v>5.235602094240838E-3</v>
      </c>
      <c r="H122" s="7">
        <v>7008</v>
      </c>
      <c r="I122" s="84">
        <f t="shared" ref="I122:I131" si="24">H122*G122</f>
        <v>36.691099476439796</v>
      </c>
      <c r="J122" s="124"/>
      <c r="K122" s="124"/>
    </row>
    <row r="123" spans="1:11" s="1" customFormat="1">
      <c r="A123" s="101"/>
      <c r="B123" s="6" t="s">
        <v>90</v>
      </c>
      <c r="C123" s="6" t="s">
        <v>17</v>
      </c>
      <c r="D123" s="6">
        <v>1</v>
      </c>
      <c r="E123" s="8">
        <f>248*8*(A122/1979)</f>
        <v>191.48256695300657</v>
      </c>
      <c r="F123" s="30">
        <f>E123/A122</f>
        <v>1.0025265285497726</v>
      </c>
      <c r="G123" s="41">
        <f>D123/E123*F123</f>
        <v>5.235602094240838E-3</v>
      </c>
      <c r="H123" s="7">
        <v>30000</v>
      </c>
      <c r="I123" s="84">
        <f t="shared" si="24"/>
        <v>157.06806282722513</v>
      </c>
      <c r="J123" s="124"/>
      <c r="K123" s="124"/>
    </row>
    <row r="124" spans="1:11" s="1" customFormat="1">
      <c r="A124" s="101"/>
      <c r="B124" s="6" t="s">
        <v>38</v>
      </c>
      <c r="C124" s="6" t="s">
        <v>17</v>
      </c>
      <c r="D124" s="6">
        <v>1</v>
      </c>
      <c r="E124" s="8">
        <f>248*8*(A122/1979)</f>
        <v>191.48256695300657</v>
      </c>
      <c r="F124" s="30">
        <f>E124/A122</f>
        <v>1.0025265285497726</v>
      </c>
      <c r="G124" s="41">
        <f t="shared" ref="G124:G131" si="25">D124/E124*F124</f>
        <v>5.235602094240838E-3</v>
      </c>
      <c r="H124" s="7">
        <f>8751.36+20400</f>
        <v>29151.360000000001</v>
      </c>
      <c r="I124" s="84">
        <f t="shared" si="24"/>
        <v>152.62492146596861</v>
      </c>
      <c r="J124" s="124"/>
      <c r="K124" s="124"/>
    </row>
    <row r="125" spans="1:11" s="1" customFormat="1">
      <c r="A125" s="101"/>
      <c r="B125" s="6" t="s">
        <v>111</v>
      </c>
      <c r="C125" s="6" t="s">
        <v>17</v>
      </c>
      <c r="D125" s="6">
        <v>1</v>
      </c>
      <c r="E125" s="8">
        <f>248*8*(A122/1979)</f>
        <v>191.48256695300657</v>
      </c>
      <c r="F125" s="30">
        <f>E125/A122</f>
        <v>1.0025265285497726</v>
      </c>
      <c r="G125" s="41">
        <f t="shared" si="25"/>
        <v>5.235602094240838E-3</v>
      </c>
      <c r="H125" s="8">
        <v>12000</v>
      </c>
      <c r="I125" s="84">
        <f t="shared" si="24"/>
        <v>62.827225130890056</v>
      </c>
      <c r="J125" s="124"/>
      <c r="K125" s="124"/>
    </row>
    <row r="126" spans="1:11" s="1" customFormat="1">
      <c r="A126" s="101"/>
      <c r="B126" s="6" t="s">
        <v>74</v>
      </c>
      <c r="C126" s="6" t="s">
        <v>17</v>
      </c>
      <c r="D126" s="6">
        <v>1</v>
      </c>
      <c r="E126" s="8">
        <f>248*8*(A122/1979)</f>
        <v>191.48256695300657</v>
      </c>
      <c r="F126" s="30">
        <f>E126/A122</f>
        <v>1.0025265285497726</v>
      </c>
      <c r="G126" s="41">
        <f t="shared" si="25"/>
        <v>5.235602094240838E-3</v>
      </c>
      <c r="H126" s="8">
        <v>13900</v>
      </c>
      <c r="I126" s="84">
        <f t="shared" si="24"/>
        <v>72.774869109947645</v>
      </c>
      <c r="J126" s="124"/>
      <c r="K126" s="124"/>
    </row>
    <row r="127" spans="1:11" s="1" customFormat="1">
      <c r="A127" s="101"/>
      <c r="B127" s="6" t="s">
        <v>41</v>
      </c>
      <c r="C127" s="6" t="s">
        <v>17</v>
      </c>
      <c r="D127" s="6">
        <v>1</v>
      </c>
      <c r="E127" s="8">
        <f>248*8*(A122/1979)</f>
        <v>191.48256695300657</v>
      </c>
      <c r="F127" s="30">
        <f>E127/A122</f>
        <v>1.0025265285497726</v>
      </c>
      <c r="G127" s="41">
        <f t="shared" si="25"/>
        <v>5.235602094240838E-3</v>
      </c>
      <c r="H127" s="8">
        <v>16520</v>
      </c>
      <c r="I127" s="84">
        <f t="shared" si="24"/>
        <v>86.492146596858646</v>
      </c>
      <c r="J127" s="124"/>
      <c r="K127" s="124"/>
    </row>
    <row r="128" spans="1:11" s="1" customFormat="1">
      <c r="A128" s="101"/>
      <c r="B128" s="6" t="s">
        <v>39</v>
      </c>
      <c r="C128" s="6" t="s">
        <v>17</v>
      </c>
      <c r="D128" s="6">
        <v>1</v>
      </c>
      <c r="E128" s="8">
        <f>248*8*(A122/1979)</f>
        <v>191.48256695300657</v>
      </c>
      <c r="F128" s="30">
        <f>E128/A122</f>
        <v>1.0025265285497726</v>
      </c>
      <c r="G128" s="41">
        <f t="shared" si="25"/>
        <v>5.235602094240838E-3</v>
      </c>
      <c r="H128" s="8">
        <v>10633.97</v>
      </c>
      <c r="I128" s="84">
        <f t="shared" si="24"/>
        <v>55.67523560209424</v>
      </c>
      <c r="J128" s="124"/>
      <c r="K128" s="124"/>
    </row>
    <row r="129" spans="1:11" s="1" customFormat="1">
      <c r="A129" s="101"/>
      <c r="B129" s="37" t="s">
        <v>73</v>
      </c>
      <c r="C129" s="6" t="s">
        <v>17</v>
      </c>
      <c r="D129" s="6">
        <v>1</v>
      </c>
      <c r="E129" s="8">
        <f>248*8*(A122/1979)</f>
        <v>191.48256695300657</v>
      </c>
      <c r="F129" s="30">
        <f>E129/A122</f>
        <v>1.0025265285497726</v>
      </c>
      <c r="G129" s="41">
        <f t="shared" si="25"/>
        <v>5.235602094240838E-3</v>
      </c>
      <c r="H129" s="8">
        <v>25200</v>
      </c>
      <c r="I129" s="84">
        <f t="shared" si="24"/>
        <v>131.93717277486911</v>
      </c>
      <c r="J129" s="124"/>
      <c r="K129" s="124"/>
    </row>
    <row r="130" spans="1:11" s="1" customFormat="1">
      <c r="A130" s="102"/>
      <c r="B130" s="56" t="s">
        <v>115</v>
      </c>
      <c r="C130" s="6" t="s">
        <v>17</v>
      </c>
      <c r="D130" s="6">
        <v>1</v>
      </c>
      <c r="E130" s="8">
        <f>248*8*(A122/1979)</f>
        <v>191.48256695300657</v>
      </c>
      <c r="F130" s="30">
        <f>E130/A122</f>
        <v>1.0025265285497726</v>
      </c>
      <c r="G130" s="41">
        <f t="shared" si="25"/>
        <v>5.235602094240838E-3</v>
      </c>
      <c r="H130" s="8">
        <f>5250+24000</f>
        <v>29250</v>
      </c>
      <c r="I130" s="84">
        <f t="shared" si="24"/>
        <v>153.14136125654451</v>
      </c>
      <c r="J130" s="124"/>
      <c r="K130" s="124"/>
    </row>
    <row r="131" spans="1:11" s="1" customFormat="1" ht="13.7" customHeight="1">
      <c r="A131" s="102"/>
      <c r="B131" s="6" t="s">
        <v>40</v>
      </c>
      <c r="C131" s="6" t="s">
        <v>17</v>
      </c>
      <c r="D131" s="6">
        <v>1</v>
      </c>
      <c r="E131" s="8">
        <f>248*8*(A122/1979)</f>
        <v>191.48256695300657</v>
      </c>
      <c r="F131" s="30">
        <f>E131/A122</f>
        <v>1.0025265285497726</v>
      </c>
      <c r="G131" s="41">
        <f t="shared" si="25"/>
        <v>5.235602094240838E-3</v>
      </c>
      <c r="H131" s="8">
        <v>6000</v>
      </c>
      <c r="I131" s="84">
        <f t="shared" si="24"/>
        <v>31.413612565445028</v>
      </c>
      <c r="J131" s="124"/>
      <c r="K131" s="124"/>
    </row>
    <row r="132" spans="1:11" s="1" customFormat="1" ht="15.75" thickBot="1">
      <c r="A132" s="103"/>
      <c r="B132" s="19"/>
      <c r="C132" s="19"/>
      <c r="D132" s="19"/>
      <c r="E132" s="19"/>
      <c r="F132" s="19"/>
      <c r="G132" s="22"/>
      <c r="H132" s="43"/>
      <c r="I132" s="81">
        <f>SUM(I121:I131)</f>
        <v>1384.7870680628273</v>
      </c>
      <c r="J132" s="125">
        <v>264494.33</v>
      </c>
      <c r="K132" s="125">
        <f>I132*A122</f>
        <v>264494.33</v>
      </c>
    </row>
    <row r="133" spans="1:11">
      <c r="A133" s="100" t="s">
        <v>67</v>
      </c>
      <c r="B133" s="14" t="s">
        <v>36</v>
      </c>
      <c r="C133" s="14" t="s">
        <v>17</v>
      </c>
      <c r="D133" s="14">
        <v>1</v>
      </c>
      <c r="E133" s="16">
        <f>248*8*(A134/1979)</f>
        <v>257.64931783729156</v>
      </c>
      <c r="F133" s="29">
        <f>E133/A134</f>
        <v>1.0025265285497726</v>
      </c>
      <c r="G133" s="42">
        <f>D133/E133*F133</f>
        <v>3.8910505836575876E-3</v>
      </c>
      <c r="H133" s="15">
        <v>56554.559999999998</v>
      </c>
      <c r="I133" s="82">
        <f>H133*G133</f>
        <v>220.05665369649805</v>
      </c>
      <c r="J133" s="124"/>
      <c r="K133" s="124"/>
    </row>
    <row r="134" spans="1:11" s="1" customFormat="1">
      <c r="A134" s="106">
        <f>ком.усл!A55</f>
        <v>257</v>
      </c>
      <c r="B134" s="6" t="s">
        <v>37</v>
      </c>
      <c r="C134" s="6" t="s">
        <v>17</v>
      </c>
      <c r="D134" s="6">
        <v>1</v>
      </c>
      <c r="E134" s="8">
        <f>248*8*(A134/1979)</f>
        <v>257.64931783729156</v>
      </c>
      <c r="F134" s="30">
        <f>E134/A134</f>
        <v>1.0025265285497726</v>
      </c>
      <c r="G134" s="41">
        <f>D134/E134*F134</f>
        <v>3.8910505836575876E-3</v>
      </c>
      <c r="H134" s="7">
        <v>24000</v>
      </c>
      <c r="I134" s="84">
        <f t="shared" ref="I134:I145" si="26">H134*G134</f>
        <v>93.385214007782096</v>
      </c>
      <c r="J134" s="124"/>
      <c r="K134" s="124"/>
    </row>
    <row r="135" spans="1:11" s="1" customFormat="1">
      <c r="A135" s="101"/>
      <c r="B135" s="6" t="s">
        <v>40</v>
      </c>
      <c r="C135" s="6" t="s">
        <v>17</v>
      </c>
      <c r="D135" s="6">
        <v>1</v>
      </c>
      <c r="E135" s="8">
        <f>248*8*(A134/1979)</f>
        <v>257.64931783729156</v>
      </c>
      <c r="F135" s="30">
        <f>E135/A134</f>
        <v>1.0025265285497726</v>
      </c>
      <c r="G135" s="41">
        <f>D135/E135*F135</f>
        <v>3.8910505836575876E-3</v>
      </c>
      <c r="H135" s="7"/>
      <c r="I135" s="84">
        <f t="shared" si="26"/>
        <v>0</v>
      </c>
      <c r="J135" s="124"/>
      <c r="K135" s="124"/>
    </row>
    <row r="136" spans="1:11" s="1" customFormat="1">
      <c r="A136" s="101"/>
      <c r="B136" s="6" t="s">
        <v>38</v>
      </c>
      <c r="C136" s="6" t="s">
        <v>17</v>
      </c>
      <c r="D136" s="6">
        <v>1</v>
      </c>
      <c r="E136" s="8">
        <f>248*8*(A134/1979)</f>
        <v>257.64931783729156</v>
      </c>
      <c r="F136" s="30">
        <f>E136/A134</f>
        <v>1.0025265285497726</v>
      </c>
      <c r="G136" s="41">
        <f t="shared" ref="G136:G145" si="27">D136/E136*F136</f>
        <v>3.8910505836575876E-3</v>
      </c>
      <c r="H136" s="7">
        <f>20982.72</f>
        <v>20982.720000000001</v>
      </c>
      <c r="I136" s="84">
        <f t="shared" si="26"/>
        <v>81.644824902723741</v>
      </c>
      <c r="J136" s="124"/>
      <c r="K136" s="124"/>
    </row>
    <row r="137" spans="1:11" s="1" customFormat="1">
      <c r="A137" s="101"/>
      <c r="B137" s="6" t="s">
        <v>74</v>
      </c>
      <c r="C137" s="6" t="s">
        <v>17</v>
      </c>
      <c r="D137" s="6">
        <v>1</v>
      </c>
      <c r="E137" s="8">
        <f>248*8*(A134/1979)</f>
        <v>257.64931783729156</v>
      </c>
      <c r="F137" s="30">
        <f>E137/A134</f>
        <v>1.0025265285497726</v>
      </c>
      <c r="G137" s="41">
        <f t="shared" si="27"/>
        <v>3.8910505836575876E-3</v>
      </c>
      <c r="H137" s="8">
        <v>16000</v>
      </c>
      <c r="I137" s="84">
        <f t="shared" si="26"/>
        <v>62.2568093385214</v>
      </c>
      <c r="J137" s="124"/>
      <c r="K137" s="124"/>
    </row>
    <row r="138" spans="1:11" s="1" customFormat="1">
      <c r="A138" s="101"/>
      <c r="B138" s="6" t="s">
        <v>111</v>
      </c>
      <c r="C138" s="6" t="s">
        <v>17</v>
      </c>
      <c r="D138" s="6">
        <v>1</v>
      </c>
      <c r="E138" s="8">
        <f>248*8*(A134/1979)</f>
        <v>257.64931783729156</v>
      </c>
      <c r="F138" s="30">
        <f>E138/A134</f>
        <v>1.0025265285497726</v>
      </c>
      <c r="G138" s="41">
        <f t="shared" si="27"/>
        <v>3.8910505836575876E-3</v>
      </c>
      <c r="H138" s="8">
        <v>12000</v>
      </c>
      <c r="I138" s="84">
        <f t="shared" si="26"/>
        <v>46.692607003891048</v>
      </c>
      <c r="J138" s="124"/>
      <c r="K138" s="124"/>
    </row>
    <row r="139" spans="1:11" s="1" customFormat="1">
      <c r="A139" s="101"/>
      <c r="B139" s="6" t="s">
        <v>41</v>
      </c>
      <c r="C139" s="6" t="s">
        <v>17</v>
      </c>
      <c r="D139" s="6">
        <v>1</v>
      </c>
      <c r="E139" s="8">
        <f>248*8*(A134/1979)</f>
        <v>257.64931783729156</v>
      </c>
      <c r="F139" s="30">
        <f>E139/A134</f>
        <v>1.0025265285497726</v>
      </c>
      <c r="G139" s="41">
        <f t="shared" si="27"/>
        <v>3.8910505836575876E-3</v>
      </c>
      <c r="H139" s="8">
        <v>14440</v>
      </c>
      <c r="I139" s="84">
        <f t="shared" si="26"/>
        <v>56.186770428015564</v>
      </c>
      <c r="J139" s="124"/>
      <c r="K139" s="124"/>
    </row>
    <row r="140" spans="1:11" s="1" customFormat="1">
      <c r="A140" s="101"/>
      <c r="B140" s="6" t="s">
        <v>39</v>
      </c>
      <c r="C140" s="6" t="s">
        <v>17</v>
      </c>
      <c r="D140" s="6">
        <v>1</v>
      </c>
      <c r="E140" s="8">
        <f>248*8*(A134/1979)</f>
        <v>257.64931783729156</v>
      </c>
      <c r="F140" s="30">
        <f>E140/A134</f>
        <v>1.0025265285497726</v>
      </c>
      <c r="G140" s="41">
        <f t="shared" si="27"/>
        <v>3.8910505836575876E-3</v>
      </c>
      <c r="H140" s="8">
        <v>10695.6</v>
      </c>
      <c r="I140" s="84">
        <f t="shared" si="26"/>
        <v>41.617120622568095</v>
      </c>
      <c r="J140" s="124"/>
      <c r="K140" s="124"/>
    </row>
    <row r="141" spans="1:11" s="1" customFormat="1">
      <c r="A141" s="101"/>
      <c r="B141" s="6" t="s">
        <v>90</v>
      </c>
      <c r="C141" s="6" t="s">
        <v>17</v>
      </c>
      <c r="D141" s="6">
        <v>1</v>
      </c>
      <c r="E141" s="8">
        <f>248*8*(A134/1979)</f>
        <v>257.64931783729156</v>
      </c>
      <c r="F141" s="30">
        <f>E141/A134</f>
        <v>1.0025265285497726</v>
      </c>
      <c r="G141" s="41">
        <f>D141/E141*F141</f>
        <v>3.8910505836575876E-3</v>
      </c>
      <c r="H141" s="8">
        <v>30000</v>
      </c>
      <c r="I141" s="84">
        <f>H141*G141</f>
        <v>116.73151750972762</v>
      </c>
      <c r="J141" s="124"/>
      <c r="K141" s="124"/>
    </row>
    <row r="142" spans="1:11" s="1" customFormat="1">
      <c r="A142" s="101"/>
      <c r="B142" s="37" t="s">
        <v>73</v>
      </c>
      <c r="C142" s="6" t="s">
        <v>17</v>
      </c>
      <c r="D142" s="6">
        <v>1</v>
      </c>
      <c r="E142" s="8">
        <f>248*8*(A134/1979)</f>
        <v>257.64931783729156</v>
      </c>
      <c r="F142" s="30">
        <f>E142/A134</f>
        <v>1.0025265285497726</v>
      </c>
      <c r="G142" s="41">
        <f t="shared" si="27"/>
        <v>3.8910505836575876E-3</v>
      </c>
      <c r="H142" s="8">
        <v>25200</v>
      </c>
      <c r="I142" s="84">
        <f t="shared" si="26"/>
        <v>98.054474708171213</v>
      </c>
      <c r="J142" s="124"/>
      <c r="K142" s="124"/>
    </row>
    <row r="143" spans="1:11" s="1" customFormat="1">
      <c r="A143" s="102"/>
      <c r="B143" s="56" t="s">
        <v>99</v>
      </c>
      <c r="C143" s="6" t="s">
        <v>17</v>
      </c>
      <c r="D143" s="6">
        <v>1</v>
      </c>
      <c r="E143" s="8">
        <f>248*8*(A134/1979)</f>
        <v>257.64931783729156</v>
      </c>
      <c r="F143" s="30">
        <f>E143/A134</f>
        <v>1.0025265285497726</v>
      </c>
      <c r="G143" s="41">
        <f t="shared" si="27"/>
        <v>3.8910505836575876E-3</v>
      </c>
      <c r="H143" s="8"/>
      <c r="I143" s="84">
        <f t="shared" si="26"/>
        <v>0</v>
      </c>
      <c r="J143" s="124"/>
      <c r="K143" s="124"/>
    </row>
    <row r="144" spans="1:11" s="1" customFormat="1">
      <c r="A144" s="102"/>
      <c r="B144" s="56" t="s">
        <v>115</v>
      </c>
      <c r="C144" s="6" t="s">
        <v>17</v>
      </c>
      <c r="D144" s="6">
        <v>1</v>
      </c>
      <c r="E144" s="8">
        <f>248*8*(A134/1979)</f>
        <v>257.64931783729156</v>
      </c>
      <c r="F144" s="30">
        <f>E144/A134</f>
        <v>1.0025265285497726</v>
      </c>
      <c r="G144" s="41">
        <f t="shared" si="27"/>
        <v>3.8910505836575876E-3</v>
      </c>
      <c r="H144" s="8">
        <f>5820</f>
        <v>5820</v>
      </c>
      <c r="I144" s="84">
        <f t="shared" si="26"/>
        <v>22.645914396887161</v>
      </c>
      <c r="J144" s="124"/>
      <c r="K144" s="124"/>
    </row>
    <row r="145" spans="1:11" s="1" customFormat="1" ht="13.7" customHeight="1">
      <c r="A145" s="102"/>
      <c r="B145" s="6" t="s">
        <v>109</v>
      </c>
      <c r="C145" s="6" t="s">
        <v>17</v>
      </c>
      <c r="D145" s="6">
        <v>1</v>
      </c>
      <c r="E145" s="8">
        <f>248*8*(A134/1979)</f>
        <v>257.64931783729156</v>
      </c>
      <c r="F145" s="30">
        <f>E145/A134</f>
        <v>1.0025265285497726</v>
      </c>
      <c r="G145" s="41">
        <f t="shared" si="27"/>
        <v>3.8910505836575876E-3</v>
      </c>
      <c r="H145" s="8"/>
      <c r="I145" s="84">
        <f t="shared" si="26"/>
        <v>0</v>
      </c>
      <c r="J145" s="124"/>
      <c r="K145" s="124"/>
    </row>
    <row r="146" spans="1:11" s="1" customFormat="1" ht="15.75" thickBot="1">
      <c r="A146" s="103"/>
      <c r="B146" s="19"/>
      <c r="C146" s="19"/>
      <c r="D146" s="19"/>
      <c r="E146" s="19"/>
      <c r="F146" s="19"/>
      <c r="G146" s="22"/>
      <c r="H146" s="43"/>
      <c r="I146" s="81">
        <f>SUM(I133:I145)</f>
        <v>839.27190661478608</v>
      </c>
      <c r="J146" s="125">
        <v>215692.88</v>
      </c>
      <c r="K146" s="125">
        <f>I146*A134</f>
        <v>215692.88000000003</v>
      </c>
    </row>
    <row r="147" spans="1:11" ht="15.75" thickBot="1">
      <c r="E147" s="53"/>
      <c r="I147" s="77"/>
      <c r="J147" s="124"/>
      <c r="K147" s="124"/>
    </row>
    <row r="148" spans="1:11">
      <c r="A148" s="100" t="s">
        <v>69</v>
      </c>
      <c r="B148" s="14" t="s">
        <v>36</v>
      </c>
      <c r="C148" s="14" t="s">
        <v>17</v>
      </c>
      <c r="D148" s="14">
        <v>1</v>
      </c>
      <c r="E148" s="16">
        <f>248*8*(A149/1979)</f>
        <v>317.80090955027794</v>
      </c>
      <c r="F148" s="29">
        <f>E148/A149</f>
        <v>1.0025265285497726</v>
      </c>
      <c r="G148" s="42">
        <f>D148/E148*F148</f>
        <v>3.1545741324921135E-3</v>
      </c>
      <c r="H148" s="15">
        <v>169664</v>
      </c>
      <c r="I148" s="82">
        <f>H148*G148</f>
        <v>535.21766561514198</v>
      </c>
      <c r="J148" s="124"/>
      <c r="K148" s="124"/>
    </row>
    <row r="149" spans="1:11" s="1" customFormat="1">
      <c r="A149" s="106">
        <f>ком.усл!A66</f>
        <v>317</v>
      </c>
      <c r="B149" s="6" t="s">
        <v>37</v>
      </c>
      <c r="C149" s="6" t="s">
        <v>17</v>
      </c>
      <c r="D149" s="6">
        <v>1</v>
      </c>
      <c r="E149" s="8">
        <f>248*8*(A149/1979)</f>
        <v>317.80090955027794</v>
      </c>
      <c r="F149" s="30">
        <f>E149/A149</f>
        <v>1.0025265285497726</v>
      </c>
      <c r="G149" s="41">
        <f>D149/E149*F149</f>
        <v>3.1545741324921135E-3</v>
      </c>
      <c r="H149" s="7">
        <v>30000</v>
      </c>
      <c r="I149" s="84">
        <f t="shared" ref="I149:I159" si="28">H149*G149</f>
        <v>94.637223974763401</v>
      </c>
      <c r="J149" s="124"/>
      <c r="K149" s="124"/>
    </row>
    <row r="150" spans="1:11" s="1" customFormat="1">
      <c r="A150" s="101"/>
      <c r="B150" s="6" t="s">
        <v>40</v>
      </c>
      <c r="C150" s="6" t="s">
        <v>17</v>
      </c>
      <c r="D150" s="6">
        <v>1</v>
      </c>
      <c r="E150" s="8">
        <f>248*8*(A149/1979)</f>
        <v>317.80090955027794</v>
      </c>
      <c r="F150" s="30">
        <f>E150/A149</f>
        <v>1.0025265285497726</v>
      </c>
      <c r="G150" s="41">
        <f>D150/E150*F150</f>
        <v>3.1545741324921135E-3</v>
      </c>
      <c r="H150" s="7"/>
      <c r="I150" s="84">
        <f t="shared" si="28"/>
        <v>0</v>
      </c>
      <c r="J150" s="124"/>
      <c r="K150" s="124"/>
    </row>
    <row r="151" spans="1:11" s="1" customFormat="1">
      <c r="A151" s="101"/>
      <c r="B151" s="6" t="s">
        <v>38</v>
      </c>
      <c r="C151" s="6" t="s">
        <v>17</v>
      </c>
      <c r="D151" s="6">
        <v>1</v>
      </c>
      <c r="E151" s="8">
        <f>248*8*(A149/1979)</f>
        <v>317.80090955027794</v>
      </c>
      <c r="F151" s="30">
        <f>E151/A149</f>
        <v>1.0025265285497726</v>
      </c>
      <c r="G151" s="41">
        <f t="shared" ref="G151:G159" si="29">D151/E151*F151</f>
        <v>3.1545741324921135E-3</v>
      </c>
      <c r="H151" s="7">
        <v>41965.440000000002</v>
      </c>
      <c r="I151" s="84">
        <f t="shared" si="28"/>
        <v>132.38309148264983</v>
      </c>
      <c r="J151" s="124"/>
      <c r="K151" s="124"/>
    </row>
    <row r="152" spans="1:11" s="1" customFormat="1">
      <c r="A152" s="101"/>
      <c r="B152" s="6" t="s">
        <v>111</v>
      </c>
      <c r="C152" s="6" t="s">
        <v>17</v>
      </c>
      <c r="D152" s="6">
        <v>1</v>
      </c>
      <c r="E152" s="8">
        <f>248*8*(A149/1979)</f>
        <v>317.80090955027794</v>
      </c>
      <c r="F152" s="30">
        <f>E152/A149</f>
        <v>1.0025265285497726</v>
      </c>
      <c r="G152" s="41">
        <f t="shared" si="29"/>
        <v>3.1545741324921135E-3</v>
      </c>
      <c r="H152" s="8">
        <v>16800</v>
      </c>
      <c r="I152" s="84">
        <f t="shared" si="28"/>
        <v>52.996845425867505</v>
      </c>
      <c r="J152" s="124"/>
      <c r="K152" s="124"/>
    </row>
    <row r="153" spans="1:11" s="1" customFormat="1">
      <c r="A153" s="101"/>
      <c r="B153" s="6" t="s">
        <v>74</v>
      </c>
      <c r="C153" s="6" t="s">
        <v>17</v>
      </c>
      <c r="D153" s="6">
        <v>1</v>
      </c>
      <c r="E153" s="8">
        <f>248*8*(A149/1979)</f>
        <v>317.80090955027794</v>
      </c>
      <c r="F153" s="30">
        <f>E153/A149</f>
        <v>1.0025265285497726</v>
      </c>
      <c r="G153" s="41">
        <f t="shared" si="29"/>
        <v>3.1545741324921135E-3</v>
      </c>
      <c r="H153" s="8">
        <v>13000</v>
      </c>
      <c r="I153" s="84">
        <f t="shared" si="28"/>
        <v>41.009463722397477</v>
      </c>
      <c r="J153" s="124"/>
      <c r="K153" s="124"/>
    </row>
    <row r="154" spans="1:11" s="1" customFormat="1">
      <c r="A154" s="101"/>
      <c r="B154" s="6" t="s">
        <v>90</v>
      </c>
      <c r="C154" s="6" t="s">
        <v>17</v>
      </c>
      <c r="D154" s="6">
        <v>1</v>
      </c>
      <c r="E154" s="8">
        <f>248*8*(A149/1979)</f>
        <v>317.80090955027794</v>
      </c>
      <c r="F154" s="30">
        <f>E154/A149</f>
        <v>1.0025265285497726</v>
      </c>
      <c r="G154" s="41">
        <f t="shared" si="29"/>
        <v>3.1545741324921135E-3</v>
      </c>
      <c r="H154" s="8">
        <v>60000</v>
      </c>
      <c r="I154" s="84">
        <f t="shared" si="28"/>
        <v>189.2744479495268</v>
      </c>
      <c r="J154" s="124"/>
      <c r="K154" s="124"/>
    </row>
    <row r="155" spans="1:11" s="1" customFormat="1">
      <c r="A155" s="101"/>
      <c r="B155" s="6" t="s">
        <v>41</v>
      </c>
      <c r="C155" s="6" t="s">
        <v>17</v>
      </c>
      <c r="D155" s="6">
        <v>1</v>
      </c>
      <c r="E155" s="8">
        <f>248*8*(A149/1979)</f>
        <v>317.80090955027794</v>
      </c>
      <c r="F155" s="30">
        <f>E155/A149</f>
        <v>1.0025265285497726</v>
      </c>
      <c r="G155" s="41">
        <f t="shared" si="29"/>
        <v>3.1545741324921135E-3</v>
      </c>
      <c r="H155" s="8">
        <v>17540</v>
      </c>
      <c r="I155" s="84">
        <f t="shared" si="28"/>
        <v>55.331230283911673</v>
      </c>
      <c r="J155" s="124"/>
      <c r="K155" s="124"/>
    </row>
    <row r="156" spans="1:11" s="1" customFormat="1">
      <c r="A156" s="101"/>
      <c r="B156" s="6" t="s">
        <v>94</v>
      </c>
      <c r="C156" s="6" t="s">
        <v>17</v>
      </c>
      <c r="D156" s="6">
        <v>1</v>
      </c>
      <c r="E156" s="8">
        <f>248*8*(A149/1979)</f>
        <v>317.80090955027794</v>
      </c>
      <c r="F156" s="30">
        <f>E156/A149</f>
        <v>1.0025265285497726</v>
      </c>
      <c r="G156" s="41">
        <f t="shared" si="29"/>
        <v>3.1545741324921135E-3</v>
      </c>
      <c r="H156" s="8">
        <v>24000</v>
      </c>
      <c r="I156" s="84">
        <f t="shared" si="28"/>
        <v>75.709779179810724</v>
      </c>
      <c r="J156" s="124"/>
      <c r="K156" s="124"/>
    </row>
    <row r="157" spans="1:11" s="1" customFormat="1">
      <c r="A157" s="101"/>
      <c r="B157" s="37" t="s">
        <v>73</v>
      </c>
      <c r="C157" s="6" t="s">
        <v>17</v>
      </c>
      <c r="D157" s="6">
        <v>1</v>
      </c>
      <c r="E157" s="8">
        <f>248*8*(A149/1979)</f>
        <v>317.80090955027794</v>
      </c>
      <c r="F157" s="30">
        <f>E157/A149</f>
        <v>1.0025265285497726</v>
      </c>
      <c r="G157" s="41">
        <f t="shared" si="29"/>
        <v>3.1545741324921135E-3</v>
      </c>
      <c r="H157" s="8">
        <v>50400</v>
      </c>
      <c r="I157" s="84">
        <f t="shared" si="28"/>
        <v>158.99053627760253</v>
      </c>
      <c r="J157" s="124"/>
      <c r="K157" s="124"/>
    </row>
    <row r="158" spans="1:11" s="1" customFormat="1">
      <c r="A158" s="102"/>
      <c r="B158" s="6" t="s">
        <v>39</v>
      </c>
      <c r="C158" s="6" t="s">
        <v>17</v>
      </c>
      <c r="D158" s="6">
        <v>1</v>
      </c>
      <c r="E158" s="8">
        <f>248*8*(A149/1979)</f>
        <v>317.80090955027794</v>
      </c>
      <c r="F158" s="30">
        <f>E158/A149</f>
        <v>1.0025265285497726</v>
      </c>
      <c r="G158" s="41">
        <f t="shared" si="29"/>
        <v>3.1545741324921135E-3</v>
      </c>
      <c r="H158" s="8">
        <v>20700</v>
      </c>
      <c r="I158" s="84">
        <f t="shared" si="28"/>
        <v>65.299684542586746</v>
      </c>
      <c r="J158" s="124"/>
      <c r="K158" s="124"/>
    </row>
    <row r="159" spans="1:11" s="1" customFormat="1" ht="13.7" customHeight="1">
      <c r="A159" s="102"/>
      <c r="B159" s="56" t="s">
        <v>115</v>
      </c>
      <c r="C159" s="6" t="s">
        <v>17</v>
      </c>
      <c r="D159" s="6">
        <v>1</v>
      </c>
      <c r="E159" s="8">
        <f>248*8*(A149/1979)</f>
        <v>317.80090955027794</v>
      </c>
      <c r="F159" s="30">
        <f>E159/A149</f>
        <v>1.0025265285497726</v>
      </c>
      <c r="G159" s="41">
        <f t="shared" si="29"/>
        <v>3.1545741324921135E-3</v>
      </c>
      <c r="H159" s="8">
        <f>6000+8000</f>
        <v>14000</v>
      </c>
      <c r="I159" s="84">
        <f t="shared" si="28"/>
        <v>44.164037854889585</v>
      </c>
      <c r="J159" s="124"/>
      <c r="K159" s="124"/>
    </row>
    <row r="160" spans="1:11" s="1" customFormat="1" ht="15.75" thickBot="1">
      <c r="A160" s="103"/>
      <c r="B160" s="19"/>
      <c r="C160" s="19"/>
      <c r="D160" s="19"/>
      <c r="E160" s="19"/>
      <c r="F160" s="19"/>
      <c r="G160" s="22"/>
      <c r="H160" s="43"/>
      <c r="I160" s="81">
        <f>SUM(I148:I159)</f>
        <v>1445.0140063091483</v>
      </c>
      <c r="J160" s="125">
        <v>458069.44</v>
      </c>
      <c r="K160" s="125">
        <f>I160*A149</f>
        <v>458069.44</v>
      </c>
    </row>
    <row r="161" spans="1:11">
      <c r="A161" s="100" t="s">
        <v>70</v>
      </c>
      <c r="B161" s="14" t="s">
        <v>36</v>
      </c>
      <c r="C161" s="14" t="s">
        <v>17</v>
      </c>
      <c r="D161" s="14">
        <v>1</v>
      </c>
      <c r="E161" s="16">
        <f>248*8*(A162/1979)</f>
        <v>402.01313794845879</v>
      </c>
      <c r="F161" s="29">
        <f>E161/A162</f>
        <v>1.0025265285497726</v>
      </c>
      <c r="G161" s="42">
        <f>D161/E161*F161</f>
        <v>2.4937655860349127E-3</v>
      </c>
      <c r="H161" s="15">
        <v>169663</v>
      </c>
      <c r="I161" s="82">
        <f>H161*G161</f>
        <v>423.09975062344137</v>
      </c>
      <c r="J161" s="124"/>
      <c r="K161" s="124"/>
    </row>
    <row r="162" spans="1:11" s="1" customFormat="1">
      <c r="A162" s="106">
        <f>ком.усл!A71</f>
        <v>401</v>
      </c>
      <c r="B162" s="6" t="s">
        <v>37</v>
      </c>
      <c r="C162" s="6" t="s">
        <v>17</v>
      </c>
      <c r="D162" s="6">
        <v>1</v>
      </c>
      <c r="E162" s="8">
        <f>248*8*(A162/1979)</f>
        <v>402.01313794845879</v>
      </c>
      <c r="F162" s="30">
        <f>E162/A162</f>
        <v>1.0025265285497726</v>
      </c>
      <c r="G162" s="41">
        <f>D162/E162*F162</f>
        <v>2.4937655860349127E-3</v>
      </c>
      <c r="H162" s="7">
        <v>50400</v>
      </c>
      <c r="I162" s="84">
        <f t="shared" ref="I162:I174" si="30">H162*G162</f>
        <v>125.6857855361596</v>
      </c>
      <c r="J162" s="124"/>
      <c r="K162" s="124"/>
    </row>
    <row r="163" spans="1:11" s="1" customFormat="1">
      <c r="A163" s="101"/>
      <c r="B163" s="6" t="s">
        <v>116</v>
      </c>
      <c r="C163" s="6" t="s">
        <v>17</v>
      </c>
      <c r="D163" s="6">
        <v>1</v>
      </c>
      <c r="E163" s="8">
        <f>248*8*(A162/1979)</f>
        <v>402.01313794845879</v>
      </c>
      <c r="F163" s="30">
        <f>E163/A162</f>
        <v>1.0025265285497726</v>
      </c>
      <c r="G163" s="41">
        <f>D163/E163*F163</f>
        <v>2.4937655860349127E-3</v>
      </c>
      <c r="H163" s="7">
        <f>14000+35000+7450</f>
        <v>56450</v>
      </c>
      <c r="I163" s="84">
        <f t="shared" si="30"/>
        <v>140.77306733167083</v>
      </c>
      <c r="J163" s="124"/>
      <c r="K163" s="124"/>
    </row>
    <row r="164" spans="1:11" s="1" customFormat="1">
      <c r="A164" s="101"/>
      <c r="B164" s="6" t="s">
        <v>111</v>
      </c>
      <c r="C164" s="6" t="s">
        <v>17</v>
      </c>
      <c r="D164" s="6">
        <v>1</v>
      </c>
      <c r="E164" s="8">
        <f>248*8*(A162/1979)</f>
        <v>402.01313794845879</v>
      </c>
      <c r="F164" s="30">
        <f>E164/A162</f>
        <v>1.0025265285497726</v>
      </c>
      <c r="G164" s="41">
        <f>D164/E164*F164</f>
        <v>2.4937655860349127E-3</v>
      </c>
      <c r="H164" s="7">
        <v>42000</v>
      </c>
      <c r="I164" s="84">
        <f>H164*G164</f>
        <v>104.73815461346634</v>
      </c>
      <c r="J164" s="124"/>
      <c r="K164" s="124"/>
    </row>
    <row r="165" spans="1:11" s="1" customFormat="1">
      <c r="A165" s="101"/>
      <c r="B165" s="6" t="s">
        <v>90</v>
      </c>
      <c r="C165" s="6" t="s">
        <v>17</v>
      </c>
      <c r="D165" s="6">
        <v>1</v>
      </c>
      <c r="E165" s="8">
        <f>248*8*(A162/1979)</f>
        <v>402.01313794845879</v>
      </c>
      <c r="F165" s="30">
        <f>E165/A162</f>
        <v>1.0025265285497726</v>
      </c>
      <c r="G165" s="41">
        <f>D165/E165*F165</f>
        <v>2.4937655860349127E-3</v>
      </c>
      <c r="H165" s="7">
        <v>60000</v>
      </c>
      <c r="I165" s="84">
        <f>H165*G165</f>
        <v>149.62593516209475</v>
      </c>
      <c r="J165" s="124"/>
      <c r="K165" s="124"/>
    </row>
    <row r="166" spans="1:11" s="1" customFormat="1">
      <c r="A166" s="101"/>
      <c r="B166" s="6" t="s">
        <v>38</v>
      </c>
      <c r="C166" s="6" t="s">
        <v>17</v>
      </c>
      <c r="D166" s="6">
        <v>1</v>
      </c>
      <c r="E166" s="8">
        <f>248*8*(A162/1979)</f>
        <v>402.01313794845879</v>
      </c>
      <c r="F166" s="30">
        <f>E166/A162</f>
        <v>1.0025265285497726</v>
      </c>
      <c r="G166" s="41">
        <f t="shared" ref="G166:G174" si="31">D166/E166*F166</f>
        <v>2.4937655860349127E-3</v>
      </c>
      <c r="H166" s="7">
        <f>16672+41965.44</f>
        <v>58637.440000000002</v>
      </c>
      <c r="I166" s="84">
        <f t="shared" si="30"/>
        <v>146.22802992518703</v>
      </c>
      <c r="J166" s="124"/>
      <c r="K166" s="124"/>
    </row>
    <row r="167" spans="1:11" s="1" customFormat="1">
      <c r="A167" s="101"/>
      <c r="B167" s="6" t="s">
        <v>39</v>
      </c>
      <c r="C167" s="6" t="s">
        <v>17</v>
      </c>
      <c r="D167" s="6">
        <v>1</v>
      </c>
      <c r="E167" s="8">
        <f>248*8*(A162/1979)</f>
        <v>402.01313794845879</v>
      </c>
      <c r="F167" s="30">
        <f>E167/A162</f>
        <v>1.0025265285497726</v>
      </c>
      <c r="G167" s="41">
        <f t="shared" si="31"/>
        <v>2.4937655860349127E-3</v>
      </c>
      <c r="H167" s="8">
        <v>18015</v>
      </c>
      <c r="I167" s="84">
        <f t="shared" si="30"/>
        <v>44.925187032418954</v>
      </c>
      <c r="J167" s="124"/>
      <c r="K167" s="124"/>
    </row>
    <row r="168" spans="1:11" s="1" customFormat="1">
      <c r="A168" s="101"/>
      <c r="B168" s="6" t="s">
        <v>74</v>
      </c>
      <c r="C168" s="6" t="s">
        <v>17</v>
      </c>
      <c r="D168" s="6">
        <v>1</v>
      </c>
      <c r="E168" s="8">
        <f>248*8*(A162/1979)</f>
        <v>402.01313794845879</v>
      </c>
      <c r="F168" s="30">
        <f>E168/A162</f>
        <v>1.0025265285497726</v>
      </c>
      <c r="G168" s="41">
        <f t="shared" si="31"/>
        <v>2.4937655860349127E-3</v>
      </c>
      <c r="H168" s="8">
        <v>14984</v>
      </c>
      <c r="I168" s="84">
        <f t="shared" si="30"/>
        <v>37.366583541147129</v>
      </c>
      <c r="J168" s="124"/>
      <c r="K168" s="124"/>
    </row>
    <row r="169" spans="1:11" s="1" customFormat="1">
      <c r="A169" s="101"/>
      <c r="B169" s="6" t="s">
        <v>41</v>
      </c>
      <c r="C169" s="6" t="s">
        <v>17</v>
      </c>
      <c r="D169" s="6">
        <v>1</v>
      </c>
      <c r="E169" s="8">
        <f>248*8*(A162/1979)</f>
        <v>402.01313794845879</v>
      </c>
      <c r="F169" s="30">
        <f>E169/A162</f>
        <v>1.0025265285497726</v>
      </c>
      <c r="G169" s="41">
        <f t="shared" si="31"/>
        <v>2.4937655860349127E-3</v>
      </c>
      <c r="H169" s="8">
        <v>13016</v>
      </c>
      <c r="I169" s="84">
        <f t="shared" si="30"/>
        <v>32.458852867830423</v>
      </c>
      <c r="J169" s="124"/>
      <c r="K169" s="124"/>
    </row>
    <row r="170" spans="1:11" s="1" customFormat="1">
      <c r="A170" s="101"/>
      <c r="B170" s="6" t="s">
        <v>75</v>
      </c>
      <c r="C170" s="6" t="s">
        <v>17</v>
      </c>
      <c r="D170" s="6">
        <v>1</v>
      </c>
      <c r="E170" s="8">
        <f>248*8*(A162/1979)</f>
        <v>402.01313794845879</v>
      </c>
      <c r="F170" s="30">
        <f>E170/A162</f>
        <v>1.0025265285497726</v>
      </c>
      <c r="G170" s="41">
        <f t="shared" si="31"/>
        <v>2.4937655860349127E-3</v>
      </c>
      <c r="H170" s="8"/>
      <c r="I170" s="84">
        <f t="shared" si="30"/>
        <v>0</v>
      </c>
      <c r="J170" s="124"/>
      <c r="K170" s="124"/>
    </row>
    <row r="171" spans="1:11" s="1" customFormat="1">
      <c r="A171" s="101"/>
      <c r="B171" s="6" t="s">
        <v>94</v>
      </c>
      <c r="C171" s="6" t="s">
        <v>17</v>
      </c>
      <c r="D171" s="6">
        <v>1</v>
      </c>
      <c r="E171" s="8">
        <f>248*8*(A162/1979)</f>
        <v>402.01313794845879</v>
      </c>
      <c r="F171" s="30">
        <f>E171/A162</f>
        <v>1.0025265285497726</v>
      </c>
      <c r="G171" s="41">
        <f t="shared" si="31"/>
        <v>2.4937655860349127E-3</v>
      </c>
      <c r="H171" s="8">
        <v>16800</v>
      </c>
      <c r="I171" s="84">
        <f t="shared" si="30"/>
        <v>41.895261845386536</v>
      </c>
      <c r="J171" s="124"/>
      <c r="K171" s="124"/>
    </row>
    <row r="172" spans="1:11" s="1" customFormat="1">
      <c r="A172" s="101"/>
      <c r="B172" s="37" t="s">
        <v>73</v>
      </c>
      <c r="C172" s="6" t="s">
        <v>17</v>
      </c>
      <c r="D172" s="6">
        <v>1</v>
      </c>
      <c r="E172" s="8">
        <f>248*8*(A162/1979)</f>
        <v>402.01313794845879</v>
      </c>
      <c r="F172" s="30">
        <f>E172/A162</f>
        <v>1.0025265285497726</v>
      </c>
      <c r="G172" s="41">
        <f t="shared" si="31"/>
        <v>2.4937655860349127E-3</v>
      </c>
      <c r="H172" s="8">
        <v>67200</v>
      </c>
      <c r="I172" s="84">
        <f t="shared" si="30"/>
        <v>167.58104738154614</v>
      </c>
      <c r="J172" s="124"/>
      <c r="K172" s="124"/>
    </row>
    <row r="173" spans="1:11" s="1" customFormat="1">
      <c r="A173" s="102"/>
      <c r="B173" s="56" t="s">
        <v>99</v>
      </c>
      <c r="C173" s="6" t="s">
        <v>17</v>
      </c>
      <c r="D173" s="6">
        <v>1</v>
      </c>
      <c r="E173" s="8">
        <f>248*8*(A162/1979)</f>
        <v>402.01313794845879</v>
      </c>
      <c r="F173" s="30">
        <f>E173/A162</f>
        <v>1.0025265285497726</v>
      </c>
      <c r="G173" s="41">
        <f t="shared" si="31"/>
        <v>2.4937655860349127E-3</v>
      </c>
      <c r="H173" s="8">
        <v>44040</v>
      </c>
      <c r="I173" s="84">
        <f t="shared" si="30"/>
        <v>109.82543640897755</v>
      </c>
      <c r="J173" s="124"/>
      <c r="K173" s="124"/>
    </row>
    <row r="174" spans="1:11" s="1" customFormat="1" ht="13.7" customHeight="1">
      <c r="A174" s="102"/>
      <c r="B174" s="56" t="s">
        <v>115</v>
      </c>
      <c r="C174" s="6" t="s">
        <v>17</v>
      </c>
      <c r="D174" s="6">
        <v>1</v>
      </c>
      <c r="E174" s="8">
        <f>248*8*(A162/1979)</f>
        <v>402.01313794845879</v>
      </c>
      <c r="F174" s="30">
        <f>E174/A162</f>
        <v>1.0025265285497726</v>
      </c>
      <c r="G174" s="41">
        <f t="shared" si="31"/>
        <v>2.4937655860349127E-3</v>
      </c>
      <c r="H174" s="8">
        <f>3010+4000+5283</f>
        <v>12293</v>
      </c>
      <c r="I174" s="84">
        <f t="shared" si="30"/>
        <v>30.655860349127181</v>
      </c>
      <c r="J174" s="124"/>
      <c r="K174" s="124"/>
    </row>
    <row r="175" spans="1:11" s="1" customFormat="1" ht="15.75" thickBot="1">
      <c r="A175" s="103"/>
      <c r="B175" s="19"/>
      <c r="C175" s="19"/>
      <c r="D175" s="19"/>
      <c r="E175" s="19"/>
      <c r="F175" s="19"/>
      <c r="G175" s="22"/>
      <c r="H175" s="43"/>
      <c r="I175" s="81">
        <f>SUM(I161:I174)</f>
        <v>1554.8589526184539</v>
      </c>
      <c r="J175" s="125">
        <v>623498.43999999994</v>
      </c>
      <c r="K175" s="125">
        <f>I175*A162</f>
        <v>623498.44000000006</v>
      </c>
    </row>
    <row r="176" spans="1:11">
      <c r="J176" s="124"/>
      <c r="K176" s="124"/>
    </row>
  </sheetData>
  <mergeCells count="1">
    <mergeCell ref="A3:H3"/>
  </mergeCells>
  <pageMargins left="0.31496062992125984" right="0" top="0.35433070866141736" bottom="0" header="0.31496062992125984" footer="0.31496062992125984"/>
  <pageSetup paperSize="9" scale="9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R64"/>
  <sheetViews>
    <sheetView topLeftCell="A37" workbookViewId="0">
      <selection activeCell="J36" sqref="J36"/>
    </sheetView>
  </sheetViews>
  <sheetFormatPr defaultRowHeight="15"/>
  <cols>
    <col min="1" max="1" width="16.7109375" style="97" customWidth="1"/>
    <col min="2" max="2" width="19.85546875" style="1" customWidth="1"/>
    <col min="3" max="3" width="18.42578125" style="1" customWidth="1"/>
    <col min="4" max="4" width="8.28515625" style="1" customWidth="1"/>
    <col min="5" max="5" width="12.28515625" style="1" customWidth="1"/>
    <col min="6" max="6" width="13.140625" style="1" customWidth="1"/>
    <col min="7" max="7" width="10.7109375" customWidth="1"/>
    <col min="8" max="8" width="9.7109375" style="1" customWidth="1"/>
    <col min="9" max="9" width="10.7109375" style="1" bestFit="1" customWidth="1"/>
    <col min="10" max="10" width="10.85546875" style="108" customWidth="1"/>
    <col min="11" max="11" width="9.140625" style="108"/>
    <col min="12" max="12" width="10.7109375" style="1" customWidth="1"/>
    <col min="13" max="13" width="5.7109375" style="1" customWidth="1"/>
    <col min="14" max="14" width="6.28515625" style="1" customWidth="1"/>
    <col min="15" max="15" width="9.140625" style="1" customWidth="1"/>
    <col min="16" max="18" width="9.140625" style="1"/>
  </cols>
  <sheetData>
    <row r="1" spans="1:12" ht="18.75">
      <c r="A1" s="95" t="s">
        <v>82</v>
      </c>
    </row>
    <row r="3" spans="1:12" ht="18.75">
      <c r="A3" s="92" t="s">
        <v>42</v>
      </c>
      <c r="B3" s="92"/>
      <c r="C3" s="92"/>
      <c r="D3" s="92"/>
      <c r="E3" s="92"/>
      <c r="F3" s="92"/>
      <c r="G3" s="92"/>
      <c r="H3" s="92"/>
    </row>
    <row r="4" spans="1:12" ht="15.75" thickBot="1">
      <c r="H4" s="57" t="s">
        <v>79</v>
      </c>
    </row>
    <row r="5" spans="1:12" ht="96" customHeight="1">
      <c r="A5" s="98" t="s">
        <v>2</v>
      </c>
      <c r="B5" s="23" t="s">
        <v>15</v>
      </c>
      <c r="C5" s="23" t="s">
        <v>14</v>
      </c>
      <c r="D5" s="23" t="s">
        <v>16</v>
      </c>
      <c r="E5" s="23" t="s">
        <v>27</v>
      </c>
      <c r="F5" s="23" t="s">
        <v>28</v>
      </c>
      <c r="G5" s="23" t="s">
        <v>29</v>
      </c>
      <c r="H5" s="23" t="s">
        <v>30</v>
      </c>
      <c r="I5" s="23" t="s">
        <v>11</v>
      </c>
      <c r="J5" s="119" t="s">
        <v>34</v>
      </c>
      <c r="K5" s="119" t="s">
        <v>33</v>
      </c>
    </row>
    <row r="6" spans="1:12" ht="15.75" thickBot="1">
      <c r="A6" s="105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 t="s">
        <v>31</v>
      </c>
      <c r="H6" s="10">
        <v>8</v>
      </c>
      <c r="I6" s="40" t="s">
        <v>32</v>
      </c>
    </row>
    <row r="7" spans="1:12" ht="18" customHeight="1">
      <c r="A7" s="100" t="s">
        <v>59</v>
      </c>
      <c r="B7" s="14" t="s">
        <v>43</v>
      </c>
      <c r="C7" s="45" t="s">
        <v>44</v>
      </c>
      <c r="D7" s="14">
        <v>1</v>
      </c>
      <c r="E7" s="52">
        <f>248*8*(A8/1979)</f>
        <v>239.60384032339564</v>
      </c>
      <c r="F7" s="29">
        <f>E7/A8</f>
        <v>1.0025265285497726</v>
      </c>
      <c r="G7" s="75">
        <f>D7/E7*F7</f>
        <v>4.1841004184100423E-3</v>
      </c>
      <c r="H7" s="15">
        <v>1500</v>
      </c>
      <c r="I7" s="82">
        <f>H7*G7</f>
        <v>6.2761506276150634</v>
      </c>
    </row>
    <row r="8" spans="1:12">
      <c r="A8" s="101">
        <f>сод.недв.им.!A8</f>
        <v>239</v>
      </c>
      <c r="B8" s="6" t="s">
        <v>76</v>
      </c>
      <c r="C8" s="37" t="s">
        <v>17</v>
      </c>
      <c r="D8" s="6">
        <v>1</v>
      </c>
      <c r="E8" s="8">
        <f>248*8*(A8/1979)</f>
        <v>239.60384032339564</v>
      </c>
      <c r="F8" s="30">
        <f>E8/A8</f>
        <v>1.0025265285497726</v>
      </c>
      <c r="G8" s="41">
        <f>D8/E8*F8</f>
        <v>4.1841004184100423E-3</v>
      </c>
      <c r="H8" s="7">
        <v>6000</v>
      </c>
      <c r="I8" s="84">
        <f>H8*G8</f>
        <v>25.104602510460253</v>
      </c>
    </row>
    <row r="9" spans="1:12" s="1" customFormat="1" ht="15.75" thickBot="1">
      <c r="A9" s="102"/>
      <c r="B9" s="32"/>
      <c r="C9" s="32"/>
      <c r="D9" s="32"/>
      <c r="E9" s="32"/>
      <c r="F9" s="32"/>
      <c r="G9" s="68"/>
      <c r="H9" s="69"/>
      <c r="I9" s="85">
        <f>SUM(I7:I8)</f>
        <v>31.380753138075317</v>
      </c>
      <c r="J9" s="108">
        <v>7500</v>
      </c>
      <c r="K9" s="108">
        <f>I9*A8</f>
        <v>7500.0000000000009</v>
      </c>
      <c r="L9" s="1">
        <f>J9-K9</f>
        <v>0</v>
      </c>
    </row>
    <row r="10" spans="1:12" ht="15" customHeight="1">
      <c r="A10" s="100" t="s">
        <v>61</v>
      </c>
      <c r="B10" s="14" t="s">
        <v>43</v>
      </c>
      <c r="C10" s="45" t="s">
        <v>44</v>
      </c>
      <c r="D10" s="14">
        <v>3</v>
      </c>
      <c r="E10" s="52">
        <f>248*8*(A11/1979)</f>
        <v>192.48509348155633</v>
      </c>
      <c r="F10" s="29">
        <f>E10/A11</f>
        <v>1.0025265285497726</v>
      </c>
      <c r="G10" s="42">
        <f>D10/E10*F10</f>
        <v>1.5625E-2</v>
      </c>
      <c r="H10" s="15">
        <v>2682.4</v>
      </c>
      <c r="I10" s="82">
        <f>H10*G10</f>
        <v>41.912500000000001</v>
      </c>
    </row>
    <row r="11" spans="1:12">
      <c r="A11" s="101">
        <f>ком.усл!A15</f>
        <v>192</v>
      </c>
      <c r="B11" s="6" t="s">
        <v>76</v>
      </c>
      <c r="C11" s="37" t="s">
        <v>17</v>
      </c>
      <c r="D11" s="6">
        <v>1</v>
      </c>
      <c r="E11" s="8">
        <f>248*8*(A11/1979)</f>
        <v>192.48509348155633</v>
      </c>
      <c r="F11" s="30">
        <f>E11/A11</f>
        <v>1.0025265285497726</v>
      </c>
      <c r="G11" s="41">
        <f>D11/E11*F11</f>
        <v>5.2083333333333339E-3</v>
      </c>
      <c r="H11" s="7">
        <v>14176</v>
      </c>
      <c r="I11" s="84">
        <f>H11*G11</f>
        <v>73.833333333333343</v>
      </c>
    </row>
    <row r="12" spans="1:12" s="1" customFormat="1" ht="15.75" thickBot="1">
      <c r="A12" s="103"/>
      <c r="B12" s="19"/>
      <c r="C12" s="19"/>
      <c r="D12" s="19"/>
      <c r="E12" s="19"/>
      <c r="F12" s="19"/>
      <c r="G12" s="22"/>
      <c r="H12" s="43"/>
      <c r="I12" s="81">
        <f>SUM(I10:I11)</f>
        <v>115.74583333333334</v>
      </c>
      <c r="J12" s="108">
        <v>22223</v>
      </c>
      <c r="K12" s="108">
        <f>I12*A11</f>
        <v>22223.200000000001</v>
      </c>
      <c r="L12" s="1">
        <f>J12-K12</f>
        <v>-0.2000000000007276</v>
      </c>
    </row>
    <row r="13" spans="1:12" ht="15" customHeight="1">
      <c r="A13" s="100" t="s">
        <v>62</v>
      </c>
      <c r="B13" s="14" t="s">
        <v>43</v>
      </c>
      <c r="C13" s="45" t="s">
        <v>44</v>
      </c>
      <c r="D13" s="14">
        <v>2</v>
      </c>
      <c r="E13" s="52">
        <f>248*8*(A14/1979)</f>
        <v>214.54067710965134</v>
      </c>
      <c r="F13" s="29">
        <f>E13/A14</f>
        <v>1.0025265285497726</v>
      </c>
      <c r="G13" s="42">
        <f>D13/E13*F13</f>
        <v>9.3457943925233638E-3</v>
      </c>
      <c r="H13" s="15">
        <v>1500</v>
      </c>
      <c r="I13" s="82">
        <f>H13*G13</f>
        <v>14.018691588785046</v>
      </c>
    </row>
    <row r="14" spans="1:12">
      <c r="A14" s="101">
        <f>ком.усл!A20</f>
        <v>214</v>
      </c>
      <c r="B14" s="6" t="s">
        <v>76</v>
      </c>
      <c r="C14" s="37" t="s">
        <v>17</v>
      </c>
      <c r="D14" s="6">
        <v>1</v>
      </c>
      <c r="E14" s="8">
        <f>248*8*(A14/1979)</f>
        <v>214.54067710965134</v>
      </c>
      <c r="F14" s="30">
        <f>E14/A14</f>
        <v>1.0025265285497726</v>
      </c>
      <c r="G14" s="41">
        <f>D14/E14*F14</f>
        <v>4.6728971962616819E-3</v>
      </c>
      <c r="H14" s="7">
        <v>2381</v>
      </c>
      <c r="I14" s="84">
        <f>H14*G14</f>
        <v>11.126168224299064</v>
      </c>
    </row>
    <row r="15" spans="1:12" s="1" customFormat="1" ht="15.75" thickBot="1">
      <c r="A15" s="103"/>
      <c r="B15" s="19"/>
      <c r="C15" s="19"/>
      <c r="D15" s="19"/>
      <c r="E15" s="19"/>
      <c r="F15" s="19"/>
      <c r="G15" s="22"/>
      <c r="H15" s="43"/>
      <c r="I15" s="81">
        <f>SUM(I13:I14)</f>
        <v>25.144859813084111</v>
      </c>
      <c r="J15" s="108">
        <v>5381</v>
      </c>
      <c r="K15" s="108">
        <f>I15*A14</f>
        <v>5381</v>
      </c>
      <c r="L15" s="1">
        <f t="shared" ref="L15:L46" si="0">J15-K15</f>
        <v>0</v>
      </c>
    </row>
    <row r="16" spans="1:12" ht="12.75" customHeight="1">
      <c r="A16" s="100" t="s">
        <v>63</v>
      </c>
      <c r="B16" s="14" t="s">
        <v>43</v>
      </c>
      <c r="C16" s="45" t="s">
        <v>44</v>
      </c>
      <c r="D16" s="14">
        <v>1</v>
      </c>
      <c r="E16" s="52">
        <f>248*8*(A17/1979)</f>
        <v>152.38403233956544</v>
      </c>
      <c r="F16" s="29">
        <f>E16/A17</f>
        <v>1.0025265285497726</v>
      </c>
      <c r="G16" s="42">
        <f>D16/E16*F16</f>
        <v>6.5789473684210523E-3</v>
      </c>
      <c r="H16" s="15">
        <v>2000</v>
      </c>
      <c r="I16" s="82">
        <f>H16*G16</f>
        <v>13.157894736842104</v>
      </c>
      <c r="L16" s="1">
        <f t="shared" si="0"/>
        <v>0</v>
      </c>
    </row>
    <row r="17" spans="1:12">
      <c r="A17" s="101">
        <f>ком.усл!A25</f>
        <v>152</v>
      </c>
      <c r="B17" s="6" t="s">
        <v>76</v>
      </c>
      <c r="C17" s="37" t="s">
        <v>17</v>
      </c>
      <c r="D17" s="6">
        <v>1</v>
      </c>
      <c r="E17" s="8">
        <f>248*8*(A17/1979)</f>
        <v>152.38403233956544</v>
      </c>
      <c r="F17" s="30">
        <f>E17/A17</f>
        <v>1.0025265285497726</v>
      </c>
      <c r="G17" s="41">
        <f>D17/E17*F17</f>
        <v>6.5789473684210523E-3</v>
      </c>
      <c r="H17" s="7">
        <v>9000</v>
      </c>
      <c r="I17" s="84">
        <f>H17*G17</f>
        <v>59.210526315789473</v>
      </c>
      <c r="L17" s="1">
        <f t="shared" si="0"/>
        <v>0</v>
      </c>
    </row>
    <row r="18" spans="1:12" s="1" customFormat="1" ht="15.75" thickBot="1">
      <c r="A18" s="103"/>
      <c r="B18" s="19"/>
      <c r="C18" s="19"/>
      <c r="D18" s="19"/>
      <c r="E18" s="19"/>
      <c r="F18" s="19"/>
      <c r="G18" s="22"/>
      <c r="H18" s="43"/>
      <c r="I18" s="81">
        <f>SUM(I16:I17)</f>
        <v>72.368421052631575</v>
      </c>
      <c r="J18" s="108">
        <v>11000</v>
      </c>
      <c r="K18" s="108">
        <f>I18*A17</f>
        <v>11000</v>
      </c>
      <c r="L18" s="1">
        <f t="shared" si="0"/>
        <v>0</v>
      </c>
    </row>
    <row r="19" spans="1:12" ht="15" customHeight="1">
      <c r="A19" s="100" t="s">
        <v>102</v>
      </c>
      <c r="B19" s="14" t="s">
        <v>43</v>
      </c>
      <c r="C19" s="45" t="s">
        <v>44</v>
      </c>
      <c r="D19" s="14">
        <v>1</v>
      </c>
      <c r="E19" s="52">
        <f>248*8*(A20/1979)</f>
        <v>35.088428499242042</v>
      </c>
      <c r="F19" s="29">
        <f>E19/A20</f>
        <v>1.0025265285497726</v>
      </c>
      <c r="G19" s="42">
        <f>D19/E19*F19</f>
        <v>2.8571428571428574E-2</v>
      </c>
      <c r="H19" s="15"/>
      <c r="I19" s="82">
        <f>H19*G19</f>
        <v>0</v>
      </c>
      <c r="L19" s="1">
        <f t="shared" si="0"/>
        <v>0</v>
      </c>
    </row>
    <row r="20" spans="1:12">
      <c r="A20" s="101">
        <f>ком.усл!A30</f>
        <v>35</v>
      </c>
      <c r="B20" s="6" t="s">
        <v>76</v>
      </c>
      <c r="C20" s="37" t="s">
        <v>17</v>
      </c>
      <c r="D20" s="6">
        <v>1</v>
      </c>
      <c r="E20" s="8">
        <f>248*8*(A20/1979)</f>
        <v>35.088428499242042</v>
      </c>
      <c r="F20" s="30">
        <f>E20/A20</f>
        <v>1.0025265285497726</v>
      </c>
      <c r="G20" s="41">
        <f>D20/E20*F20</f>
        <v>2.8571428571428574E-2</v>
      </c>
      <c r="H20" s="7"/>
      <c r="I20" s="84">
        <f>H20*G20</f>
        <v>0</v>
      </c>
      <c r="L20" s="1">
        <f t="shared" si="0"/>
        <v>0</v>
      </c>
    </row>
    <row r="21" spans="1:12" s="1" customFormat="1" ht="15.75" thickBot="1">
      <c r="A21" s="103"/>
      <c r="B21" s="19"/>
      <c r="C21" s="19"/>
      <c r="D21" s="19"/>
      <c r="E21" s="19"/>
      <c r="F21" s="19"/>
      <c r="G21" s="22"/>
      <c r="H21" s="43"/>
      <c r="I21" s="81">
        <f>SUM(I19:I20)</f>
        <v>0</v>
      </c>
      <c r="J21" s="108"/>
      <c r="K21" s="108">
        <f>I21*A20</f>
        <v>0</v>
      </c>
      <c r="L21" s="1">
        <f t="shared" si="0"/>
        <v>0</v>
      </c>
    </row>
    <row r="22" spans="1:12" ht="14.25" customHeight="1">
      <c r="A22" s="100" t="s">
        <v>64</v>
      </c>
      <c r="B22" s="14" t="s">
        <v>43</v>
      </c>
      <c r="C22" s="45" t="s">
        <v>44</v>
      </c>
      <c r="D22" s="14">
        <v>3</v>
      </c>
      <c r="E22" s="52">
        <f>248*8*(A23/1979)</f>
        <v>212.53562405255181</v>
      </c>
      <c r="F22" s="29">
        <f>E22/A23</f>
        <v>1.0025265285497726</v>
      </c>
      <c r="G22" s="42">
        <f>D22/E22*F22</f>
        <v>1.4150943396226414E-2</v>
      </c>
      <c r="H22" s="15">
        <v>1500</v>
      </c>
      <c r="I22" s="82">
        <f>H22*G22</f>
        <v>21.226415094339622</v>
      </c>
      <c r="L22" s="1">
        <f t="shared" si="0"/>
        <v>0</v>
      </c>
    </row>
    <row r="23" spans="1:12">
      <c r="A23" s="101">
        <f>ком.усл!A35</f>
        <v>212</v>
      </c>
      <c r="B23" s="6" t="s">
        <v>76</v>
      </c>
      <c r="C23" s="37" t="s">
        <v>17</v>
      </c>
      <c r="D23" s="6">
        <v>1</v>
      </c>
      <c r="E23" s="8">
        <f>248*8*(A23/1979)</f>
        <v>212.53562405255181</v>
      </c>
      <c r="F23" s="30">
        <f>E23/A23</f>
        <v>1.0025265285497726</v>
      </c>
      <c r="G23" s="41">
        <f>D23/E23*F23</f>
        <v>4.7169811320754715E-3</v>
      </c>
      <c r="H23" s="7">
        <v>3500</v>
      </c>
      <c r="I23" s="84">
        <f>H23*G23</f>
        <v>16.509433962264151</v>
      </c>
      <c r="L23" s="1">
        <f t="shared" si="0"/>
        <v>0</v>
      </c>
    </row>
    <row r="24" spans="1:12" s="1" customFormat="1" ht="15.75" thickBot="1">
      <c r="A24" s="103"/>
      <c r="B24" s="19"/>
      <c r="C24" s="19"/>
      <c r="D24" s="19"/>
      <c r="E24" s="19"/>
      <c r="F24" s="19"/>
      <c r="G24" s="22"/>
      <c r="H24" s="43"/>
      <c r="I24" s="81">
        <f>SUM(I22:I23)</f>
        <v>37.735849056603769</v>
      </c>
      <c r="J24" s="108">
        <v>8000</v>
      </c>
      <c r="K24" s="108">
        <f>I24*A23</f>
        <v>7999.9999999999991</v>
      </c>
      <c r="L24" s="1">
        <f t="shared" si="0"/>
        <v>0</v>
      </c>
    </row>
    <row r="25" spans="1:12" ht="13.7" customHeight="1">
      <c r="A25" s="100" t="s">
        <v>65</v>
      </c>
      <c r="B25" s="14" t="s">
        <v>43</v>
      </c>
      <c r="C25" s="45" t="s">
        <v>44</v>
      </c>
      <c r="D25" s="14">
        <v>3</v>
      </c>
      <c r="E25" s="52">
        <f>248*8*(A26/1979)</f>
        <v>252.63668519454271</v>
      </c>
      <c r="F25" s="29">
        <f>E25/A26</f>
        <v>1.0025265285497726</v>
      </c>
      <c r="G25" s="42">
        <f>D25/E25*F25</f>
        <v>1.1904761904761904E-2</v>
      </c>
      <c r="H25" s="15">
        <v>2500</v>
      </c>
      <c r="I25" s="82">
        <f>H25*G25</f>
        <v>29.761904761904759</v>
      </c>
      <c r="L25" s="1">
        <f t="shared" si="0"/>
        <v>0</v>
      </c>
    </row>
    <row r="26" spans="1:12">
      <c r="A26" s="101">
        <f>ком.усл!A40</f>
        <v>252</v>
      </c>
      <c r="B26" s="6" t="s">
        <v>76</v>
      </c>
      <c r="C26" s="37" t="s">
        <v>17</v>
      </c>
      <c r="D26" s="6">
        <v>1</v>
      </c>
      <c r="E26" s="8">
        <f>248*8*(A26/1979)</f>
        <v>252.63668519454271</v>
      </c>
      <c r="F26" s="30">
        <f>E26/A26</f>
        <v>1.0025265285497726</v>
      </c>
      <c r="G26" s="41">
        <f>D26/E26*F26</f>
        <v>3.968253968253968E-3</v>
      </c>
      <c r="H26" s="7">
        <v>19100</v>
      </c>
      <c r="I26" s="84">
        <f>H26*G26</f>
        <v>75.793650793650784</v>
      </c>
      <c r="L26" s="1">
        <f t="shared" si="0"/>
        <v>0</v>
      </c>
    </row>
    <row r="27" spans="1:12" s="1" customFormat="1" ht="15.75" thickBot="1">
      <c r="A27" s="103"/>
      <c r="B27" s="19"/>
      <c r="C27" s="19"/>
      <c r="D27" s="19"/>
      <c r="E27" s="19"/>
      <c r="F27" s="19"/>
      <c r="G27" s="22"/>
      <c r="H27" s="43"/>
      <c r="I27" s="81">
        <f>SUM(I25:I26)</f>
        <v>105.55555555555554</v>
      </c>
      <c r="J27" s="108">
        <v>26600</v>
      </c>
      <c r="K27" s="108">
        <f>I27*A26</f>
        <v>26599.999999999996</v>
      </c>
      <c r="L27" s="1">
        <f t="shared" si="0"/>
        <v>0</v>
      </c>
    </row>
    <row r="28" spans="1:12" ht="13.7" customHeight="1">
      <c r="A28" s="100" t="s">
        <v>97</v>
      </c>
      <c r="B28" s="14" t="s">
        <v>43</v>
      </c>
      <c r="C28" s="45" t="s">
        <v>44</v>
      </c>
      <c r="D28" s="14">
        <v>1</v>
      </c>
      <c r="E28" s="52">
        <f>248*8*(A29/1979)</f>
        <v>130.32844871147046</v>
      </c>
      <c r="F28" s="29">
        <f>E28/A29</f>
        <v>1.0025265285497726</v>
      </c>
      <c r="G28" s="42">
        <f>D28/E28*F28</f>
        <v>7.6923076923076919E-3</v>
      </c>
      <c r="H28" s="15"/>
      <c r="I28" s="82">
        <f>H28*G28</f>
        <v>0</v>
      </c>
      <c r="L28" s="1">
        <f t="shared" si="0"/>
        <v>0</v>
      </c>
    </row>
    <row r="29" spans="1:12">
      <c r="A29" s="101">
        <f>ком.усл!A45</f>
        <v>130</v>
      </c>
      <c r="B29" s="6" t="s">
        <v>76</v>
      </c>
      <c r="C29" s="37" t="s">
        <v>17</v>
      </c>
      <c r="D29" s="6">
        <v>1</v>
      </c>
      <c r="E29" s="8">
        <f>248*8*(A29/1979)</f>
        <v>130.32844871147046</v>
      </c>
      <c r="F29" s="30">
        <f>E29/A29</f>
        <v>1.0025265285497726</v>
      </c>
      <c r="G29" s="41">
        <f>D29/E29*F29</f>
        <v>7.6923076923076919E-3</v>
      </c>
      <c r="H29" s="7"/>
      <c r="I29" s="84">
        <f>H29*G29</f>
        <v>0</v>
      </c>
      <c r="L29" s="1">
        <f t="shared" si="0"/>
        <v>0</v>
      </c>
    </row>
    <row r="30" spans="1:12" s="1" customFormat="1" ht="15.75" thickBot="1">
      <c r="A30" s="103"/>
      <c r="B30" s="19"/>
      <c r="C30" s="19"/>
      <c r="D30" s="19"/>
      <c r="E30" s="19"/>
      <c r="F30" s="19"/>
      <c r="G30" s="22"/>
      <c r="H30" s="43"/>
      <c r="I30" s="81">
        <f>SUM(I28:I29)</f>
        <v>0</v>
      </c>
      <c r="J30" s="108">
        <v>0</v>
      </c>
      <c r="K30" s="108">
        <f>I30*A29</f>
        <v>0</v>
      </c>
      <c r="L30" s="1">
        <f t="shared" si="0"/>
        <v>0</v>
      </c>
    </row>
    <row r="31" spans="1:12" ht="13.7" customHeight="1">
      <c r="A31" s="100" t="s">
        <v>66</v>
      </c>
      <c r="B31" s="14" t="s">
        <v>43</v>
      </c>
      <c r="C31" s="45" t="s">
        <v>44</v>
      </c>
      <c r="D31" s="14">
        <v>1</v>
      </c>
      <c r="E31" s="52">
        <f>248*8*(A32/1979)</f>
        <v>125.31581606872159</v>
      </c>
      <c r="F31" s="29">
        <f>E31/A32</f>
        <v>1.0025265285497726</v>
      </c>
      <c r="G31" s="42">
        <f>D31/E31*F31</f>
        <v>8.0000000000000002E-3</v>
      </c>
      <c r="H31" s="15">
        <v>1500</v>
      </c>
      <c r="I31" s="82">
        <f>H31*G31</f>
        <v>12</v>
      </c>
      <c r="L31" s="1">
        <f t="shared" si="0"/>
        <v>0</v>
      </c>
    </row>
    <row r="32" spans="1:12">
      <c r="A32" s="101">
        <f>ком.усл!A50</f>
        <v>125</v>
      </c>
      <c r="B32" s="6" t="s">
        <v>76</v>
      </c>
      <c r="C32" s="37" t="s">
        <v>17</v>
      </c>
      <c r="D32" s="6">
        <v>1</v>
      </c>
      <c r="E32" s="8">
        <f>248*8*(A32/1979)</f>
        <v>125.31581606872159</v>
      </c>
      <c r="F32" s="30">
        <f>E32/A32</f>
        <v>1.0025265285497726</v>
      </c>
      <c r="G32" s="41">
        <f>D32/E32*F32</f>
        <v>8.0000000000000002E-3</v>
      </c>
      <c r="H32" s="7">
        <v>3456</v>
      </c>
      <c r="I32" s="84">
        <f>H32*G32</f>
        <v>27.648</v>
      </c>
      <c r="L32" s="1">
        <f t="shared" si="0"/>
        <v>0</v>
      </c>
    </row>
    <row r="33" spans="1:12" s="1" customFormat="1" ht="15.75" thickBot="1">
      <c r="A33" s="103"/>
      <c r="B33" s="19"/>
      <c r="C33" s="19"/>
      <c r="D33" s="19"/>
      <c r="E33" s="19"/>
      <c r="F33" s="19"/>
      <c r="G33" s="22"/>
      <c r="H33" s="43"/>
      <c r="I33" s="81">
        <f>SUM(I31:I32)</f>
        <v>39.647999999999996</v>
      </c>
      <c r="J33" s="108">
        <v>4956</v>
      </c>
      <c r="K33" s="108">
        <f>I33*A32</f>
        <v>4955.9999999999991</v>
      </c>
      <c r="L33" s="1">
        <f t="shared" si="0"/>
        <v>0</v>
      </c>
    </row>
    <row r="34" spans="1:12" ht="15" customHeight="1">
      <c r="A34" s="100" t="s">
        <v>68</v>
      </c>
      <c r="B34" s="14" t="s">
        <v>43</v>
      </c>
      <c r="C34" s="45" t="s">
        <v>44</v>
      </c>
      <c r="D34" s="14">
        <v>3</v>
      </c>
      <c r="E34" s="52">
        <f>248*8*(A35/1979)</f>
        <v>191.48256695300657</v>
      </c>
      <c r="F34" s="29">
        <f>E34/A35</f>
        <v>1.0025265285497726</v>
      </c>
      <c r="G34" s="42">
        <f>D34/E34*F34</f>
        <v>1.5706806282722512E-2</v>
      </c>
      <c r="H34" s="15">
        <v>1500</v>
      </c>
      <c r="I34" s="82">
        <f>H34*G34</f>
        <v>23.560209424083769</v>
      </c>
      <c r="L34" s="1">
        <f t="shared" si="0"/>
        <v>0</v>
      </c>
    </row>
    <row r="35" spans="1:12">
      <c r="A35" s="101">
        <f>ком.усл!A60</f>
        <v>191</v>
      </c>
      <c r="B35" s="6" t="s">
        <v>76</v>
      </c>
      <c r="C35" s="37" t="s">
        <v>17</v>
      </c>
      <c r="D35" s="6">
        <v>1</v>
      </c>
      <c r="E35" s="8">
        <f>248*8*(A35/1979)</f>
        <v>191.48256695300657</v>
      </c>
      <c r="F35" s="30">
        <f>E35/A35</f>
        <v>1.0025265285497726</v>
      </c>
      <c r="G35" s="41">
        <f>D35/E35*F35</f>
        <v>5.235602094240838E-3</v>
      </c>
      <c r="H35" s="7">
        <v>4943</v>
      </c>
      <c r="I35" s="84">
        <f>H35*G35</f>
        <v>25.879581151832461</v>
      </c>
      <c r="L35" s="1">
        <f t="shared" si="0"/>
        <v>0</v>
      </c>
    </row>
    <row r="36" spans="1:12" s="1" customFormat="1" ht="15.75" thickBot="1">
      <c r="A36" s="103"/>
      <c r="B36" s="19"/>
      <c r="C36" s="19"/>
      <c r="D36" s="19"/>
      <c r="E36" s="19"/>
      <c r="F36" s="19"/>
      <c r="G36" s="22"/>
      <c r="H36" s="43"/>
      <c r="I36" s="81">
        <f>SUM(I34:I35)</f>
        <v>49.439790575916234</v>
      </c>
      <c r="J36" s="108">
        <v>9443</v>
      </c>
      <c r="K36" s="108">
        <f>I36*A35</f>
        <v>9443</v>
      </c>
      <c r="L36" s="1">
        <f t="shared" si="0"/>
        <v>0</v>
      </c>
    </row>
    <row r="37" spans="1:12" ht="12.75" customHeight="1">
      <c r="A37" s="100" t="s">
        <v>67</v>
      </c>
      <c r="B37" s="14" t="s">
        <v>43</v>
      </c>
      <c r="C37" s="45" t="s">
        <v>44</v>
      </c>
      <c r="D37" s="14">
        <v>3</v>
      </c>
      <c r="E37" s="52">
        <f>248*8*(A38/1979)</f>
        <v>257.64931783729156</v>
      </c>
      <c r="F37" s="29">
        <f>E37/A38</f>
        <v>1.0025265285497726</v>
      </c>
      <c r="G37" s="42">
        <f>D37/E37*F37</f>
        <v>1.1673151750972763E-2</v>
      </c>
      <c r="H37" s="15">
        <v>4950</v>
      </c>
      <c r="I37" s="82">
        <f>H37*G37</f>
        <v>57.782101167315176</v>
      </c>
      <c r="L37" s="1">
        <f t="shared" si="0"/>
        <v>0</v>
      </c>
    </row>
    <row r="38" spans="1:12">
      <c r="A38" s="101">
        <f>ком.усл!A55</f>
        <v>257</v>
      </c>
      <c r="B38" s="6" t="s">
        <v>76</v>
      </c>
      <c r="C38" s="37" t="s">
        <v>17</v>
      </c>
      <c r="D38" s="6">
        <v>1</v>
      </c>
      <c r="E38" s="8">
        <f>248*8*(A38/1979)</f>
        <v>257.64931783729156</v>
      </c>
      <c r="F38" s="30">
        <f>E38/A38</f>
        <v>1.0025265285497726</v>
      </c>
      <c r="G38" s="41">
        <f>D38/E38*F38</f>
        <v>3.8910505836575876E-3</v>
      </c>
      <c r="H38" s="7">
        <v>11950</v>
      </c>
      <c r="I38" s="84">
        <f>H38*G38</f>
        <v>46.498054474708169</v>
      </c>
      <c r="L38" s="1">
        <f t="shared" si="0"/>
        <v>0</v>
      </c>
    </row>
    <row r="39" spans="1:12" s="1" customFormat="1" ht="15.75" thickBot="1">
      <c r="A39" s="103"/>
      <c r="B39" s="19"/>
      <c r="C39" s="19"/>
      <c r="D39" s="19"/>
      <c r="E39" s="19"/>
      <c r="F39" s="19"/>
      <c r="G39" s="22"/>
      <c r="H39" s="43"/>
      <c r="I39" s="81">
        <f>SUM(I37:I38)</f>
        <v>104.28015564202335</v>
      </c>
      <c r="J39" s="108">
        <v>26800</v>
      </c>
      <c r="K39" s="108">
        <f>I39*A38</f>
        <v>26800</v>
      </c>
      <c r="L39" s="1">
        <f t="shared" si="0"/>
        <v>0</v>
      </c>
    </row>
    <row r="40" spans="1:12" s="1" customFormat="1" ht="15.75" thickBot="1">
      <c r="A40" s="104"/>
      <c r="B40" s="47"/>
      <c r="C40" s="47"/>
      <c r="D40" s="47"/>
      <c r="E40" s="53"/>
      <c r="F40" s="47"/>
      <c r="G40" s="49"/>
      <c r="H40" s="50"/>
      <c r="I40" s="83"/>
      <c r="J40" s="108"/>
      <c r="K40" s="108"/>
      <c r="L40" s="1">
        <f t="shared" si="0"/>
        <v>0</v>
      </c>
    </row>
    <row r="41" spans="1:12" ht="13.7" customHeight="1">
      <c r="A41" s="100" t="s">
        <v>69</v>
      </c>
      <c r="B41" s="14" t="s">
        <v>43</v>
      </c>
      <c r="C41" s="45" t="s">
        <v>44</v>
      </c>
      <c r="D41" s="14">
        <v>3</v>
      </c>
      <c r="E41" s="52">
        <f>248*8*(A42/1979)</f>
        <v>317.80090955027794</v>
      </c>
      <c r="F41" s="29">
        <f>E41/A42</f>
        <v>1.0025265285497726</v>
      </c>
      <c r="G41" s="42">
        <f>D41/E41*F41</f>
        <v>9.4637223974763408E-3</v>
      </c>
      <c r="H41" s="15">
        <v>3000</v>
      </c>
      <c r="I41" s="82">
        <f>H41*G41</f>
        <v>28.391167192429023</v>
      </c>
      <c r="L41" s="1">
        <f t="shared" si="0"/>
        <v>0</v>
      </c>
    </row>
    <row r="42" spans="1:12">
      <c r="A42" s="101">
        <f>ком.усл!A66</f>
        <v>317</v>
      </c>
      <c r="B42" s="6" t="s">
        <v>76</v>
      </c>
      <c r="C42" s="37" t="s">
        <v>17</v>
      </c>
      <c r="D42" s="6">
        <v>1</v>
      </c>
      <c r="E42" s="8">
        <f>248*8*(A42/1979)</f>
        <v>317.80090955027794</v>
      </c>
      <c r="F42" s="30">
        <f>E42/A42</f>
        <v>1.0025265285497726</v>
      </c>
      <c r="G42" s="41">
        <f>D42/E42*F42</f>
        <v>3.1545741324921135E-3</v>
      </c>
      <c r="H42" s="7">
        <v>5000</v>
      </c>
      <c r="I42" s="84">
        <f>H42*G42</f>
        <v>15.772870662460567</v>
      </c>
      <c r="L42" s="1">
        <f t="shared" si="0"/>
        <v>0</v>
      </c>
    </row>
    <row r="43" spans="1:12" s="1" customFormat="1" ht="15.75" thickBot="1">
      <c r="A43" s="103"/>
      <c r="B43" s="19"/>
      <c r="C43" s="19"/>
      <c r="D43" s="19"/>
      <c r="E43" s="19"/>
      <c r="F43" s="19"/>
      <c r="G43" s="22"/>
      <c r="H43" s="43"/>
      <c r="I43" s="81">
        <f>SUM(I41:I42)</f>
        <v>44.164037854889592</v>
      </c>
      <c r="J43" s="108">
        <v>14000</v>
      </c>
      <c r="K43" s="108">
        <f>I43*A42</f>
        <v>14000</v>
      </c>
      <c r="L43" s="1">
        <f t="shared" si="0"/>
        <v>0</v>
      </c>
    </row>
    <row r="44" spans="1:12" ht="15.75" customHeight="1">
      <c r="A44" s="100" t="s">
        <v>70</v>
      </c>
      <c r="B44" s="14" t="s">
        <v>43</v>
      </c>
      <c r="C44" s="45" t="s">
        <v>44</v>
      </c>
      <c r="D44" s="14">
        <v>10</v>
      </c>
      <c r="E44" s="52">
        <f>248*8*(A45/1979)</f>
        <v>402.01313794845879</v>
      </c>
      <c r="F44" s="29">
        <f>E44/A45</f>
        <v>1.0025265285497726</v>
      </c>
      <c r="G44" s="42">
        <f>D44/E44*F44</f>
        <v>2.4937655860349132E-2</v>
      </c>
      <c r="H44" s="15">
        <v>1260</v>
      </c>
      <c r="I44" s="82">
        <f>H44*G44</f>
        <v>31.421446384039907</v>
      </c>
      <c r="L44" s="1">
        <f t="shared" si="0"/>
        <v>0</v>
      </c>
    </row>
    <row r="45" spans="1:12">
      <c r="A45" s="101">
        <f>ком.усл!A71</f>
        <v>401</v>
      </c>
      <c r="B45" s="6" t="s">
        <v>76</v>
      </c>
      <c r="C45" s="37" t="s">
        <v>17</v>
      </c>
      <c r="D45" s="6">
        <v>1</v>
      </c>
      <c r="E45" s="8">
        <f>248*8*(A45/1979)</f>
        <v>402.01313794845879</v>
      </c>
      <c r="F45" s="30">
        <f>E45/A45</f>
        <v>1.0025265285497726</v>
      </c>
      <c r="G45" s="41">
        <f>D45/E45*F45</f>
        <v>2.4937655860349127E-3</v>
      </c>
      <c r="H45" s="7">
        <v>11160</v>
      </c>
      <c r="I45" s="84">
        <f>H45*G45</f>
        <v>27.830423940149625</v>
      </c>
      <c r="L45" s="1">
        <f t="shared" si="0"/>
        <v>0</v>
      </c>
    </row>
    <row r="46" spans="1:12" s="1" customFormat="1" ht="15.75" thickBot="1">
      <c r="A46" s="103"/>
      <c r="B46" s="19"/>
      <c r="C46" s="19"/>
      <c r="D46" s="19"/>
      <c r="E46" s="19"/>
      <c r="F46" s="19"/>
      <c r="G46" s="22"/>
      <c r="H46" s="43"/>
      <c r="I46" s="81">
        <f>SUM(I44:I45)</f>
        <v>59.251870324189532</v>
      </c>
      <c r="J46" s="108">
        <v>23760</v>
      </c>
      <c r="K46" s="108">
        <f>I46*A45</f>
        <v>23760.000000000004</v>
      </c>
      <c r="L46" s="1">
        <f t="shared" si="0"/>
        <v>0</v>
      </c>
    </row>
    <row r="47" spans="1:12" s="1" customFormat="1">
      <c r="A47" s="104"/>
      <c r="B47" s="47"/>
      <c r="C47" s="47"/>
      <c r="D47" s="47"/>
      <c r="E47" s="47"/>
      <c r="F47" s="47"/>
      <c r="G47" s="49"/>
      <c r="H47" s="50"/>
      <c r="I47" s="50"/>
      <c r="J47" s="108"/>
      <c r="K47" s="108"/>
    </row>
    <row r="48" spans="1:12" ht="15.75" thickBot="1">
      <c r="I48" s="57"/>
    </row>
    <row r="49" spans="1:14" ht="75">
      <c r="A49" s="98" t="s">
        <v>2</v>
      </c>
      <c r="B49" s="23" t="s">
        <v>15</v>
      </c>
      <c r="C49" s="23" t="s">
        <v>14</v>
      </c>
      <c r="D49" s="23" t="s">
        <v>16</v>
      </c>
      <c r="E49" s="73" t="s">
        <v>27</v>
      </c>
      <c r="F49" s="23" t="s">
        <v>28</v>
      </c>
      <c r="G49" s="23" t="s">
        <v>29</v>
      </c>
      <c r="H49" s="23" t="s">
        <v>30</v>
      </c>
      <c r="I49" s="23" t="s">
        <v>47</v>
      </c>
      <c r="J49" s="120" t="s">
        <v>11</v>
      </c>
      <c r="K49" s="119" t="s">
        <v>34</v>
      </c>
      <c r="L49" s="2" t="s">
        <v>33</v>
      </c>
      <c r="N49" s="1" t="s">
        <v>96</v>
      </c>
    </row>
    <row r="50" spans="1:14">
      <c r="A50" s="105">
        <v>1</v>
      </c>
      <c r="B50" s="11">
        <v>2</v>
      </c>
      <c r="C50" s="11">
        <v>3</v>
      </c>
      <c r="D50" s="11">
        <v>4</v>
      </c>
      <c r="E50" s="11">
        <v>5</v>
      </c>
      <c r="F50" s="11">
        <v>6</v>
      </c>
      <c r="G50" s="11" t="s">
        <v>31</v>
      </c>
      <c r="H50" s="10">
        <v>8</v>
      </c>
      <c r="I50" s="40">
        <v>9</v>
      </c>
      <c r="J50" s="121" t="s">
        <v>48</v>
      </c>
    </row>
    <row r="51" spans="1:14" ht="17.25" customHeight="1">
      <c r="A51" s="107" t="s">
        <v>59</v>
      </c>
      <c r="B51" s="6" t="s">
        <v>45</v>
      </c>
      <c r="C51" s="37" t="s">
        <v>46</v>
      </c>
      <c r="D51" s="6">
        <v>1</v>
      </c>
      <c r="E51" s="8">
        <f>E7</f>
        <v>239.60384032339564</v>
      </c>
      <c r="F51" s="30">
        <v>1.0025299999999999</v>
      </c>
      <c r="G51" s="41">
        <f t="shared" ref="G51:G61" si="1">D51/E51*F51</f>
        <v>4.1841149067013096E-3</v>
      </c>
      <c r="H51" s="7">
        <v>10.56489</v>
      </c>
      <c r="I51" s="8">
        <v>12</v>
      </c>
      <c r="J51" s="122">
        <f t="shared" ref="J51:J61" si="2">I51*H51</f>
        <v>126.77868000000001</v>
      </c>
      <c r="K51" s="117">
        <v>30300</v>
      </c>
      <c r="L51" s="117">
        <f>J51*A8</f>
        <v>30300.104520000001</v>
      </c>
      <c r="M51" s="3">
        <f t="shared" ref="M51:M63" si="3">L51-K51</f>
        <v>0.10452000000077533</v>
      </c>
      <c r="N51" s="118">
        <f>K51/12*G51</f>
        <v>10.564890139420807</v>
      </c>
    </row>
    <row r="52" spans="1:14" s="1" customFormat="1" ht="17.25" customHeight="1">
      <c r="A52" s="107" t="s">
        <v>61</v>
      </c>
      <c r="B52" s="6" t="s">
        <v>45</v>
      </c>
      <c r="C52" s="37" t="s">
        <v>46</v>
      </c>
      <c r="D52" s="6">
        <v>2</v>
      </c>
      <c r="E52" s="8">
        <f>E10</f>
        <v>192.48509348155633</v>
      </c>
      <c r="F52" s="30">
        <v>1.0025299999999999</v>
      </c>
      <c r="G52" s="41">
        <f t="shared" si="1"/>
        <v>1.0416702736475134E-2</v>
      </c>
      <c r="H52" s="7">
        <v>9.6</v>
      </c>
      <c r="I52" s="8">
        <v>12</v>
      </c>
      <c r="J52" s="122">
        <f t="shared" si="2"/>
        <v>115.19999999999999</v>
      </c>
      <c r="K52" s="117">
        <v>22118.400000000001</v>
      </c>
      <c r="L52" s="117">
        <f>J52*A11</f>
        <v>22118.399999999998</v>
      </c>
      <c r="M52" s="3">
        <f t="shared" si="3"/>
        <v>0</v>
      </c>
      <c r="N52" s="118">
        <f>K52/12/225</f>
        <v>8.1920000000000002</v>
      </c>
    </row>
    <row r="53" spans="1:14" s="1" customFormat="1" ht="17.25" customHeight="1">
      <c r="A53" s="107" t="s">
        <v>62</v>
      </c>
      <c r="B53" s="6" t="s">
        <v>45</v>
      </c>
      <c r="C53" s="37" t="s">
        <v>46</v>
      </c>
      <c r="D53" s="6">
        <v>1</v>
      </c>
      <c r="E53" s="8">
        <f>E13</f>
        <v>214.54067710965134</v>
      </c>
      <c r="F53" s="30">
        <v>1.0025299999999999</v>
      </c>
      <c r="G53" s="41">
        <f t="shared" si="1"/>
        <v>4.6729133771103402E-3</v>
      </c>
      <c r="H53" s="7">
        <v>10.023399</v>
      </c>
      <c r="I53" s="8">
        <v>12</v>
      </c>
      <c r="J53" s="122">
        <f t="shared" si="2"/>
        <v>120.280788</v>
      </c>
      <c r="K53" s="117">
        <v>25740</v>
      </c>
      <c r="L53" s="117">
        <f>J53*A14</f>
        <v>25740.088631999999</v>
      </c>
      <c r="M53" s="3">
        <f t="shared" si="3"/>
        <v>8.8631999999051914E-2</v>
      </c>
      <c r="N53" s="118">
        <f>K53/12*G53</f>
        <v>10.02339919390168</v>
      </c>
    </row>
    <row r="54" spans="1:14" s="1" customFormat="1" ht="17.25" customHeight="1">
      <c r="A54" s="107" t="s">
        <v>63</v>
      </c>
      <c r="B54" s="6" t="s">
        <v>45</v>
      </c>
      <c r="C54" s="37" t="s">
        <v>46</v>
      </c>
      <c r="D54" s="6">
        <v>1</v>
      </c>
      <c r="E54" s="8">
        <f>E16</f>
        <v>152.38403233956544</v>
      </c>
      <c r="F54" s="30">
        <v>1.0025299999999999</v>
      </c>
      <c r="G54" s="41">
        <f t="shared" si="1"/>
        <v>6.5789701493527159E-3</v>
      </c>
      <c r="H54" s="7">
        <v>16.447424999999999</v>
      </c>
      <c r="I54" s="8">
        <v>12</v>
      </c>
      <c r="J54" s="122">
        <f t="shared" si="2"/>
        <v>197.3691</v>
      </c>
      <c r="K54" s="117">
        <v>30000</v>
      </c>
      <c r="L54" s="117">
        <f>J54*A17</f>
        <v>30000.103200000001</v>
      </c>
      <c r="M54" s="3">
        <f t="shared" si="3"/>
        <v>0.10320000000137952</v>
      </c>
      <c r="N54" s="118">
        <f>K54/12*G54</f>
        <v>16.44742537338179</v>
      </c>
    </row>
    <row r="55" spans="1:14" s="1" customFormat="1" ht="17.25" customHeight="1">
      <c r="A55" s="107" t="s">
        <v>102</v>
      </c>
      <c r="B55" s="6" t="s">
        <v>45</v>
      </c>
      <c r="C55" s="37" t="s">
        <v>46</v>
      </c>
      <c r="D55" s="6">
        <v>1</v>
      </c>
      <c r="E55" s="8">
        <f>E19</f>
        <v>35.088428499242042</v>
      </c>
      <c r="F55" s="30">
        <v>1.0025299999999999</v>
      </c>
      <c r="G55" s="41">
        <f t="shared" si="1"/>
        <v>2.8571527505760367E-2</v>
      </c>
      <c r="H55" s="7"/>
      <c r="I55" s="8">
        <v>12</v>
      </c>
      <c r="J55" s="122">
        <f t="shared" si="2"/>
        <v>0</v>
      </c>
      <c r="K55" s="117"/>
      <c r="L55" s="117">
        <f>J55*A20</f>
        <v>0</v>
      </c>
      <c r="M55" s="3">
        <f t="shared" si="3"/>
        <v>0</v>
      </c>
      <c r="N55" s="118">
        <f>K55/12*G55</f>
        <v>0</v>
      </c>
    </row>
    <row r="56" spans="1:14" s="1" customFormat="1" ht="17.25" customHeight="1">
      <c r="A56" s="107" t="s">
        <v>64</v>
      </c>
      <c r="B56" s="6" t="s">
        <v>45</v>
      </c>
      <c r="C56" s="37" t="s">
        <v>46</v>
      </c>
      <c r="D56" s="6">
        <v>2</v>
      </c>
      <c r="E56" s="8">
        <f>E22</f>
        <v>212.53562405255181</v>
      </c>
      <c r="F56" s="30">
        <v>1.0025299999999999</v>
      </c>
      <c r="G56" s="41">
        <f t="shared" si="1"/>
        <v>9.4339949311472906E-3</v>
      </c>
      <c r="H56" s="7">
        <v>9.4663740000000001</v>
      </c>
      <c r="I56" s="8">
        <v>12</v>
      </c>
      <c r="J56" s="122">
        <f t="shared" si="2"/>
        <v>113.59648799999999</v>
      </c>
      <c r="K56" s="117">
        <v>24082.46</v>
      </c>
      <c r="L56" s="117">
        <f>J56*A23</f>
        <v>24082.455456</v>
      </c>
      <c r="M56" s="3">
        <f t="shared" si="3"/>
        <v>-4.5439999994414393E-3</v>
      </c>
      <c r="N56" s="118">
        <f>K56/12/228</f>
        <v>8.8020687134502928</v>
      </c>
    </row>
    <row r="57" spans="1:14" s="1" customFormat="1" ht="17.25" customHeight="1">
      <c r="A57" s="107" t="s">
        <v>65</v>
      </c>
      <c r="B57" s="6" t="s">
        <v>45</v>
      </c>
      <c r="C57" s="37" t="s">
        <v>46</v>
      </c>
      <c r="D57" s="6">
        <v>2</v>
      </c>
      <c r="E57" s="8">
        <f>E25</f>
        <v>252.63668519454271</v>
      </c>
      <c r="F57" s="30">
        <v>1.0025299999999999</v>
      </c>
      <c r="G57" s="41">
        <f t="shared" si="1"/>
        <v>7.9365354182667682E-3</v>
      </c>
      <c r="H57" s="7">
        <v>10.64639</v>
      </c>
      <c r="I57" s="8">
        <v>12</v>
      </c>
      <c r="J57" s="122">
        <f t="shared" si="2"/>
        <v>127.75668</v>
      </c>
      <c r="K57" s="117">
        <v>32194.68</v>
      </c>
      <c r="L57" s="117">
        <f>J57*A26</f>
        <v>32194.683359999999</v>
      </c>
      <c r="M57" s="3">
        <f t="shared" si="3"/>
        <v>3.3599999987927731E-3</v>
      </c>
      <c r="N57" s="118">
        <f>K57/12/263</f>
        <v>10.201102661596957</v>
      </c>
    </row>
    <row r="58" spans="1:14" s="1" customFormat="1" ht="17.25" customHeight="1">
      <c r="A58" s="107" t="s">
        <v>97</v>
      </c>
      <c r="B58" s="6" t="s">
        <v>45</v>
      </c>
      <c r="C58" s="37" t="s">
        <v>46</v>
      </c>
      <c r="D58" s="6">
        <v>1</v>
      </c>
      <c r="E58" s="8">
        <f>E28</f>
        <v>130.32844871147046</v>
      </c>
      <c r="F58" s="30">
        <v>1.0025299999999999</v>
      </c>
      <c r="G58" s="41">
        <f t="shared" si="1"/>
        <v>7.6923343284739445E-3</v>
      </c>
      <c r="H58" s="7">
        <v>16.500057000000002</v>
      </c>
      <c r="I58" s="8">
        <v>12</v>
      </c>
      <c r="J58" s="122">
        <f t="shared" si="2"/>
        <v>198.00068400000004</v>
      </c>
      <c r="K58" s="117">
        <v>25740</v>
      </c>
      <c r="L58" s="117">
        <f>J58*A29</f>
        <v>25740.088920000006</v>
      </c>
      <c r="M58" s="3">
        <f t="shared" si="3"/>
        <v>8.8920000005600741E-2</v>
      </c>
      <c r="N58" s="118">
        <f>K58/12*G58</f>
        <v>16.500057134576611</v>
      </c>
    </row>
    <row r="59" spans="1:14" s="1" customFormat="1" ht="17.25" customHeight="1">
      <c r="A59" s="107" t="s">
        <v>66</v>
      </c>
      <c r="B59" s="6" t="s">
        <v>45</v>
      </c>
      <c r="C59" s="37" t="s">
        <v>46</v>
      </c>
      <c r="D59" s="6">
        <v>1</v>
      </c>
      <c r="E59" s="8">
        <f>E31</f>
        <v>125.31581606872159</v>
      </c>
      <c r="F59" s="30">
        <v>1.0025299999999999</v>
      </c>
      <c r="G59" s="41">
        <f t="shared" si="1"/>
        <v>8.0000277016129013E-3</v>
      </c>
      <c r="H59" s="7">
        <v>18.646730999999999</v>
      </c>
      <c r="I59" s="8">
        <v>12</v>
      </c>
      <c r="J59" s="122">
        <f t="shared" si="2"/>
        <v>223.76077199999997</v>
      </c>
      <c r="K59" s="117">
        <v>27970</v>
      </c>
      <c r="L59" s="117">
        <f>J59*A32</f>
        <v>27970.096499999996</v>
      </c>
      <c r="M59" s="3">
        <f t="shared" si="3"/>
        <v>9.6499999996012775E-2</v>
      </c>
      <c r="N59" s="118">
        <f>K59/12*G59</f>
        <v>18.646731234509407</v>
      </c>
    </row>
    <row r="60" spans="1:14" s="1" customFormat="1" ht="17.25" customHeight="1">
      <c r="A60" s="107" t="s">
        <v>68</v>
      </c>
      <c r="B60" s="6" t="s">
        <v>45</v>
      </c>
      <c r="C60" s="37" t="s">
        <v>46</v>
      </c>
      <c r="D60" s="6">
        <v>2</v>
      </c>
      <c r="E60" s="8">
        <f>E34</f>
        <v>191.48256695300657</v>
      </c>
      <c r="F60" s="30">
        <v>1.0025299999999999</v>
      </c>
      <c r="G60" s="41">
        <f t="shared" si="1"/>
        <v>1.0471240447137308E-2</v>
      </c>
      <c r="H60" s="7">
        <v>15.18919</v>
      </c>
      <c r="I60" s="8">
        <v>12</v>
      </c>
      <c r="J60" s="122">
        <f t="shared" si="2"/>
        <v>182.27028000000001</v>
      </c>
      <c r="K60" s="117">
        <v>34813.620000000003</v>
      </c>
      <c r="L60" s="117">
        <f>J60*A35</f>
        <v>34813.623480000002</v>
      </c>
      <c r="M60" s="3">
        <f t="shared" si="3"/>
        <v>3.4799999993992969E-3</v>
      </c>
      <c r="N60" s="118">
        <f>K60/12/185</f>
        <v>15.681810810810813</v>
      </c>
    </row>
    <row r="61" spans="1:14" s="1" customFormat="1" ht="17.25" customHeight="1">
      <c r="A61" s="107" t="s">
        <v>67</v>
      </c>
      <c r="B61" s="6" t="s">
        <v>45</v>
      </c>
      <c r="C61" s="37" t="s">
        <v>46</v>
      </c>
      <c r="D61" s="6">
        <v>2</v>
      </c>
      <c r="E61" s="8">
        <f>E37</f>
        <v>257.64931783729156</v>
      </c>
      <c r="F61" s="30">
        <v>1.0025299999999999</v>
      </c>
      <c r="G61" s="41">
        <f t="shared" si="1"/>
        <v>7.7821281144094378E-3</v>
      </c>
      <c r="H61" s="7">
        <v>17.098389999999998</v>
      </c>
      <c r="I61" s="8">
        <v>12</v>
      </c>
      <c r="J61" s="122">
        <f t="shared" si="2"/>
        <v>205.18068</v>
      </c>
      <c r="K61" s="117">
        <v>52731.43</v>
      </c>
      <c r="L61" s="117">
        <f>J61*A38</f>
        <v>52731.434759999996</v>
      </c>
      <c r="M61" s="3">
        <f t="shared" si="3"/>
        <v>4.7599999961676076E-3</v>
      </c>
      <c r="N61" s="118">
        <f>K61/12/249</f>
        <v>17.647734270414993</v>
      </c>
    </row>
    <row r="62" spans="1:14">
      <c r="J62" s="123"/>
      <c r="K62" s="117"/>
      <c r="L62" s="117"/>
      <c r="M62" s="3">
        <f t="shared" si="3"/>
        <v>0</v>
      </c>
      <c r="N62" s="118"/>
    </row>
    <row r="63" spans="1:14" s="1" customFormat="1" ht="17.25" customHeight="1">
      <c r="A63" s="107" t="s">
        <v>69</v>
      </c>
      <c r="B63" s="6" t="s">
        <v>45</v>
      </c>
      <c r="C63" s="37" t="s">
        <v>46</v>
      </c>
      <c r="D63" s="6">
        <v>2</v>
      </c>
      <c r="E63" s="8">
        <f>E41</f>
        <v>317.80090955027794</v>
      </c>
      <c r="F63" s="30">
        <v>1.0025299999999999</v>
      </c>
      <c r="G63" s="41">
        <f>D63/E63*F63</f>
        <v>6.3091701116820987E-3</v>
      </c>
      <c r="H63" s="7">
        <v>14.327489999999999</v>
      </c>
      <c r="I63" s="8">
        <v>12</v>
      </c>
      <c r="J63" s="122">
        <f>I63*H63</f>
        <v>171.92988</v>
      </c>
      <c r="K63" s="117">
        <v>54501.77</v>
      </c>
      <c r="L63" s="117">
        <f>J63*A42</f>
        <v>54501.771959999998</v>
      </c>
      <c r="M63" s="3">
        <f t="shared" si="3"/>
        <v>1.9600000014179386E-3</v>
      </c>
      <c r="N63" s="118">
        <f>K63/12/342</f>
        <v>13.280158382066276</v>
      </c>
    </row>
    <row r="64" spans="1:14" s="1" customFormat="1" ht="17.25" customHeight="1">
      <c r="A64" s="107" t="s">
        <v>70</v>
      </c>
      <c r="B64" s="6" t="s">
        <v>45</v>
      </c>
      <c r="C64" s="37" t="s">
        <v>46</v>
      </c>
      <c r="D64" s="6">
        <v>2</v>
      </c>
      <c r="E64" s="8">
        <f>E44</f>
        <v>402.01313794845879</v>
      </c>
      <c r="F64" s="30">
        <v>1.0025299999999999</v>
      </c>
      <c r="G64" s="41">
        <f>D64/E64*F64</f>
        <v>4.9875484424020591E-3</v>
      </c>
      <c r="H64" s="7">
        <v>13.711</v>
      </c>
      <c r="I64" s="8">
        <v>12</v>
      </c>
      <c r="J64" s="122">
        <f>I64*H64</f>
        <v>164.53200000000001</v>
      </c>
      <c r="K64" s="117">
        <v>65977.33</v>
      </c>
      <c r="L64" s="117">
        <f>J64*A45</f>
        <v>65977.332000000009</v>
      </c>
      <c r="M64" s="3">
        <f>L64-K64</f>
        <v>2.0000000076834112E-3</v>
      </c>
      <c r="N64" s="118">
        <f>K64/12/406</f>
        <v>13.542144909688012</v>
      </c>
    </row>
  </sheetData>
  <mergeCells count="1">
    <mergeCell ref="A3:H3"/>
  </mergeCells>
  <pageMargins left="0.51181102362204722" right="0" top="0.35433070866141736" bottom="0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T202"/>
  <sheetViews>
    <sheetView zoomScale="80" zoomScaleNormal="8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L202" sqref="L202"/>
    </sheetView>
  </sheetViews>
  <sheetFormatPr defaultRowHeight="15"/>
  <cols>
    <col min="1" max="1" width="17" customWidth="1"/>
    <col min="2" max="2" width="38" style="1" customWidth="1"/>
    <col min="3" max="3" width="9.7109375" style="1" customWidth="1"/>
    <col min="4" max="4" width="11.42578125" style="1" customWidth="1"/>
    <col min="5" max="5" width="8.42578125" style="108" customWidth="1"/>
    <col min="6" max="6" width="10.42578125" style="1" customWidth="1"/>
    <col min="7" max="7" width="12.5703125" customWidth="1"/>
    <col min="8" max="8" width="11.7109375" customWidth="1"/>
    <col min="9" max="9" width="9.42578125" style="1" customWidth="1"/>
    <col min="10" max="10" width="12.42578125" style="1" customWidth="1"/>
    <col min="11" max="11" width="11.28515625" style="1" customWidth="1"/>
    <col min="12" max="12" width="11.140625" style="1" customWidth="1"/>
    <col min="13" max="13" width="13.5703125" style="1" customWidth="1"/>
    <col min="14" max="20" width="9.140625" style="1"/>
  </cols>
  <sheetData>
    <row r="1" spans="1:13" ht="18.75">
      <c r="A1" s="66" t="s">
        <v>82</v>
      </c>
    </row>
    <row r="3" spans="1:13" ht="18.75">
      <c r="A3" s="92" t="s">
        <v>49</v>
      </c>
      <c r="B3" s="92"/>
      <c r="C3" s="92"/>
      <c r="D3" s="92"/>
      <c r="E3" s="92"/>
      <c r="F3" s="92"/>
      <c r="G3" s="92"/>
      <c r="H3" s="92"/>
      <c r="I3" s="92"/>
      <c r="J3" s="92"/>
    </row>
    <row r="5" spans="1:13" ht="117" customHeight="1">
      <c r="A5" s="4" t="s">
        <v>2</v>
      </c>
      <c r="B5" s="4" t="s">
        <v>4</v>
      </c>
      <c r="C5" s="4" t="s">
        <v>0</v>
      </c>
      <c r="D5" s="4" t="s">
        <v>13</v>
      </c>
      <c r="E5" s="109" t="s">
        <v>3</v>
      </c>
      <c r="F5" s="4" t="s">
        <v>1</v>
      </c>
      <c r="G5" s="4" t="s">
        <v>5</v>
      </c>
      <c r="H5" s="4" t="s">
        <v>7</v>
      </c>
      <c r="I5" s="4" t="s">
        <v>9</v>
      </c>
      <c r="J5" s="4" t="s">
        <v>11</v>
      </c>
      <c r="K5" s="2" t="s">
        <v>33</v>
      </c>
      <c r="L5" s="2" t="s">
        <v>34</v>
      </c>
      <c r="M5" s="2"/>
    </row>
    <row r="6" spans="1:13" ht="15.75" thickBot="1">
      <c r="A6" s="10">
        <v>1</v>
      </c>
      <c r="B6" s="11">
        <v>2</v>
      </c>
      <c r="C6" s="11">
        <v>3</v>
      </c>
      <c r="D6" s="11">
        <v>4</v>
      </c>
      <c r="E6" s="110">
        <v>5</v>
      </c>
      <c r="F6" s="11">
        <v>6</v>
      </c>
      <c r="G6" s="11" t="s">
        <v>6</v>
      </c>
      <c r="H6" s="10" t="s">
        <v>8</v>
      </c>
      <c r="I6" s="11" t="s">
        <v>10</v>
      </c>
      <c r="J6" s="11" t="s">
        <v>12</v>
      </c>
    </row>
    <row r="7" spans="1:13">
      <c r="A7" s="13" t="s">
        <v>59</v>
      </c>
      <c r="B7" s="6" t="s">
        <v>83</v>
      </c>
      <c r="C7" s="74">
        <v>4</v>
      </c>
      <c r="D7" s="8">
        <v>19407.999159999999</v>
      </c>
      <c r="E7" s="111">
        <f>ком.усл!A10</f>
        <v>239</v>
      </c>
      <c r="F7" s="6">
        <v>1979</v>
      </c>
      <c r="G7" s="7">
        <f t="shared" ref="G7:G16" si="0">C7*F7</f>
        <v>7916</v>
      </c>
      <c r="H7" s="7">
        <f t="shared" ref="H7:H16" si="1">G7/E7</f>
        <v>33.121338912133893</v>
      </c>
      <c r="I7" s="8">
        <f>D7*12*1.302/1979</f>
        <v>153.22414293877716</v>
      </c>
      <c r="J7" s="84">
        <f>I7*H7</f>
        <v>5074.9887677964862</v>
      </c>
    </row>
    <row r="8" spans="1:13">
      <c r="A8" s="17"/>
      <c r="B8" s="6" t="s">
        <v>84</v>
      </c>
      <c r="C8" s="74">
        <v>2</v>
      </c>
      <c r="D8" s="8">
        <v>19407.999159999999</v>
      </c>
      <c r="E8" s="111">
        <f>E7</f>
        <v>239</v>
      </c>
      <c r="F8" s="6">
        <v>1979</v>
      </c>
      <c r="G8" s="7">
        <f t="shared" si="0"/>
        <v>3958</v>
      </c>
      <c r="H8" s="7">
        <f t="shared" si="1"/>
        <v>16.560669456066947</v>
      </c>
      <c r="I8" s="8">
        <f t="shared" ref="I8:I16" si="2">D8*12*1.302/1979</f>
        <v>153.22414293877716</v>
      </c>
      <c r="J8" s="84">
        <f t="shared" ref="J8:J16" si="3">I8*H8</f>
        <v>2537.4943838982431</v>
      </c>
    </row>
    <row r="9" spans="1:13">
      <c r="A9" s="17"/>
      <c r="B9" s="6" t="s">
        <v>89</v>
      </c>
      <c r="C9" s="74"/>
      <c r="D9" s="8">
        <v>19407.999159999999</v>
      </c>
      <c r="E9" s="111">
        <f t="shared" ref="E9:E16" si="4">E8</f>
        <v>239</v>
      </c>
      <c r="F9" s="6">
        <v>1979</v>
      </c>
      <c r="G9" s="7">
        <f t="shared" si="0"/>
        <v>0</v>
      </c>
      <c r="H9" s="7">
        <f t="shared" si="1"/>
        <v>0</v>
      </c>
      <c r="I9" s="8">
        <f t="shared" si="2"/>
        <v>153.22414293877716</v>
      </c>
      <c r="J9" s="84">
        <f t="shared" si="3"/>
        <v>0</v>
      </c>
    </row>
    <row r="10" spans="1:13">
      <c r="A10" s="17"/>
      <c r="B10" s="6" t="s">
        <v>85</v>
      </c>
      <c r="C10" s="74">
        <v>1</v>
      </c>
      <c r="D10" s="8">
        <v>19407.999159999999</v>
      </c>
      <c r="E10" s="111">
        <f t="shared" si="4"/>
        <v>239</v>
      </c>
      <c r="F10" s="6">
        <v>1979</v>
      </c>
      <c r="G10" s="7">
        <f t="shared" si="0"/>
        <v>1979</v>
      </c>
      <c r="H10" s="7">
        <f t="shared" si="1"/>
        <v>8.2803347280334734</v>
      </c>
      <c r="I10" s="8">
        <f t="shared" si="2"/>
        <v>153.22414293877716</v>
      </c>
      <c r="J10" s="84">
        <f t="shared" si="3"/>
        <v>1268.7471919491215</v>
      </c>
    </row>
    <row r="11" spans="1:13">
      <c r="A11" s="17"/>
      <c r="B11" s="6" t="s">
        <v>86</v>
      </c>
      <c r="C11" s="74"/>
      <c r="D11" s="8">
        <v>19407.999159999999</v>
      </c>
      <c r="E11" s="111">
        <f t="shared" si="4"/>
        <v>239</v>
      </c>
      <c r="F11" s="6">
        <v>1979</v>
      </c>
      <c r="G11" s="7">
        <f t="shared" si="0"/>
        <v>0</v>
      </c>
      <c r="H11" s="7">
        <f t="shared" si="1"/>
        <v>0</v>
      </c>
      <c r="I11" s="8">
        <f t="shared" si="2"/>
        <v>153.22414293877716</v>
      </c>
      <c r="J11" s="84">
        <f t="shared" si="3"/>
        <v>0</v>
      </c>
    </row>
    <row r="12" spans="1:13">
      <c r="A12" s="17"/>
      <c r="B12" s="6" t="s">
        <v>87</v>
      </c>
      <c r="C12" s="74">
        <v>1</v>
      </c>
      <c r="D12" s="8">
        <v>19407.999159999999</v>
      </c>
      <c r="E12" s="111">
        <f t="shared" si="4"/>
        <v>239</v>
      </c>
      <c r="F12" s="6">
        <v>1979</v>
      </c>
      <c r="G12" s="7">
        <f t="shared" si="0"/>
        <v>1979</v>
      </c>
      <c r="H12" s="7">
        <f t="shared" si="1"/>
        <v>8.2803347280334734</v>
      </c>
      <c r="I12" s="8">
        <f t="shared" si="2"/>
        <v>153.22414293877716</v>
      </c>
      <c r="J12" s="84">
        <f t="shared" si="3"/>
        <v>1268.7471919491215</v>
      </c>
    </row>
    <row r="13" spans="1:13">
      <c r="A13" s="17"/>
      <c r="B13" s="6" t="s">
        <v>88</v>
      </c>
      <c r="C13" s="74">
        <v>1.5</v>
      </c>
      <c r="D13" s="8">
        <v>19407.999159999999</v>
      </c>
      <c r="E13" s="111">
        <f t="shared" si="4"/>
        <v>239</v>
      </c>
      <c r="F13" s="6">
        <v>1979</v>
      </c>
      <c r="G13" s="7">
        <f t="shared" si="0"/>
        <v>2968.5</v>
      </c>
      <c r="H13" s="7">
        <f t="shared" si="1"/>
        <v>12.42050209205021</v>
      </c>
      <c r="I13" s="8">
        <f t="shared" si="2"/>
        <v>153.22414293877716</v>
      </c>
      <c r="J13" s="84">
        <f t="shared" si="3"/>
        <v>1903.1207879236822</v>
      </c>
    </row>
    <row r="14" spans="1:13">
      <c r="A14" s="17"/>
      <c r="B14" s="6" t="s">
        <v>50</v>
      </c>
      <c r="C14" s="74">
        <v>1.5</v>
      </c>
      <c r="D14" s="8">
        <v>19407.999159999999</v>
      </c>
      <c r="E14" s="111">
        <f t="shared" si="4"/>
        <v>239</v>
      </c>
      <c r="F14" s="6">
        <v>1979</v>
      </c>
      <c r="G14" s="7">
        <f t="shared" si="0"/>
        <v>2968.5</v>
      </c>
      <c r="H14" s="7">
        <f t="shared" si="1"/>
        <v>12.42050209205021</v>
      </c>
      <c r="I14" s="8">
        <f t="shared" si="2"/>
        <v>153.22414293877716</v>
      </c>
      <c r="J14" s="84">
        <f t="shared" si="3"/>
        <v>1903.1207879236822</v>
      </c>
    </row>
    <row r="15" spans="1:13">
      <c r="A15" s="17"/>
      <c r="B15" s="6" t="s">
        <v>51</v>
      </c>
      <c r="C15" s="74">
        <v>6</v>
      </c>
      <c r="D15" s="8">
        <v>19407.999159999999</v>
      </c>
      <c r="E15" s="111">
        <f t="shared" si="4"/>
        <v>239</v>
      </c>
      <c r="F15" s="6">
        <v>1979</v>
      </c>
      <c r="G15" s="7">
        <f>C15*F15</f>
        <v>11874</v>
      </c>
      <c r="H15" s="7">
        <f t="shared" si="1"/>
        <v>49.68200836820084</v>
      </c>
      <c r="I15" s="8">
        <f t="shared" si="2"/>
        <v>153.22414293877716</v>
      </c>
      <c r="J15" s="84">
        <f t="shared" si="3"/>
        <v>7612.4831516947288</v>
      </c>
    </row>
    <row r="16" spans="1:13">
      <c r="A16" s="17"/>
      <c r="B16" s="6" t="s">
        <v>52</v>
      </c>
      <c r="C16" s="74">
        <v>2</v>
      </c>
      <c r="D16" s="8">
        <v>19407.999159999999</v>
      </c>
      <c r="E16" s="111">
        <f t="shared" si="4"/>
        <v>239</v>
      </c>
      <c r="F16" s="6">
        <v>1979</v>
      </c>
      <c r="G16" s="7">
        <f t="shared" si="0"/>
        <v>3958</v>
      </c>
      <c r="H16" s="7">
        <f t="shared" si="1"/>
        <v>16.560669456066947</v>
      </c>
      <c r="I16" s="8">
        <f t="shared" si="2"/>
        <v>153.22414293877716</v>
      </c>
      <c r="J16" s="84">
        <f t="shared" si="3"/>
        <v>2537.4943838982431</v>
      </c>
    </row>
    <row r="17" spans="1:13" ht="15.75" thickBot="1">
      <c r="A17" s="18"/>
      <c r="B17" s="19"/>
      <c r="C17" s="89">
        <f>SUM(C7:C16)</f>
        <v>19</v>
      </c>
      <c r="D17" s="19"/>
      <c r="E17" s="112"/>
      <c r="F17" s="19"/>
      <c r="G17" s="20"/>
      <c r="H17" s="20"/>
      <c r="I17" s="21"/>
      <c r="J17" s="81">
        <f>SUM(J7:J16)</f>
        <v>24106.19664703331</v>
      </c>
    </row>
    <row r="18" spans="1:13" ht="15.75" thickBot="1">
      <c r="A18" s="63"/>
      <c r="B18" s="64"/>
      <c r="C18" s="64"/>
      <c r="D18" s="64"/>
      <c r="E18" s="113"/>
      <c r="F18" s="64"/>
      <c r="G18" s="67"/>
      <c r="H18" s="93" t="s">
        <v>79</v>
      </c>
      <c r="I18" s="94"/>
      <c r="J18" s="86"/>
      <c r="K18" s="60">
        <f>J18*E7</f>
        <v>0</v>
      </c>
      <c r="L18" s="60"/>
      <c r="M18" s="60">
        <f>L18-K18</f>
        <v>0</v>
      </c>
    </row>
    <row r="19" spans="1:13" ht="15.75" thickBot="1">
      <c r="A19" s="63"/>
      <c r="B19" s="64"/>
      <c r="C19" s="64"/>
      <c r="D19" s="64"/>
      <c r="E19" s="113"/>
      <c r="F19" s="64"/>
      <c r="G19" s="67"/>
      <c r="H19" s="93" t="s">
        <v>77</v>
      </c>
      <c r="I19" s="94"/>
      <c r="J19" s="86">
        <f>J17-J18</f>
        <v>24106.19664703331</v>
      </c>
      <c r="K19" s="116">
        <f>J19*E7</f>
        <v>5761380.998640961</v>
      </c>
      <c r="L19" s="116">
        <f>4425024+1336357</f>
        <v>5761381</v>
      </c>
      <c r="M19" s="77">
        <f>L19/12/1.302/C17</f>
        <v>19407.999164578108</v>
      </c>
    </row>
    <row r="20" spans="1:13">
      <c r="A20" s="5" t="s">
        <v>61</v>
      </c>
      <c r="B20" s="6" t="s">
        <v>83</v>
      </c>
      <c r="C20" s="74">
        <v>2</v>
      </c>
      <c r="D20" s="6">
        <v>19419.74639</v>
      </c>
      <c r="E20" s="111">
        <f>ком.усл!A15</f>
        <v>192</v>
      </c>
      <c r="F20" s="6">
        <v>1979</v>
      </c>
      <c r="G20" s="7">
        <f t="shared" ref="G20:G31" si="5">C20*F20</f>
        <v>3958</v>
      </c>
      <c r="H20" s="7">
        <f t="shared" ref="H20:H29" si="6">G20/E20</f>
        <v>20.614583333333332</v>
      </c>
      <c r="I20" s="8">
        <f>D20*12*1.302/1979</f>
        <v>153.31688610275896</v>
      </c>
      <c r="J20" s="84">
        <f t="shared" ref="J20:J29" si="7">I20*H20</f>
        <v>3160.5637249724996</v>
      </c>
    </row>
    <row r="21" spans="1:13">
      <c r="A21" s="17"/>
      <c r="B21" s="6" t="s">
        <v>91</v>
      </c>
      <c r="C21" s="74">
        <v>1</v>
      </c>
      <c r="D21" s="6">
        <v>19419.74639</v>
      </c>
      <c r="E21" s="111">
        <f>E20</f>
        <v>192</v>
      </c>
      <c r="F21" s="6">
        <v>1979</v>
      </c>
      <c r="G21" s="7">
        <f t="shared" si="5"/>
        <v>1979</v>
      </c>
      <c r="H21" s="7">
        <f t="shared" si="6"/>
        <v>10.307291666666666</v>
      </c>
      <c r="I21" s="8">
        <f t="shared" ref="I21:I31" si="8">D21*12*1.302/1979</f>
        <v>153.31688610275896</v>
      </c>
      <c r="J21" s="84">
        <f t="shared" si="7"/>
        <v>1580.2818624862498</v>
      </c>
    </row>
    <row r="22" spans="1:13">
      <c r="A22" s="17"/>
      <c r="B22" s="6" t="s">
        <v>84</v>
      </c>
      <c r="C22" s="74">
        <v>3</v>
      </c>
      <c r="D22" s="6">
        <v>19419.74639</v>
      </c>
      <c r="E22" s="111">
        <f t="shared" ref="E22:E31" si="9">E21</f>
        <v>192</v>
      </c>
      <c r="F22" s="6">
        <v>1979</v>
      </c>
      <c r="G22" s="7">
        <f t="shared" si="5"/>
        <v>5937</v>
      </c>
      <c r="H22" s="7">
        <f t="shared" si="6"/>
        <v>30.921875</v>
      </c>
      <c r="I22" s="8">
        <f t="shared" si="8"/>
        <v>153.31688610275896</v>
      </c>
      <c r="J22" s="84">
        <f t="shared" si="7"/>
        <v>4740.8455874587498</v>
      </c>
    </row>
    <row r="23" spans="1:13">
      <c r="A23" s="17"/>
      <c r="B23" s="6" t="s">
        <v>89</v>
      </c>
      <c r="C23" s="74"/>
      <c r="D23" s="6">
        <v>19419.74639</v>
      </c>
      <c r="E23" s="111">
        <f t="shared" si="9"/>
        <v>192</v>
      </c>
      <c r="F23" s="6">
        <v>1979</v>
      </c>
      <c r="G23" s="7">
        <f t="shared" si="5"/>
        <v>0</v>
      </c>
      <c r="H23" s="7">
        <f t="shared" si="6"/>
        <v>0</v>
      </c>
      <c r="I23" s="8">
        <f t="shared" si="8"/>
        <v>153.31688610275896</v>
      </c>
      <c r="J23" s="84">
        <f t="shared" si="7"/>
        <v>0</v>
      </c>
    </row>
    <row r="24" spans="1:13">
      <c r="A24" s="17"/>
      <c r="B24" s="6" t="s">
        <v>85</v>
      </c>
      <c r="C24" s="74">
        <v>1</v>
      </c>
      <c r="D24" s="6">
        <v>19419.74639</v>
      </c>
      <c r="E24" s="111">
        <f t="shared" si="9"/>
        <v>192</v>
      </c>
      <c r="F24" s="6">
        <v>1979</v>
      </c>
      <c r="G24" s="7">
        <f t="shared" si="5"/>
        <v>1979</v>
      </c>
      <c r="H24" s="7">
        <f t="shared" si="6"/>
        <v>10.307291666666666</v>
      </c>
      <c r="I24" s="8">
        <f t="shared" si="8"/>
        <v>153.31688610275896</v>
      </c>
      <c r="J24" s="84">
        <f t="shared" si="7"/>
        <v>1580.2818624862498</v>
      </c>
    </row>
    <row r="25" spans="1:13">
      <c r="A25" s="17"/>
      <c r="B25" s="6" t="s">
        <v>86</v>
      </c>
      <c r="C25" s="74">
        <v>1</v>
      </c>
      <c r="D25" s="6">
        <v>19419.74639</v>
      </c>
      <c r="E25" s="111">
        <f t="shared" si="9"/>
        <v>192</v>
      </c>
      <c r="F25" s="6">
        <v>1979</v>
      </c>
      <c r="G25" s="7">
        <f t="shared" si="5"/>
        <v>1979</v>
      </c>
      <c r="H25" s="7">
        <f t="shared" si="6"/>
        <v>10.307291666666666</v>
      </c>
      <c r="I25" s="8">
        <f t="shared" si="8"/>
        <v>153.31688610275896</v>
      </c>
      <c r="J25" s="84">
        <f t="shared" si="7"/>
        <v>1580.2818624862498</v>
      </c>
    </row>
    <row r="26" spans="1:13">
      <c r="A26" s="17"/>
      <c r="B26" s="6" t="s">
        <v>87</v>
      </c>
      <c r="C26" s="74">
        <v>0.75</v>
      </c>
      <c r="D26" s="6">
        <v>19419.74639</v>
      </c>
      <c r="E26" s="111">
        <f t="shared" si="9"/>
        <v>192</v>
      </c>
      <c r="F26" s="6">
        <v>1979</v>
      </c>
      <c r="G26" s="7">
        <f t="shared" si="5"/>
        <v>1484.25</v>
      </c>
      <c r="H26" s="7">
        <f t="shared" si="6"/>
        <v>7.73046875</v>
      </c>
      <c r="I26" s="8">
        <f t="shared" si="8"/>
        <v>153.31688610275896</v>
      </c>
      <c r="J26" s="84">
        <f t="shared" si="7"/>
        <v>1185.2113968646875</v>
      </c>
    </row>
    <row r="27" spans="1:13">
      <c r="A27" s="17"/>
      <c r="B27" s="6" t="s">
        <v>88</v>
      </c>
      <c r="C27" s="74">
        <v>1.5</v>
      </c>
      <c r="D27" s="6">
        <v>19419.74639</v>
      </c>
      <c r="E27" s="111">
        <f t="shared" si="9"/>
        <v>192</v>
      </c>
      <c r="F27" s="6">
        <v>1979</v>
      </c>
      <c r="G27" s="7">
        <f t="shared" si="5"/>
        <v>2968.5</v>
      </c>
      <c r="H27" s="7">
        <f t="shared" si="6"/>
        <v>15.4609375</v>
      </c>
      <c r="I27" s="8">
        <f t="shared" si="8"/>
        <v>153.31688610275896</v>
      </c>
      <c r="J27" s="84">
        <f t="shared" si="7"/>
        <v>2370.4227937293749</v>
      </c>
    </row>
    <row r="28" spans="1:13">
      <c r="A28" s="17"/>
      <c r="B28" s="6" t="s">
        <v>50</v>
      </c>
      <c r="C28" s="74">
        <v>1.5</v>
      </c>
      <c r="D28" s="6">
        <v>19419.74639</v>
      </c>
      <c r="E28" s="111">
        <f t="shared" si="9"/>
        <v>192</v>
      </c>
      <c r="F28" s="6">
        <v>1979</v>
      </c>
      <c r="G28" s="7">
        <f t="shared" si="5"/>
        <v>2968.5</v>
      </c>
      <c r="H28" s="7">
        <f t="shared" si="6"/>
        <v>15.4609375</v>
      </c>
      <c r="I28" s="8">
        <f t="shared" si="8"/>
        <v>153.31688610275896</v>
      </c>
      <c r="J28" s="84">
        <f t="shared" si="7"/>
        <v>2370.4227937293749</v>
      </c>
    </row>
    <row r="29" spans="1:13">
      <c r="A29" s="17"/>
      <c r="B29" s="6" t="s">
        <v>92</v>
      </c>
      <c r="C29" s="74">
        <v>0.75</v>
      </c>
      <c r="D29" s="6">
        <v>19419.74639</v>
      </c>
      <c r="E29" s="111">
        <f t="shared" si="9"/>
        <v>192</v>
      </c>
      <c r="F29" s="6">
        <v>1979</v>
      </c>
      <c r="G29" s="7">
        <f t="shared" si="5"/>
        <v>1484.25</v>
      </c>
      <c r="H29" s="7">
        <f t="shared" si="6"/>
        <v>7.73046875</v>
      </c>
      <c r="I29" s="8">
        <f t="shared" si="8"/>
        <v>153.31688610275896</v>
      </c>
      <c r="J29" s="84">
        <f t="shared" si="7"/>
        <v>1185.2113968646875</v>
      </c>
    </row>
    <row r="30" spans="1:13">
      <c r="A30" s="17"/>
      <c r="B30" s="6" t="s">
        <v>51</v>
      </c>
      <c r="C30" s="74">
        <v>3</v>
      </c>
      <c r="D30" s="6">
        <v>19419.74639</v>
      </c>
      <c r="E30" s="111">
        <f t="shared" si="9"/>
        <v>192</v>
      </c>
      <c r="F30" s="6">
        <v>1979</v>
      </c>
      <c r="G30" s="7">
        <f t="shared" si="5"/>
        <v>5937</v>
      </c>
      <c r="H30" s="7">
        <f>G30/E30</f>
        <v>30.921875</v>
      </c>
      <c r="I30" s="8">
        <f t="shared" si="8"/>
        <v>153.31688610275896</v>
      </c>
      <c r="J30" s="84">
        <f>I30*H30</f>
        <v>4740.8455874587498</v>
      </c>
    </row>
    <row r="31" spans="1:13">
      <c r="A31" s="17"/>
      <c r="B31" s="6" t="s">
        <v>52</v>
      </c>
      <c r="C31" s="74">
        <v>1.5</v>
      </c>
      <c r="D31" s="6">
        <v>19419.74639</v>
      </c>
      <c r="E31" s="111">
        <f t="shared" si="9"/>
        <v>192</v>
      </c>
      <c r="F31" s="6">
        <v>1979</v>
      </c>
      <c r="G31" s="7">
        <f t="shared" si="5"/>
        <v>2968.5</v>
      </c>
      <c r="H31" s="7">
        <f>G31/E31</f>
        <v>15.4609375</v>
      </c>
      <c r="I31" s="8">
        <f t="shared" si="8"/>
        <v>153.31688610275896</v>
      </c>
      <c r="J31" s="84">
        <f>I31*H31</f>
        <v>2370.4227937293749</v>
      </c>
    </row>
    <row r="32" spans="1:13" ht="15.75" thickBot="1">
      <c r="A32" s="18"/>
      <c r="B32" s="19"/>
      <c r="C32" s="88">
        <f>SUM(C20:C31)</f>
        <v>17</v>
      </c>
      <c r="D32" s="19"/>
      <c r="E32" s="112"/>
      <c r="F32" s="19"/>
      <c r="G32" s="20"/>
      <c r="H32" s="20"/>
      <c r="I32" s="21"/>
      <c r="J32" s="81">
        <f>SUM(J20:J31)</f>
        <v>26864.791662266249</v>
      </c>
    </row>
    <row r="33" spans="1:13" ht="15.75" thickBot="1">
      <c r="A33" s="63"/>
      <c r="B33" s="64"/>
      <c r="C33" s="64"/>
      <c r="D33" s="64"/>
      <c r="E33" s="113"/>
      <c r="F33" s="64"/>
      <c r="G33" s="67"/>
      <c r="H33" s="93" t="s">
        <v>79</v>
      </c>
      <c r="I33" s="94"/>
      <c r="J33" s="86"/>
      <c r="K33" s="60">
        <f>J33*E22</f>
        <v>0</v>
      </c>
      <c r="L33" s="60"/>
      <c r="M33" s="60">
        <f>L33-K33</f>
        <v>0</v>
      </c>
    </row>
    <row r="34" spans="1:13" ht="15.75" thickBot="1">
      <c r="A34" s="63"/>
      <c r="B34" s="64"/>
      <c r="C34" s="64"/>
      <c r="D34" s="64"/>
      <c r="E34" s="113"/>
      <c r="F34" s="64"/>
      <c r="G34" s="67"/>
      <c r="H34" s="93" t="s">
        <v>77</v>
      </c>
      <c r="I34" s="94"/>
      <c r="J34" s="86">
        <f>J32-J33</f>
        <v>26864.791662266249</v>
      </c>
      <c r="K34" s="116">
        <f>J34*E22</f>
        <v>5158039.99915512</v>
      </c>
      <c r="L34" s="116">
        <f>3959232+3120+1195688</f>
        <v>5158040</v>
      </c>
      <c r="M34" s="77">
        <f>L34/12/1.302/C32</f>
        <v>19419.746393180929</v>
      </c>
    </row>
    <row r="35" spans="1:13">
      <c r="A35" s="5" t="s">
        <v>62</v>
      </c>
      <c r="B35" s="6" t="s">
        <v>83</v>
      </c>
      <c r="C35" s="74">
        <v>4</v>
      </c>
      <c r="D35" s="8">
        <v>19147.609229999998</v>
      </c>
      <c r="E35" s="111">
        <f>ком.усл!A20</f>
        <v>214</v>
      </c>
      <c r="F35" s="6">
        <v>1979</v>
      </c>
      <c r="G35" s="7">
        <f t="shared" ref="G35:G46" si="10">C35*F35</f>
        <v>7916</v>
      </c>
      <c r="H35" s="7">
        <f t="shared" ref="H35:H46" si="11">G35/E35</f>
        <v>36.990654205607477</v>
      </c>
      <c r="I35" s="8">
        <f>D35*12*1.302/1979</f>
        <v>151.16839141461344</v>
      </c>
      <c r="J35" s="84">
        <f t="shared" ref="J35:J46" si="12">I35*H35</f>
        <v>5591.8176936358877</v>
      </c>
    </row>
    <row r="36" spans="1:13">
      <c r="A36" s="17"/>
      <c r="B36" s="6" t="s">
        <v>91</v>
      </c>
      <c r="C36" s="74"/>
      <c r="D36" s="8">
        <v>19147.609229999998</v>
      </c>
      <c r="E36" s="111">
        <f>E35</f>
        <v>214</v>
      </c>
      <c r="F36" s="6">
        <v>1979</v>
      </c>
      <c r="G36" s="7">
        <f t="shared" si="10"/>
        <v>0</v>
      </c>
      <c r="H36" s="7">
        <f t="shared" si="11"/>
        <v>0</v>
      </c>
      <c r="I36" s="8">
        <f t="shared" ref="I36:I46" si="13">D36*12*1.302/1979</f>
        <v>151.16839141461344</v>
      </c>
      <c r="J36" s="84">
        <f t="shared" si="12"/>
        <v>0</v>
      </c>
    </row>
    <row r="37" spans="1:13">
      <c r="A37" s="17"/>
      <c r="B37" s="6" t="s">
        <v>84</v>
      </c>
      <c r="C37" s="74">
        <v>1.5</v>
      </c>
      <c r="D37" s="8">
        <v>19147.609229999998</v>
      </c>
      <c r="E37" s="111">
        <f t="shared" ref="E37:E46" si="14">E36</f>
        <v>214</v>
      </c>
      <c r="F37" s="6">
        <v>1979</v>
      </c>
      <c r="G37" s="7">
        <f t="shared" si="10"/>
        <v>2968.5</v>
      </c>
      <c r="H37" s="7">
        <f t="shared" si="11"/>
        <v>13.871495327102803</v>
      </c>
      <c r="I37" s="8">
        <f t="shared" si="13"/>
        <v>151.16839141461344</v>
      </c>
      <c r="J37" s="84">
        <f t="shared" si="12"/>
        <v>2096.931635113458</v>
      </c>
    </row>
    <row r="38" spans="1:13">
      <c r="A38" s="17"/>
      <c r="B38" s="6" t="s">
        <v>89</v>
      </c>
      <c r="C38" s="74"/>
      <c r="D38" s="8">
        <v>19147.609229999998</v>
      </c>
      <c r="E38" s="111">
        <f t="shared" si="14"/>
        <v>214</v>
      </c>
      <c r="F38" s="6">
        <v>1979</v>
      </c>
      <c r="G38" s="7">
        <f t="shared" si="10"/>
        <v>0</v>
      </c>
      <c r="H38" s="7">
        <f t="shared" si="11"/>
        <v>0</v>
      </c>
      <c r="I38" s="8">
        <f t="shared" si="13"/>
        <v>151.16839141461344</v>
      </c>
      <c r="J38" s="84">
        <f t="shared" si="12"/>
        <v>0</v>
      </c>
    </row>
    <row r="39" spans="1:13">
      <c r="A39" s="17"/>
      <c r="B39" s="6" t="s">
        <v>85</v>
      </c>
      <c r="C39" s="74">
        <v>1</v>
      </c>
      <c r="D39" s="8">
        <v>19147.609229999998</v>
      </c>
      <c r="E39" s="111">
        <f t="shared" si="14"/>
        <v>214</v>
      </c>
      <c r="F39" s="6">
        <v>1979</v>
      </c>
      <c r="G39" s="7">
        <f t="shared" si="10"/>
        <v>1979</v>
      </c>
      <c r="H39" s="7">
        <f t="shared" si="11"/>
        <v>9.2476635514018692</v>
      </c>
      <c r="I39" s="8">
        <f t="shared" si="13"/>
        <v>151.16839141461344</v>
      </c>
      <c r="J39" s="84">
        <f t="shared" si="12"/>
        <v>1397.9544234089719</v>
      </c>
    </row>
    <row r="40" spans="1:13">
      <c r="A40" s="17"/>
      <c r="B40" s="6" t="s">
        <v>86</v>
      </c>
      <c r="C40" s="74">
        <v>0.25</v>
      </c>
      <c r="D40" s="8">
        <v>19147.609229999998</v>
      </c>
      <c r="E40" s="111">
        <f t="shared" si="14"/>
        <v>214</v>
      </c>
      <c r="F40" s="6">
        <v>1979</v>
      </c>
      <c r="G40" s="7">
        <f t="shared" si="10"/>
        <v>494.75</v>
      </c>
      <c r="H40" s="7">
        <f t="shared" si="11"/>
        <v>2.3119158878504673</v>
      </c>
      <c r="I40" s="8">
        <f t="shared" si="13"/>
        <v>151.16839141461344</v>
      </c>
      <c r="J40" s="84">
        <f t="shared" si="12"/>
        <v>349.48860585224298</v>
      </c>
    </row>
    <row r="41" spans="1:13">
      <c r="A41" s="17"/>
      <c r="B41" s="6" t="s">
        <v>87</v>
      </c>
      <c r="C41" s="74">
        <v>1</v>
      </c>
      <c r="D41" s="8">
        <v>19147.609229999998</v>
      </c>
      <c r="E41" s="111">
        <f t="shared" si="14"/>
        <v>214</v>
      </c>
      <c r="F41" s="6">
        <v>1979</v>
      </c>
      <c r="G41" s="7">
        <f t="shared" si="10"/>
        <v>1979</v>
      </c>
      <c r="H41" s="7">
        <f t="shared" si="11"/>
        <v>9.2476635514018692</v>
      </c>
      <c r="I41" s="8">
        <f t="shared" si="13"/>
        <v>151.16839141461344</v>
      </c>
      <c r="J41" s="84">
        <f t="shared" si="12"/>
        <v>1397.9544234089719</v>
      </c>
    </row>
    <row r="42" spans="1:13">
      <c r="A42" s="17"/>
      <c r="B42" s="6" t="s">
        <v>88</v>
      </c>
      <c r="C42" s="74">
        <v>1.5</v>
      </c>
      <c r="D42" s="8">
        <v>19147.609229999998</v>
      </c>
      <c r="E42" s="111">
        <f t="shared" si="14"/>
        <v>214</v>
      </c>
      <c r="F42" s="6">
        <v>1979</v>
      </c>
      <c r="G42" s="7">
        <f t="shared" si="10"/>
        <v>2968.5</v>
      </c>
      <c r="H42" s="7">
        <f t="shared" si="11"/>
        <v>13.871495327102803</v>
      </c>
      <c r="I42" s="8">
        <f t="shared" si="13"/>
        <v>151.16839141461344</v>
      </c>
      <c r="J42" s="84">
        <f t="shared" si="12"/>
        <v>2096.931635113458</v>
      </c>
    </row>
    <row r="43" spans="1:13">
      <c r="A43" s="17"/>
      <c r="B43" s="6" t="s">
        <v>50</v>
      </c>
      <c r="C43" s="74">
        <v>1.25</v>
      </c>
      <c r="D43" s="8">
        <v>19147.609229999998</v>
      </c>
      <c r="E43" s="111">
        <f t="shared" si="14"/>
        <v>214</v>
      </c>
      <c r="F43" s="6">
        <v>1979</v>
      </c>
      <c r="G43" s="7">
        <f t="shared" si="10"/>
        <v>2473.75</v>
      </c>
      <c r="H43" s="7">
        <f t="shared" si="11"/>
        <v>11.559579439252337</v>
      </c>
      <c r="I43" s="8">
        <f t="shared" si="13"/>
        <v>151.16839141461344</v>
      </c>
      <c r="J43" s="84">
        <f t="shared" si="12"/>
        <v>1747.4430292612151</v>
      </c>
    </row>
    <row r="44" spans="1:13">
      <c r="A44" s="17"/>
      <c r="B44" s="6" t="s">
        <v>92</v>
      </c>
      <c r="C44" s="74"/>
      <c r="D44" s="8">
        <v>19147.609229999998</v>
      </c>
      <c r="E44" s="111">
        <f t="shared" si="14"/>
        <v>214</v>
      </c>
      <c r="F44" s="6">
        <v>1979</v>
      </c>
      <c r="G44" s="7">
        <f t="shared" si="10"/>
        <v>0</v>
      </c>
      <c r="H44" s="7">
        <f t="shared" si="11"/>
        <v>0</v>
      </c>
      <c r="I44" s="8">
        <f t="shared" si="13"/>
        <v>151.16839141461344</v>
      </c>
      <c r="J44" s="84">
        <f t="shared" si="12"/>
        <v>0</v>
      </c>
    </row>
    <row r="45" spans="1:13">
      <c r="A45" s="17"/>
      <c r="B45" s="6" t="s">
        <v>51</v>
      </c>
      <c r="C45" s="74">
        <v>6</v>
      </c>
      <c r="D45" s="8">
        <v>19147.609229999998</v>
      </c>
      <c r="E45" s="111">
        <f t="shared" si="14"/>
        <v>214</v>
      </c>
      <c r="F45" s="6">
        <v>1979</v>
      </c>
      <c r="G45" s="7">
        <f t="shared" si="10"/>
        <v>11874</v>
      </c>
      <c r="H45" s="7">
        <f t="shared" si="11"/>
        <v>55.485981308411212</v>
      </c>
      <c r="I45" s="8">
        <f t="shared" si="13"/>
        <v>151.16839141461344</v>
      </c>
      <c r="J45" s="84">
        <f t="shared" si="12"/>
        <v>8387.7265404538321</v>
      </c>
    </row>
    <row r="46" spans="1:13">
      <c r="A46" s="17"/>
      <c r="B46" s="6" t="s">
        <v>52</v>
      </c>
      <c r="C46" s="74">
        <v>1.75</v>
      </c>
      <c r="D46" s="8">
        <v>19147.609229999998</v>
      </c>
      <c r="E46" s="111">
        <f t="shared" si="14"/>
        <v>214</v>
      </c>
      <c r="F46" s="6">
        <v>1979</v>
      </c>
      <c r="G46" s="7">
        <f t="shared" si="10"/>
        <v>3463.25</v>
      </c>
      <c r="H46" s="7">
        <f t="shared" si="11"/>
        <v>16.183411214953271</v>
      </c>
      <c r="I46" s="8">
        <f t="shared" si="13"/>
        <v>151.16839141461344</v>
      </c>
      <c r="J46" s="84">
        <f t="shared" si="12"/>
        <v>2446.4202409657009</v>
      </c>
    </row>
    <row r="47" spans="1:13" ht="15.75" thickBot="1">
      <c r="A47" s="18"/>
      <c r="B47" s="19"/>
      <c r="C47" s="88">
        <f>SUM(C35:C46)</f>
        <v>18.25</v>
      </c>
      <c r="D47" s="19"/>
      <c r="E47" s="112"/>
      <c r="F47" s="19"/>
      <c r="G47" s="20"/>
      <c r="H47" s="20"/>
      <c r="I47" s="21"/>
      <c r="J47" s="81">
        <f>SUM(J35:J46)</f>
        <v>25512.66822721374</v>
      </c>
    </row>
    <row r="48" spans="1:13" ht="15.75" thickBot="1">
      <c r="A48" s="63"/>
      <c r="B48" s="64"/>
      <c r="C48" s="64"/>
      <c r="D48" s="64"/>
      <c r="E48" s="113"/>
      <c r="F48" s="64"/>
      <c r="G48" s="67"/>
      <c r="H48" s="93" t="s">
        <v>79</v>
      </c>
      <c r="I48" s="94"/>
      <c r="J48" s="86"/>
      <c r="K48" s="60">
        <f>J48*E37</f>
        <v>0</v>
      </c>
      <c r="L48" s="60"/>
      <c r="M48" s="60">
        <f>L48-K48</f>
        <v>0</v>
      </c>
    </row>
    <row r="49" spans="1:13" ht="15.75" thickBot="1">
      <c r="A49" s="63"/>
      <c r="B49" s="64"/>
      <c r="C49" s="64"/>
      <c r="D49" s="64"/>
      <c r="E49" s="113"/>
      <c r="F49" s="64"/>
      <c r="G49" s="67"/>
      <c r="H49" s="93" t="s">
        <v>77</v>
      </c>
      <c r="I49" s="94"/>
      <c r="J49" s="86">
        <f>J47-J48</f>
        <v>25512.66822721374</v>
      </c>
      <c r="K49" s="116">
        <f>J49*E37</f>
        <v>5459711.0006237403</v>
      </c>
      <c r="L49" s="116">
        <f>4192127+1560+1266024</f>
        <v>5459711</v>
      </c>
      <c r="M49" s="77">
        <f>L49/12/1.302/C47</f>
        <v>19147.6092278125</v>
      </c>
    </row>
    <row r="50" spans="1:13">
      <c r="A50" s="5" t="s">
        <v>63</v>
      </c>
      <c r="B50" s="6" t="s">
        <v>83</v>
      </c>
      <c r="C50" s="74">
        <v>2</v>
      </c>
      <c r="D50" s="8">
        <v>19407.997019999999</v>
      </c>
      <c r="E50" s="111">
        <f>ком.усл!A25</f>
        <v>152</v>
      </c>
      <c r="F50" s="6">
        <v>1979</v>
      </c>
      <c r="G50" s="7">
        <f t="shared" ref="G50:G61" si="15">C50*F50</f>
        <v>3958</v>
      </c>
      <c r="H50" s="7">
        <f t="shared" ref="H50:H61" si="16">G50/E50</f>
        <v>26.039473684210527</v>
      </c>
      <c r="I50" s="8">
        <f>D50*12*1.302/1979</f>
        <v>153.22412604369885</v>
      </c>
      <c r="J50" s="84">
        <f t="shared" ref="J50:J61" si="17">I50*H50</f>
        <v>3989.875597901053</v>
      </c>
    </row>
    <row r="51" spans="1:13">
      <c r="A51" s="17"/>
      <c r="B51" s="6" t="s">
        <v>91</v>
      </c>
      <c r="C51" s="74"/>
      <c r="D51" s="8">
        <v>19407.997019999999</v>
      </c>
      <c r="E51" s="111">
        <f>E50</f>
        <v>152</v>
      </c>
      <c r="F51" s="6">
        <v>1979</v>
      </c>
      <c r="G51" s="7">
        <f t="shared" si="15"/>
        <v>0</v>
      </c>
      <c r="H51" s="7">
        <f t="shared" si="16"/>
        <v>0</v>
      </c>
      <c r="I51" s="8">
        <f t="shared" ref="I51:I61" si="18">D51*12*1.302/1979</f>
        <v>153.22412604369885</v>
      </c>
      <c r="J51" s="84">
        <f t="shared" si="17"/>
        <v>0</v>
      </c>
    </row>
    <row r="52" spans="1:13">
      <c r="A52" s="17"/>
      <c r="B52" s="6" t="s">
        <v>84</v>
      </c>
      <c r="C52" s="74">
        <v>1</v>
      </c>
      <c r="D52" s="8">
        <v>19407.997019999999</v>
      </c>
      <c r="E52" s="111">
        <f t="shared" ref="E52:E61" si="19">E51</f>
        <v>152</v>
      </c>
      <c r="F52" s="6">
        <v>1979</v>
      </c>
      <c r="G52" s="7">
        <f t="shared" si="15"/>
        <v>1979</v>
      </c>
      <c r="H52" s="7">
        <f t="shared" si="16"/>
        <v>13.019736842105264</v>
      </c>
      <c r="I52" s="8">
        <f t="shared" si="18"/>
        <v>153.22412604369885</v>
      </c>
      <c r="J52" s="84">
        <f t="shared" si="17"/>
        <v>1994.9377989505265</v>
      </c>
    </row>
    <row r="53" spans="1:13">
      <c r="A53" s="17"/>
      <c r="B53" s="6" t="s">
        <v>89</v>
      </c>
      <c r="C53" s="74"/>
      <c r="D53" s="8">
        <v>19407.997019999999</v>
      </c>
      <c r="E53" s="111">
        <f t="shared" si="19"/>
        <v>152</v>
      </c>
      <c r="F53" s="6">
        <v>1979</v>
      </c>
      <c r="G53" s="7">
        <f t="shared" si="15"/>
        <v>0</v>
      </c>
      <c r="H53" s="7">
        <f t="shared" si="16"/>
        <v>0</v>
      </c>
      <c r="I53" s="8">
        <f t="shared" si="18"/>
        <v>153.22412604369885</v>
      </c>
      <c r="J53" s="84">
        <f t="shared" si="17"/>
        <v>0</v>
      </c>
    </row>
    <row r="54" spans="1:13">
      <c r="A54" s="17"/>
      <c r="B54" s="6" t="s">
        <v>85</v>
      </c>
      <c r="C54" s="74">
        <v>1</v>
      </c>
      <c r="D54" s="8">
        <v>19407.997019999999</v>
      </c>
      <c r="E54" s="111">
        <f t="shared" si="19"/>
        <v>152</v>
      </c>
      <c r="F54" s="6">
        <v>1979</v>
      </c>
      <c r="G54" s="7">
        <f t="shared" si="15"/>
        <v>1979</v>
      </c>
      <c r="H54" s="7">
        <f t="shared" si="16"/>
        <v>13.019736842105264</v>
      </c>
      <c r="I54" s="8">
        <f t="shared" si="18"/>
        <v>153.22412604369885</v>
      </c>
      <c r="J54" s="84">
        <f t="shared" si="17"/>
        <v>1994.9377989505265</v>
      </c>
    </row>
    <row r="55" spans="1:13">
      <c r="A55" s="17"/>
      <c r="B55" s="6" t="s">
        <v>86</v>
      </c>
      <c r="C55" s="74"/>
      <c r="D55" s="8">
        <v>19407.997019999999</v>
      </c>
      <c r="E55" s="111">
        <f t="shared" si="19"/>
        <v>152</v>
      </c>
      <c r="F55" s="6">
        <v>1979</v>
      </c>
      <c r="G55" s="7">
        <f t="shared" si="15"/>
        <v>0</v>
      </c>
      <c r="H55" s="7">
        <f t="shared" si="16"/>
        <v>0</v>
      </c>
      <c r="I55" s="8">
        <f t="shared" si="18"/>
        <v>153.22412604369885</v>
      </c>
      <c r="J55" s="84">
        <f t="shared" si="17"/>
        <v>0</v>
      </c>
    </row>
    <row r="56" spans="1:13">
      <c r="A56" s="17"/>
      <c r="B56" s="6" t="s">
        <v>87</v>
      </c>
      <c r="C56" s="74">
        <v>1</v>
      </c>
      <c r="D56" s="8">
        <v>19407.997019999999</v>
      </c>
      <c r="E56" s="111">
        <f t="shared" si="19"/>
        <v>152</v>
      </c>
      <c r="F56" s="6">
        <v>1979</v>
      </c>
      <c r="G56" s="7">
        <f t="shared" si="15"/>
        <v>1979</v>
      </c>
      <c r="H56" s="7">
        <f t="shared" si="16"/>
        <v>13.019736842105264</v>
      </c>
      <c r="I56" s="8">
        <f t="shared" si="18"/>
        <v>153.22412604369885</v>
      </c>
      <c r="J56" s="84">
        <f t="shared" si="17"/>
        <v>1994.9377989505265</v>
      </c>
    </row>
    <row r="57" spans="1:13">
      <c r="A57" s="17"/>
      <c r="B57" s="6" t="s">
        <v>88</v>
      </c>
      <c r="C57" s="74">
        <v>1</v>
      </c>
      <c r="D57" s="8">
        <v>19407.997019999999</v>
      </c>
      <c r="E57" s="111">
        <f t="shared" si="19"/>
        <v>152</v>
      </c>
      <c r="F57" s="6">
        <v>1979</v>
      </c>
      <c r="G57" s="7">
        <f t="shared" si="15"/>
        <v>1979</v>
      </c>
      <c r="H57" s="7">
        <f t="shared" si="16"/>
        <v>13.019736842105264</v>
      </c>
      <c r="I57" s="8">
        <f t="shared" si="18"/>
        <v>153.22412604369885</v>
      </c>
      <c r="J57" s="84">
        <f t="shared" si="17"/>
        <v>1994.9377989505265</v>
      </c>
    </row>
    <row r="58" spans="1:13">
      <c r="A58" s="17"/>
      <c r="B58" s="6" t="s">
        <v>50</v>
      </c>
      <c r="C58" s="74">
        <v>1</v>
      </c>
      <c r="D58" s="8">
        <v>19407.997019999999</v>
      </c>
      <c r="E58" s="111">
        <f t="shared" si="19"/>
        <v>152</v>
      </c>
      <c r="F58" s="6">
        <v>1979</v>
      </c>
      <c r="G58" s="7">
        <f t="shared" si="15"/>
        <v>1979</v>
      </c>
      <c r="H58" s="7">
        <f t="shared" si="16"/>
        <v>13.019736842105264</v>
      </c>
      <c r="I58" s="8">
        <f t="shared" si="18"/>
        <v>153.22412604369885</v>
      </c>
      <c r="J58" s="84">
        <f t="shared" si="17"/>
        <v>1994.9377989505265</v>
      </c>
    </row>
    <row r="59" spans="1:13">
      <c r="A59" s="17"/>
      <c r="B59" s="6" t="s">
        <v>92</v>
      </c>
      <c r="C59" s="74"/>
      <c r="D59" s="8">
        <v>19407.997019999999</v>
      </c>
      <c r="E59" s="111">
        <f t="shared" si="19"/>
        <v>152</v>
      </c>
      <c r="F59" s="6">
        <v>1979</v>
      </c>
      <c r="G59" s="7">
        <f t="shared" si="15"/>
        <v>0</v>
      </c>
      <c r="H59" s="7">
        <f t="shared" si="16"/>
        <v>0</v>
      </c>
      <c r="I59" s="8">
        <f t="shared" si="18"/>
        <v>153.22412604369885</v>
      </c>
      <c r="J59" s="84">
        <f t="shared" si="17"/>
        <v>0</v>
      </c>
    </row>
    <row r="60" spans="1:13">
      <c r="A60" s="17"/>
      <c r="B60" s="6" t="s">
        <v>51</v>
      </c>
      <c r="C60" s="74">
        <v>3</v>
      </c>
      <c r="D60" s="8">
        <v>19407.997019999999</v>
      </c>
      <c r="E60" s="111">
        <f t="shared" si="19"/>
        <v>152</v>
      </c>
      <c r="F60" s="6">
        <v>1979</v>
      </c>
      <c r="G60" s="7">
        <f t="shared" si="15"/>
        <v>5937</v>
      </c>
      <c r="H60" s="7">
        <f t="shared" si="16"/>
        <v>39.059210526315788</v>
      </c>
      <c r="I60" s="8">
        <f t="shared" si="18"/>
        <v>153.22412604369885</v>
      </c>
      <c r="J60" s="84">
        <f t="shared" si="17"/>
        <v>5984.8133968515785</v>
      </c>
    </row>
    <row r="61" spans="1:13">
      <c r="A61" s="17"/>
      <c r="B61" s="6" t="s">
        <v>52</v>
      </c>
      <c r="C61" s="74">
        <v>1</v>
      </c>
      <c r="D61" s="8">
        <v>19407.997019999999</v>
      </c>
      <c r="E61" s="111">
        <f t="shared" si="19"/>
        <v>152</v>
      </c>
      <c r="F61" s="6">
        <v>1979</v>
      </c>
      <c r="G61" s="7">
        <f t="shared" si="15"/>
        <v>1979</v>
      </c>
      <c r="H61" s="7">
        <f t="shared" si="16"/>
        <v>13.019736842105264</v>
      </c>
      <c r="I61" s="8">
        <f t="shared" si="18"/>
        <v>153.22412604369885</v>
      </c>
      <c r="J61" s="84">
        <f t="shared" si="17"/>
        <v>1994.9377989505265</v>
      </c>
    </row>
    <row r="62" spans="1:13" ht="15.75" thickBot="1">
      <c r="A62" s="18"/>
      <c r="B62" s="19"/>
      <c r="C62" s="88">
        <f>SUM(C50:C61)</f>
        <v>11</v>
      </c>
      <c r="D62" s="19"/>
      <c r="E62" s="112"/>
      <c r="F62" s="19"/>
      <c r="G62" s="20"/>
      <c r="H62" s="20"/>
      <c r="I62" s="21"/>
      <c r="J62" s="81">
        <f>SUM(J50:J61)</f>
        <v>21944.315788455791</v>
      </c>
    </row>
    <row r="63" spans="1:13" ht="15.75" thickBot="1">
      <c r="A63" s="63"/>
      <c r="B63" s="64"/>
      <c r="C63" s="64"/>
      <c r="D63" s="64"/>
      <c r="E63" s="113"/>
      <c r="F63" s="64"/>
      <c r="G63" s="67"/>
      <c r="H63" s="93" t="s">
        <v>79</v>
      </c>
      <c r="I63" s="94"/>
      <c r="J63" s="86"/>
      <c r="K63" s="60">
        <f>J63*E52</f>
        <v>0</v>
      </c>
      <c r="L63" s="60"/>
      <c r="M63" s="60">
        <f>L63-K63</f>
        <v>0</v>
      </c>
    </row>
    <row r="64" spans="1:13" ht="15.75" thickBot="1">
      <c r="A64" s="63"/>
      <c r="B64" s="64"/>
      <c r="C64" s="64"/>
      <c r="D64" s="64"/>
      <c r="E64" s="113"/>
      <c r="F64" s="64"/>
      <c r="G64" s="67"/>
      <c r="H64" s="93" t="s">
        <v>77</v>
      </c>
      <c r="I64" s="94"/>
      <c r="J64" s="86">
        <f>J62-J63</f>
        <v>21944.315788455791</v>
      </c>
      <c r="K64" s="116">
        <f>J64*E52</f>
        <v>3335535.9998452803</v>
      </c>
      <c r="L64" s="116">
        <f>2561856+773680</f>
        <v>3335536</v>
      </c>
      <c r="M64" s="77">
        <f>L64/12/1.302/C62</f>
        <v>19407.997020900246</v>
      </c>
    </row>
    <row r="65" spans="1:13">
      <c r="A65" s="5" t="s">
        <v>102</v>
      </c>
      <c r="B65" s="6" t="s">
        <v>83</v>
      </c>
      <c r="C65" s="74"/>
      <c r="D65" s="6"/>
      <c r="E65" s="111">
        <f>ком.усл!A30</f>
        <v>35</v>
      </c>
      <c r="F65" s="6">
        <v>1979</v>
      </c>
      <c r="G65" s="7">
        <f t="shared" ref="G65:G76" si="20">C65*F65</f>
        <v>0</v>
      </c>
      <c r="H65" s="7">
        <f t="shared" ref="H65:H76" si="21">G65/E65</f>
        <v>0</v>
      </c>
      <c r="I65" s="8">
        <f>D65*12*1.302/1979</f>
        <v>0</v>
      </c>
      <c r="J65" s="84">
        <f t="shared" ref="J65:J76" si="22">I65*H65</f>
        <v>0</v>
      </c>
    </row>
    <row r="66" spans="1:13">
      <c r="A66" s="17"/>
      <c r="B66" s="6" t="s">
        <v>91</v>
      </c>
      <c r="C66" s="74"/>
      <c r="D66" s="6"/>
      <c r="E66" s="111">
        <f>E65</f>
        <v>35</v>
      </c>
      <c r="F66" s="6">
        <v>1979</v>
      </c>
      <c r="G66" s="7">
        <f t="shared" si="20"/>
        <v>0</v>
      </c>
      <c r="H66" s="7">
        <f t="shared" si="21"/>
        <v>0</v>
      </c>
      <c r="I66" s="8">
        <f t="shared" ref="I66:I76" si="23">D66*12*1.302/1979</f>
        <v>0</v>
      </c>
      <c r="J66" s="84">
        <f t="shared" si="22"/>
        <v>0</v>
      </c>
    </row>
    <row r="67" spans="1:13">
      <c r="A67" s="17"/>
      <c r="B67" s="6" t="s">
        <v>84</v>
      </c>
      <c r="C67" s="74"/>
      <c r="D67" s="6"/>
      <c r="E67" s="111">
        <f t="shared" ref="E67:E76" si="24">E66</f>
        <v>35</v>
      </c>
      <c r="F67" s="6">
        <v>1979</v>
      </c>
      <c r="G67" s="7">
        <f t="shared" si="20"/>
        <v>0</v>
      </c>
      <c r="H67" s="7">
        <f t="shared" si="21"/>
        <v>0</v>
      </c>
      <c r="I67" s="8">
        <f t="shared" si="23"/>
        <v>0</v>
      </c>
      <c r="J67" s="84">
        <f t="shared" si="22"/>
        <v>0</v>
      </c>
    </row>
    <row r="68" spans="1:13">
      <c r="A68" s="17"/>
      <c r="B68" s="6" t="s">
        <v>89</v>
      </c>
      <c r="C68" s="74"/>
      <c r="D68" s="70"/>
      <c r="E68" s="111">
        <f t="shared" si="24"/>
        <v>35</v>
      </c>
      <c r="F68" s="6">
        <v>1979</v>
      </c>
      <c r="G68" s="7">
        <f t="shared" si="20"/>
        <v>0</v>
      </c>
      <c r="H68" s="7">
        <f t="shared" si="21"/>
        <v>0</v>
      </c>
      <c r="I68" s="8">
        <f t="shared" si="23"/>
        <v>0</v>
      </c>
      <c r="J68" s="84">
        <f t="shared" si="22"/>
        <v>0</v>
      </c>
    </row>
    <row r="69" spans="1:13">
      <c r="A69" s="17"/>
      <c r="B69" s="6" t="s">
        <v>85</v>
      </c>
      <c r="C69" s="74"/>
      <c r="D69" s="6"/>
      <c r="E69" s="111">
        <f t="shared" si="24"/>
        <v>35</v>
      </c>
      <c r="F69" s="6">
        <v>1979</v>
      </c>
      <c r="G69" s="7">
        <f t="shared" si="20"/>
        <v>0</v>
      </c>
      <c r="H69" s="7">
        <f t="shared" si="21"/>
        <v>0</v>
      </c>
      <c r="I69" s="8">
        <f t="shared" si="23"/>
        <v>0</v>
      </c>
      <c r="J69" s="84">
        <f t="shared" si="22"/>
        <v>0</v>
      </c>
    </row>
    <row r="70" spans="1:13">
      <c r="A70" s="17"/>
      <c r="B70" s="6" t="s">
        <v>86</v>
      </c>
      <c r="C70" s="74"/>
      <c r="D70" s="6"/>
      <c r="E70" s="111">
        <f t="shared" si="24"/>
        <v>35</v>
      </c>
      <c r="F70" s="6">
        <v>1979</v>
      </c>
      <c r="G70" s="7">
        <f t="shared" si="20"/>
        <v>0</v>
      </c>
      <c r="H70" s="7">
        <f t="shared" si="21"/>
        <v>0</v>
      </c>
      <c r="I70" s="8">
        <f t="shared" si="23"/>
        <v>0</v>
      </c>
      <c r="J70" s="84">
        <f t="shared" si="22"/>
        <v>0</v>
      </c>
    </row>
    <row r="71" spans="1:13">
      <c r="A71" s="17"/>
      <c r="B71" s="6" t="s">
        <v>87</v>
      </c>
      <c r="C71" s="74">
        <v>0.5</v>
      </c>
      <c r="D71" s="8">
        <v>19407.987710000001</v>
      </c>
      <c r="E71" s="111">
        <f t="shared" si="24"/>
        <v>35</v>
      </c>
      <c r="F71" s="6">
        <v>1979</v>
      </c>
      <c r="G71" s="7">
        <f t="shared" si="20"/>
        <v>989.5</v>
      </c>
      <c r="H71" s="7">
        <f t="shared" si="21"/>
        <v>28.271428571428572</v>
      </c>
      <c r="I71" s="8">
        <f t="shared" si="23"/>
        <v>153.22405254221326</v>
      </c>
      <c r="J71" s="84">
        <f t="shared" si="22"/>
        <v>4331.8628568720005</v>
      </c>
    </row>
    <row r="72" spans="1:13">
      <c r="A72" s="17"/>
      <c r="B72" s="6" t="s">
        <v>88</v>
      </c>
      <c r="C72" s="74">
        <v>0.75</v>
      </c>
      <c r="D72" s="8">
        <v>19407.987710000001</v>
      </c>
      <c r="E72" s="111">
        <f t="shared" si="24"/>
        <v>35</v>
      </c>
      <c r="F72" s="6">
        <v>1979</v>
      </c>
      <c r="G72" s="7">
        <f t="shared" si="20"/>
        <v>1484.25</v>
      </c>
      <c r="H72" s="7">
        <f t="shared" si="21"/>
        <v>42.407142857142858</v>
      </c>
      <c r="I72" s="8">
        <f t="shared" si="23"/>
        <v>153.22405254221326</v>
      </c>
      <c r="J72" s="84">
        <f t="shared" si="22"/>
        <v>6497.7942853080012</v>
      </c>
    </row>
    <row r="73" spans="1:13">
      <c r="A73" s="17"/>
      <c r="B73" s="6" t="s">
        <v>50</v>
      </c>
      <c r="C73" s="74"/>
      <c r="D73" s="6"/>
      <c r="E73" s="111">
        <f t="shared" si="24"/>
        <v>35</v>
      </c>
      <c r="F73" s="6">
        <v>1979</v>
      </c>
      <c r="G73" s="7">
        <f t="shared" si="20"/>
        <v>0</v>
      </c>
      <c r="H73" s="7">
        <f t="shared" si="21"/>
        <v>0</v>
      </c>
      <c r="I73" s="8">
        <f t="shared" si="23"/>
        <v>0</v>
      </c>
      <c r="J73" s="84">
        <f t="shared" si="22"/>
        <v>0</v>
      </c>
    </row>
    <row r="74" spans="1:13">
      <c r="A74" s="17"/>
      <c r="B74" s="6" t="s">
        <v>92</v>
      </c>
      <c r="C74" s="74"/>
      <c r="D74" s="6"/>
      <c r="E74" s="111">
        <f t="shared" si="24"/>
        <v>35</v>
      </c>
      <c r="F74" s="6">
        <v>1979</v>
      </c>
      <c r="G74" s="7">
        <f t="shared" si="20"/>
        <v>0</v>
      </c>
      <c r="H74" s="7">
        <f t="shared" si="21"/>
        <v>0</v>
      </c>
      <c r="I74" s="8">
        <f t="shared" si="23"/>
        <v>0</v>
      </c>
      <c r="J74" s="84">
        <f t="shared" si="22"/>
        <v>0</v>
      </c>
    </row>
    <row r="75" spans="1:13">
      <c r="A75" s="17"/>
      <c r="B75" s="6" t="s">
        <v>51</v>
      </c>
      <c r="C75" s="74"/>
      <c r="D75" s="71"/>
      <c r="E75" s="111">
        <f t="shared" si="24"/>
        <v>35</v>
      </c>
      <c r="F75" s="6">
        <v>1979</v>
      </c>
      <c r="G75" s="7">
        <f t="shared" si="20"/>
        <v>0</v>
      </c>
      <c r="H75" s="7">
        <f t="shared" si="21"/>
        <v>0</v>
      </c>
      <c r="I75" s="8">
        <f t="shared" si="23"/>
        <v>0</v>
      </c>
      <c r="J75" s="84">
        <f t="shared" si="22"/>
        <v>0</v>
      </c>
    </row>
    <row r="76" spans="1:13">
      <c r="A76" s="17"/>
      <c r="B76" s="6" t="s">
        <v>52</v>
      </c>
      <c r="C76" s="74"/>
      <c r="D76" s="6"/>
      <c r="E76" s="111">
        <f t="shared" si="24"/>
        <v>35</v>
      </c>
      <c r="F76" s="6">
        <v>1979</v>
      </c>
      <c r="G76" s="7">
        <f t="shared" si="20"/>
        <v>0</v>
      </c>
      <c r="H76" s="7">
        <f t="shared" si="21"/>
        <v>0</v>
      </c>
      <c r="I76" s="8">
        <f t="shared" si="23"/>
        <v>0</v>
      </c>
      <c r="J76" s="84">
        <f t="shared" si="22"/>
        <v>0</v>
      </c>
    </row>
    <row r="77" spans="1:13" ht="15.75" thickBot="1">
      <c r="A77" s="18"/>
      <c r="B77" s="19"/>
      <c r="C77" s="88">
        <f>SUM(C65:C76)</f>
        <v>1.25</v>
      </c>
      <c r="D77" s="19"/>
      <c r="E77" s="112"/>
      <c r="F77" s="19"/>
      <c r="G77" s="20"/>
      <c r="H77" s="20"/>
      <c r="I77" s="21"/>
      <c r="J77" s="81">
        <f>SUM(J65:J76)</f>
        <v>10829.657142180002</v>
      </c>
    </row>
    <row r="78" spans="1:13" ht="15.75" thickBot="1">
      <c r="A78" s="63"/>
      <c r="B78" s="64"/>
      <c r="C78" s="64"/>
      <c r="D78" s="64"/>
      <c r="E78" s="113"/>
      <c r="F78" s="64"/>
      <c r="G78" s="67"/>
      <c r="H78" s="93" t="s">
        <v>79</v>
      </c>
      <c r="I78" s="94"/>
      <c r="J78" s="86"/>
      <c r="K78" s="60">
        <f>J78*E67</f>
        <v>0</v>
      </c>
      <c r="L78" s="60"/>
      <c r="M78" s="60">
        <f>L78-K78</f>
        <v>0</v>
      </c>
    </row>
    <row r="79" spans="1:13" ht="15.75" thickBot="1">
      <c r="A79" s="63"/>
      <c r="B79" s="64"/>
      <c r="C79" s="64"/>
      <c r="D79" s="64"/>
      <c r="E79" s="113"/>
      <c r="F79" s="64"/>
      <c r="G79" s="67"/>
      <c r="H79" s="93" t="s">
        <v>77</v>
      </c>
      <c r="I79" s="94"/>
      <c r="J79" s="86">
        <f>J77-J78</f>
        <v>10829.657142180002</v>
      </c>
      <c r="K79" s="116">
        <f>J79*E67</f>
        <v>379037.99997630005</v>
      </c>
      <c r="L79" s="116">
        <f>291120+87918</f>
        <v>379038</v>
      </c>
      <c r="M79" s="77">
        <f>L79/12/1.302/C77</f>
        <v>19407.987711213518</v>
      </c>
    </row>
    <row r="80" spans="1:13">
      <c r="A80" s="5" t="s">
        <v>64</v>
      </c>
      <c r="B80" s="6" t="s">
        <v>83</v>
      </c>
      <c r="C80" s="74">
        <v>2.5</v>
      </c>
      <c r="D80" s="6">
        <v>19408.00072</v>
      </c>
      <c r="E80" s="111">
        <f>ком.усл!A35</f>
        <v>212</v>
      </c>
      <c r="F80" s="6">
        <v>1979</v>
      </c>
      <c r="G80" s="7">
        <f t="shared" ref="G80:G91" si="25">C80*F80</f>
        <v>4947.5</v>
      </c>
      <c r="H80" s="7">
        <f t="shared" ref="H80:H91" si="26">G80/E80</f>
        <v>23.337264150943398</v>
      </c>
      <c r="I80" s="8">
        <f>D80*12*1.302/1979</f>
        <v>153.22415525481557</v>
      </c>
      <c r="J80" s="84">
        <f t="shared" ref="J80:J91" si="27">I80*H80</f>
        <v>3575.8325854867931</v>
      </c>
    </row>
    <row r="81" spans="1:13">
      <c r="A81" s="17"/>
      <c r="B81" s="6" t="s">
        <v>91</v>
      </c>
      <c r="C81" s="74">
        <v>1</v>
      </c>
      <c r="D81" s="6">
        <v>19408.00072</v>
      </c>
      <c r="E81" s="111">
        <f>E80</f>
        <v>212</v>
      </c>
      <c r="F81" s="6">
        <v>1979</v>
      </c>
      <c r="G81" s="7">
        <f t="shared" si="25"/>
        <v>1979</v>
      </c>
      <c r="H81" s="7">
        <f t="shared" si="26"/>
        <v>9.334905660377359</v>
      </c>
      <c r="I81" s="8">
        <f t="shared" ref="I81:I91" si="28">D81*12*1.302/1979</f>
        <v>153.22415525481557</v>
      </c>
      <c r="J81" s="84">
        <f t="shared" si="27"/>
        <v>1430.3330341947171</v>
      </c>
    </row>
    <row r="82" spans="1:13">
      <c r="A82" s="17"/>
      <c r="B82" s="6" t="s">
        <v>84</v>
      </c>
      <c r="C82" s="74">
        <v>2</v>
      </c>
      <c r="D82" s="6">
        <v>19408.00072</v>
      </c>
      <c r="E82" s="111">
        <f t="shared" ref="E82:E91" si="29">E81</f>
        <v>212</v>
      </c>
      <c r="F82" s="6">
        <v>1979</v>
      </c>
      <c r="G82" s="7">
        <f t="shared" si="25"/>
        <v>3958</v>
      </c>
      <c r="H82" s="7">
        <f t="shared" si="26"/>
        <v>18.669811320754718</v>
      </c>
      <c r="I82" s="8">
        <f t="shared" si="28"/>
        <v>153.22415525481557</v>
      </c>
      <c r="J82" s="84">
        <f t="shared" si="27"/>
        <v>2860.6660683894343</v>
      </c>
    </row>
    <row r="83" spans="1:13">
      <c r="A83" s="17"/>
      <c r="B83" s="6" t="s">
        <v>89</v>
      </c>
      <c r="C83" s="74"/>
      <c r="D83" s="6">
        <v>19408.00072</v>
      </c>
      <c r="E83" s="111">
        <f t="shared" si="29"/>
        <v>212</v>
      </c>
      <c r="F83" s="6">
        <v>1979</v>
      </c>
      <c r="G83" s="7">
        <f t="shared" si="25"/>
        <v>0</v>
      </c>
      <c r="H83" s="7">
        <f t="shared" si="26"/>
        <v>0</v>
      </c>
      <c r="I83" s="8">
        <f t="shared" si="28"/>
        <v>153.22415525481557</v>
      </c>
      <c r="J83" s="84">
        <f t="shared" si="27"/>
        <v>0</v>
      </c>
    </row>
    <row r="84" spans="1:13">
      <c r="A84" s="17"/>
      <c r="B84" s="6" t="s">
        <v>85</v>
      </c>
      <c r="C84" s="74">
        <v>1</v>
      </c>
      <c r="D84" s="6">
        <v>19408.00072</v>
      </c>
      <c r="E84" s="111">
        <f t="shared" si="29"/>
        <v>212</v>
      </c>
      <c r="F84" s="6">
        <v>1979</v>
      </c>
      <c r="G84" s="7">
        <f t="shared" si="25"/>
        <v>1979</v>
      </c>
      <c r="H84" s="7">
        <f t="shared" si="26"/>
        <v>9.334905660377359</v>
      </c>
      <c r="I84" s="8">
        <f t="shared" si="28"/>
        <v>153.22415525481557</v>
      </c>
      <c r="J84" s="84">
        <f t="shared" si="27"/>
        <v>1430.3330341947171</v>
      </c>
    </row>
    <row r="85" spans="1:13">
      <c r="A85" s="17"/>
      <c r="B85" s="6" t="s">
        <v>86</v>
      </c>
      <c r="C85" s="74">
        <v>0.5</v>
      </c>
      <c r="D85" s="6">
        <v>19408.00072</v>
      </c>
      <c r="E85" s="111">
        <f t="shared" si="29"/>
        <v>212</v>
      </c>
      <c r="F85" s="6">
        <v>1979</v>
      </c>
      <c r="G85" s="7">
        <f t="shared" si="25"/>
        <v>989.5</v>
      </c>
      <c r="H85" s="7">
        <f t="shared" si="26"/>
        <v>4.6674528301886795</v>
      </c>
      <c r="I85" s="8">
        <f t="shared" si="28"/>
        <v>153.22415525481557</v>
      </c>
      <c r="J85" s="84">
        <f t="shared" si="27"/>
        <v>715.16651709735856</v>
      </c>
    </row>
    <row r="86" spans="1:13">
      <c r="A86" s="17"/>
      <c r="B86" s="6" t="s">
        <v>87</v>
      </c>
      <c r="C86" s="74">
        <v>1</v>
      </c>
      <c r="D86" s="6">
        <v>19408.00072</v>
      </c>
      <c r="E86" s="111">
        <f t="shared" si="29"/>
        <v>212</v>
      </c>
      <c r="F86" s="6">
        <v>1979</v>
      </c>
      <c r="G86" s="7">
        <f t="shared" si="25"/>
        <v>1979</v>
      </c>
      <c r="H86" s="7">
        <f t="shared" si="26"/>
        <v>9.334905660377359</v>
      </c>
      <c r="I86" s="8">
        <f t="shared" si="28"/>
        <v>153.22415525481557</v>
      </c>
      <c r="J86" s="84">
        <f t="shared" si="27"/>
        <v>1430.3330341947171</v>
      </c>
    </row>
    <row r="87" spans="1:13">
      <c r="A87" s="17"/>
      <c r="B87" s="6" t="s">
        <v>88</v>
      </c>
      <c r="C87" s="74">
        <v>1.75</v>
      </c>
      <c r="D87" s="6">
        <v>19408.00072</v>
      </c>
      <c r="E87" s="111">
        <f t="shared" si="29"/>
        <v>212</v>
      </c>
      <c r="F87" s="6">
        <v>1979</v>
      </c>
      <c r="G87" s="7">
        <f t="shared" si="25"/>
        <v>3463.25</v>
      </c>
      <c r="H87" s="7">
        <f t="shared" si="26"/>
        <v>16.336084905660378</v>
      </c>
      <c r="I87" s="8">
        <f t="shared" si="28"/>
        <v>153.22415525481557</v>
      </c>
      <c r="J87" s="84">
        <f t="shared" si="27"/>
        <v>2503.0828098407551</v>
      </c>
    </row>
    <row r="88" spans="1:13">
      <c r="A88" s="17"/>
      <c r="B88" s="6" t="s">
        <v>50</v>
      </c>
      <c r="C88" s="74">
        <v>1.5</v>
      </c>
      <c r="D88" s="6">
        <v>19408.00072</v>
      </c>
      <c r="E88" s="111">
        <f t="shared" si="29"/>
        <v>212</v>
      </c>
      <c r="F88" s="6">
        <v>1979</v>
      </c>
      <c r="G88" s="7">
        <f t="shared" si="25"/>
        <v>2968.5</v>
      </c>
      <c r="H88" s="7">
        <f t="shared" si="26"/>
        <v>14.002358490566039</v>
      </c>
      <c r="I88" s="8">
        <f t="shared" si="28"/>
        <v>153.22415525481557</v>
      </c>
      <c r="J88" s="84">
        <f t="shared" si="27"/>
        <v>2145.4995512920759</v>
      </c>
    </row>
    <row r="89" spans="1:13">
      <c r="A89" s="17"/>
      <c r="B89" s="6" t="s">
        <v>92</v>
      </c>
      <c r="C89" s="74"/>
      <c r="D89" s="6">
        <v>19408.00072</v>
      </c>
      <c r="E89" s="111">
        <f t="shared" si="29"/>
        <v>212</v>
      </c>
      <c r="F89" s="6">
        <v>1979</v>
      </c>
      <c r="G89" s="7">
        <f t="shared" si="25"/>
        <v>0</v>
      </c>
      <c r="H89" s="7">
        <f t="shared" si="26"/>
        <v>0</v>
      </c>
      <c r="I89" s="8">
        <f t="shared" si="28"/>
        <v>153.22415525481557</v>
      </c>
      <c r="J89" s="84">
        <f t="shared" si="27"/>
        <v>0</v>
      </c>
    </row>
    <row r="90" spans="1:13">
      <c r="A90" s="17"/>
      <c r="B90" s="6" t="s">
        <v>51</v>
      </c>
      <c r="C90" s="74">
        <v>3</v>
      </c>
      <c r="D90" s="6">
        <v>19408.00072</v>
      </c>
      <c r="E90" s="111">
        <f t="shared" si="29"/>
        <v>212</v>
      </c>
      <c r="F90" s="6">
        <v>1979</v>
      </c>
      <c r="G90" s="7">
        <f t="shared" si="25"/>
        <v>5937</v>
      </c>
      <c r="H90" s="7">
        <f t="shared" si="26"/>
        <v>28.004716981132077</v>
      </c>
      <c r="I90" s="8">
        <f t="shared" si="28"/>
        <v>153.22415525481557</v>
      </c>
      <c r="J90" s="84">
        <f t="shared" si="27"/>
        <v>4290.9991025841518</v>
      </c>
    </row>
    <row r="91" spans="1:13">
      <c r="A91" s="17"/>
      <c r="B91" s="6" t="s">
        <v>52</v>
      </c>
      <c r="C91" s="74">
        <v>1.5</v>
      </c>
      <c r="D91" s="6">
        <v>19408.00072</v>
      </c>
      <c r="E91" s="111">
        <f t="shared" si="29"/>
        <v>212</v>
      </c>
      <c r="F91" s="6">
        <v>1979</v>
      </c>
      <c r="G91" s="7">
        <f t="shared" si="25"/>
        <v>2968.5</v>
      </c>
      <c r="H91" s="7">
        <f t="shared" si="26"/>
        <v>14.002358490566039</v>
      </c>
      <c r="I91" s="8">
        <f t="shared" si="28"/>
        <v>153.22415525481557</v>
      </c>
      <c r="J91" s="84">
        <f t="shared" si="27"/>
        <v>2145.4995512920759</v>
      </c>
    </row>
    <row r="92" spans="1:13" ht="15.75" thickBot="1">
      <c r="A92" s="18"/>
      <c r="B92" s="19"/>
      <c r="C92" s="88">
        <f>SUM(C80:C91)</f>
        <v>15.75</v>
      </c>
      <c r="D92" s="19"/>
      <c r="E92" s="112"/>
      <c r="F92" s="19"/>
      <c r="G92" s="20"/>
      <c r="H92" s="20"/>
      <c r="I92" s="21"/>
      <c r="J92" s="81">
        <f>SUM(J80:J91)</f>
        <v>22527.745288566795</v>
      </c>
    </row>
    <row r="93" spans="1:13" ht="15.75" thickBot="1">
      <c r="A93" s="63"/>
      <c r="B93" s="64"/>
      <c r="C93" s="64"/>
      <c r="D93" s="64"/>
      <c r="E93" s="113"/>
      <c r="F93" s="64"/>
      <c r="G93" s="67"/>
      <c r="H93" s="93" t="s">
        <v>79</v>
      </c>
      <c r="I93" s="94"/>
      <c r="J93" s="86"/>
      <c r="K93" s="60">
        <f>J93*E82</f>
        <v>0</v>
      </c>
      <c r="L93" s="60"/>
      <c r="M93" s="60">
        <f>L93-K93</f>
        <v>0</v>
      </c>
    </row>
    <row r="94" spans="1:13" ht="15.75" thickBot="1">
      <c r="A94" s="63"/>
      <c r="B94" s="64"/>
      <c r="C94" s="64"/>
      <c r="D94" s="64"/>
      <c r="E94" s="113"/>
      <c r="F94" s="64"/>
      <c r="G94" s="67"/>
      <c r="H94" s="93" t="s">
        <v>77</v>
      </c>
      <c r="I94" s="94"/>
      <c r="J94" s="86">
        <f>J92-J93</f>
        <v>22527.745288566795</v>
      </c>
      <c r="K94" s="116">
        <f>J94*E82</f>
        <v>4775882.0011761608</v>
      </c>
      <c r="L94" s="116">
        <f>3668112+1107770</f>
        <v>4775882</v>
      </c>
      <c r="M94" s="77">
        <f>L94/12/1.302/C92</f>
        <v>19408.000715220376</v>
      </c>
    </row>
    <row r="95" spans="1:13">
      <c r="A95" s="5" t="s">
        <v>65</v>
      </c>
      <c r="B95" s="6" t="s">
        <v>83</v>
      </c>
      <c r="C95" s="74">
        <v>3</v>
      </c>
      <c r="D95" s="8">
        <v>19408.00072</v>
      </c>
      <c r="E95" s="111">
        <f>ком.усл!A40</f>
        <v>252</v>
      </c>
      <c r="F95" s="6">
        <v>1979</v>
      </c>
      <c r="G95" s="7">
        <f t="shared" ref="G95:G106" si="30">C95*F95</f>
        <v>5937</v>
      </c>
      <c r="H95" s="7">
        <f t="shared" ref="H95:H106" si="31">G95/E95</f>
        <v>23.55952380952381</v>
      </c>
      <c r="I95" s="8">
        <f>D95*12*1.302/1979</f>
        <v>153.22415525481557</v>
      </c>
      <c r="J95" s="84">
        <f t="shared" ref="J95:J106" si="32">I95*H95</f>
        <v>3609.8881339200002</v>
      </c>
    </row>
    <row r="96" spans="1:13">
      <c r="A96" s="17"/>
      <c r="B96" s="6" t="s">
        <v>91</v>
      </c>
      <c r="C96" s="74">
        <v>1</v>
      </c>
      <c r="D96" s="8">
        <v>19408.00072</v>
      </c>
      <c r="E96" s="111">
        <f>E95</f>
        <v>252</v>
      </c>
      <c r="F96" s="6">
        <v>1979</v>
      </c>
      <c r="G96" s="7">
        <f t="shared" si="30"/>
        <v>1979</v>
      </c>
      <c r="H96" s="7">
        <f t="shared" si="31"/>
        <v>7.8531746031746028</v>
      </c>
      <c r="I96" s="8">
        <f t="shared" ref="I96:I106" si="33">D96*12*1.302/1979</f>
        <v>153.22415525481557</v>
      </c>
      <c r="J96" s="84">
        <f t="shared" si="32"/>
        <v>1203.29604464</v>
      </c>
    </row>
    <row r="97" spans="1:13">
      <c r="A97" s="17"/>
      <c r="B97" s="6" t="s">
        <v>84</v>
      </c>
      <c r="C97" s="74">
        <v>2.75</v>
      </c>
      <c r="D97" s="8">
        <v>19408.00072</v>
      </c>
      <c r="E97" s="111">
        <f t="shared" ref="E97:E106" si="34">E96</f>
        <v>252</v>
      </c>
      <c r="F97" s="6">
        <v>1979</v>
      </c>
      <c r="G97" s="7">
        <f t="shared" si="30"/>
        <v>5442.25</v>
      </c>
      <c r="H97" s="7">
        <f t="shared" si="31"/>
        <v>21.596230158730158</v>
      </c>
      <c r="I97" s="8">
        <f t="shared" si="33"/>
        <v>153.22415525481557</v>
      </c>
      <c r="J97" s="84">
        <f t="shared" si="32"/>
        <v>3309.0641227599999</v>
      </c>
    </row>
    <row r="98" spans="1:13">
      <c r="A98" s="17"/>
      <c r="B98" s="6" t="s">
        <v>89</v>
      </c>
      <c r="C98" s="74"/>
      <c r="D98" s="8">
        <v>19408.00072</v>
      </c>
      <c r="E98" s="111">
        <f t="shared" si="34"/>
        <v>252</v>
      </c>
      <c r="F98" s="6">
        <v>1979</v>
      </c>
      <c r="G98" s="7">
        <f t="shared" si="30"/>
        <v>0</v>
      </c>
      <c r="H98" s="7">
        <f t="shared" si="31"/>
        <v>0</v>
      </c>
      <c r="I98" s="8">
        <f t="shared" si="33"/>
        <v>153.22415525481557</v>
      </c>
      <c r="J98" s="84">
        <f t="shared" si="32"/>
        <v>0</v>
      </c>
    </row>
    <row r="99" spans="1:13">
      <c r="A99" s="17"/>
      <c r="B99" s="6" t="s">
        <v>85</v>
      </c>
      <c r="C99" s="74">
        <v>1</v>
      </c>
      <c r="D99" s="8">
        <v>19408.00072</v>
      </c>
      <c r="E99" s="111">
        <f t="shared" si="34"/>
        <v>252</v>
      </c>
      <c r="F99" s="6">
        <v>1979</v>
      </c>
      <c r="G99" s="7">
        <f t="shared" si="30"/>
        <v>1979</v>
      </c>
      <c r="H99" s="7">
        <f t="shared" si="31"/>
        <v>7.8531746031746028</v>
      </c>
      <c r="I99" s="8">
        <f t="shared" si="33"/>
        <v>153.22415525481557</v>
      </c>
      <c r="J99" s="84">
        <f t="shared" si="32"/>
        <v>1203.29604464</v>
      </c>
    </row>
    <row r="100" spans="1:13">
      <c r="A100" s="17"/>
      <c r="B100" s="6" t="s">
        <v>86</v>
      </c>
      <c r="C100" s="74"/>
      <c r="D100" s="8">
        <v>19408.00072</v>
      </c>
      <c r="E100" s="111">
        <f t="shared" si="34"/>
        <v>252</v>
      </c>
      <c r="F100" s="6">
        <v>1979</v>
      </c>
      <c r="G100" s="7">
        <f t="shared" si="30"/>
        <v>0</v>
      </c>
      <c r="H100" s="7">
        <f t="shared" si="31"/>
        <v>0</v>
      </c>
      <c r="I100" s="8">
        <f t="shared" si="33"/>
        <v>153.22415525481557</v>
      </c>
      <c r="J100" s="84">
        <f t="shared" si="32"/>
        <v>0</v>
      </c>
    </row>
    <row r="101" spans="1:13">
      <c r="A101" s="17"/>
      <c r="B101" s="6" t="s">
        <v>87</v>
      </c>
      <c r="C101" s="74">
        <v>0.75</v>
      </c>
      <c r="D101" s="8">
        <v>19408.00072</v>
      </c>
      <c r="E101" s="111">
        <f t="shared" si="34"/>
        <v>252</v>
      </c>
      <c r="F101" s="6">
        <v>1979</v>
      </c>
      <c r="G101" s="7">
        <f t="shared" si="30"/>
        <v>1484.25</v>
      </c>
      <c r="H101" s="7">
        <f t="shared" si="31"/>
        <v>5.8898809523809526</v>
      </c>
      <c r="I101" s="8">
        <f t="shared" si="33"/>
        <v>153.22415525481557</v>
      </c>
      <c r="J101" s="84">
        <f t="shared" si="32"/>
        <v>902.47203348000005</v>
      </c>
    </row>
    <row r="102" spans="1:13">
      <c r="A102" s="17"/>
      <c r="B102" s="6" t="s">
        <v>88</v>
      </c>
      <c r="C102" s="74">
        <v>2</v>
      </c>
      <c r="D102" s="8">
        <v>19408.00072</v>
      </c>
      <c r="E102" s="111">
        <f t="shared" si="34"/>
        <v>252</v>
      </c>
      <c r="F102" s="6">
        <v>1979</v>
      </c>
      <c r="G102" s="7">
        <f t="shared" si="30"/>
        <v>3958</v>
      </c>
      <c r="H102" s="7">
        <f t="shared" si="31"/>
        <v>15.706349206349206</v>
      </c>
      <c r="I102" s="8">
        <f t="shared" si="33"/>
        <v>153.22415525481557</v>
      </c>
      <c r="J102" s="84">
        <f t="shared" si="32"/>
        <v>2406.59208928</v>
      </c>
    </row>
    <row r="103" spans="1:13">
      <c r="A103" s="17"/>
      <c r="B103" s="6" t="s">
        <v>50</v>
      </c>
      <c r="C103" s="74">
        <v>0.75</v>
      </c>
      <c r="D103" s="8">
        <v>19408.00072</v>
      </c>
      <c r="E103" s="111">
        <f t="shared" si="34"/>
        <v>252</v>
      </c>
      <c r="F103" s="6">
        <v>1979</v>
      </c>
      <c r="G103" s="7">
        <f t="shared" si="30"/>
        <v>1484.25</v>
      </c>
      <c r="H103" s="7">
        <f t="shared" si="31"/>
        <v>5.8898809523809526</v>
      </c>
      <c r="I103" s="8">
        <f t="shared" si="33"/>
        <v>153.22415525481557</v>
      </c>
      <c r="J103" s="84">
        <f t="shared" si="32"/>
        <v>902.47203348000005</v>
      </c>
    </row>
    <row r="104" spans="1:13">
      <c r="A104" s="17"/>
      <c r="B104" s="6" t="s">
        <v>92</v>
      </c>
      <c r="C104" s="74"/>
      <c r="D104" s="8">
        <v>19408.00072</v>
      </c>
      <c r="E104" s="111">
        <f t="shared" si="34"/>
        <v>252</v>
      </c>
      <c r="F104" s="6">
        <v>1979</v>
      </c>
      <c r="G104" s="7">
        <f t="shared" si="30"/>
        <v>0</v>
      </c>
      <c r="H104" s="7">
        <f t="shared" si="31"/>
        <v>0</v>
      </c>
      <c r="I104" s="8">
        <f t="shared" si="33"/>
        <v>153.22415525481557</v>
      </c>
      <c r="J104" s="84">
        <f t="shared" si="32"/>
        <v>0</v>
      </c>
    </row>
    <row r="105" spans="1:13">
      <c r="A105" s="17"/>
      <c r="B105" s="6" t="s">
        <v>51</v>
      </c>
      <c r="C105" s="74">
        <v>3</v>
      </c>
      <c r="D105" s="8">
        <v>19408.00072</v>
      </c>
      <c r="E105" s="111">
        <f t="shared" si="34"/>
        <v>252</v>
      </c>
      <c r="F105" s="6">
        <v>1979</v>
      </c>
      <c r="G105" s="7">
        <f t="shared" si="30"/>
        <v>5937</v>
      </c>
      <c r="H105" s="7">
        <f t="shared" si="31"/>
        <v>23.55952380952381</v>
      </c>
      <c r="I105" s="8">
        <f t="shared" si="33"/>
        <v>153.22415525481557</v>
      </c>
      <c r="J105" s="84">
        <f t="shared" si="32"/>
        <v>3609.8881339200002</v>
      </c>
    </row>
    <row r="106" spans="1:13">
      <c r="A106" s="17"/>
      <c r="B106" s="6" t="s">
        <v>52</v>
      </c>
      <c r="C106" s="74">
        <v>1.5</v>
      </c>
      <c r="D106" s="8">
        <v>19408.00072</v>
      </c>
      <c r="E106" s="111">
        <f t="shared" si="34"/>
        <v>252</v>
      </c>
      <c r="F106" s="6">
        <v>1979</v>
      </c>
      <c r="G106" s="7">
        <f t="shared" si="30"/>
        <v>2968.5</v>
      </c>
      <c r="H106" s="7">
        <f t="shared" si="31"/>
        <v>11.779761904761905</v>
      </c>
      <c r="I106" s="8">
        <f t="shared" si="33"/>
        <v>153.22415525481557</v>
      </c>
      <c r="J106" s="84">
        <f t="shared" si="32"/>
        <v>1804.9440669600001</v>
      </c>
    </row>
    <row r="107" spans="1:13" ht="15.75" thickBot="1">
      <c r="A107" s="18"/>
      <c r="B107" s="19"/>
      <c r="C107" s="90">
        <f>SUM(C95:C106)</f>
        <v>15.75</v>
      </c>
      <c r="D107" s="19"/>
      <c r="E107" s="112"/>
      <c r="F107" s="19"/>
      <c r="G107" s="20"/>
      <c r="H107" s="20"/>
      <c r="I107" s="21"/>
      <c r="J107" s="81">
        <f>SUM(J95:J106)</f>
        <v>18951.912703080001</v>
      </c>
    </row>
    <row r="108" spans="1:13" ht="15.75" thickBot="1">
      <c r="A108" s="63"/>
      <c r="B108" s="64"/>
      <c r="C108" s="64"/>
      <c r="D108" s="64"/>
      <c r="E108" s="113"/>
      <c r="F108" s="64"/>
      <c r="G108" s="67"/>
      <c r="H108" s="93" t="s">
        <v>79</v>
      </c>
      <c r="I108" s="94"/>
      <c r="J108" s="86"/>
      <c r="K108" s="60">
        <f>J108*E97</f>
        <v>0</v>
      </c>
      <c r="L108" s="60"/>
      <c r="M108" s="60">
        <f>L108-K108</f>
        <v>0</v>
      </c>
    </row>
    <row r="109" spans="1:13" ht="15.75" thickBot="1">
      <c r="A109" s="63"/>
      <c r="B109" s="64"/>
      <c r="C109" s="64"/>
      <c r="D109" s="64"/>
      <c r="E109" s="113"/>
      <c r="F109" s="64"/>
      <c r="G109" s="67"/>
      <c r="H109" s="93" t="s">
        <v>77</v>
      </c>
      <c r="I109" s="94"/>
      <c r="J109" s="86">
        <f>J107-J108</f>
        <v>18951.912703080001</v>
      </c>
      <c r="K109" s="116">
        <f>J109*E97</f>
        <v>4775882.0011761598</v>
      </c>
      <c r="L109" s="116">
        <f>3668112+1107770</f>
        <v>4775882</v>
      </c>
      <c r="M109" s="77">
        <f>L109/12/1.302/C107</f>
        <v>19408.000715220376</v>
      </c>
    </row>
    <row r="110" spans="1:13">
      <c r="A110" s="5" t="s">
        <v>97</v>
      </c>
      <c r="B110" s="6" t="s">
        <v>83</v>
      </c>
      <c r="C110" s="74"/>
      <c r="D110" s="6"/>
      <c r="E110" s="111">
        <f>ком.усл!A45</f>
        <v>130</v>
      </c>
      <c r="F110" s="6">
        <v>1979</v>
      </c>
      <c r="G110" s="7">
        <f t="shared" ref="G110:G121" si="35">C110*F110</f>
        <v>0</v>
      </c>
      <c r="H110" s="7">
        <f t="shared" ref="H110:H121" si="36">G110/E110</f>
        <v>0</v>
      </c>
      <c r="I110" s="8">
        <f>D110*12*1.302/1979</f>
        <v>0</v>
      </c>
      <c r="J110" s="84">
        <f t="shared" ref="J110:J121" si="37">I110*H110</f>
        <v>0</v>
      </c>
    </row>
    <row r="111" spans="1:13">
      <c r="A111" s="17"/>
      <c r="B111" s="6" t="s">
        <v>91</v>
      </c>
      <c r="C111" s="74"/>
      <c r="D111" s="6"/>
      <c r="E111" s="111">
        <f>E110</f>
        <v>130</v>
      </c>
      <c r="F111" s="6">
        <v>1979</v>
      </c>
      <c r="G111" s="7">
        <f t="shared" si="35"/>
        <v>0</v>
      </c>
      <c r="H111" s="7">
        <f t="shared" si="36"/>
        <v>0</v>
      </c>
      <c r="I111" s="8">
        <f t="shared" ref="I111:I121" si="38">D111*12*1.302/1979</f>
        <v>0</v>
      </c>
      <c r="J111" s="84">
        <f t="shared" si="37"/>
        <v>0</v>
      </c>
    </row>
    <row r="112" spans="1:13">
      <c r="A112" s="17"/>
      <c r="B112" s="6" t="s">
        <v>84</v>
      </c>
      <c r="C112" s="74"/>
      <c r="D112" s="6"/>
      <c r="E112" s="111">
        <f t="shared" ref="E112:E121" si="39">E111</f>
        <v>130</v>
      </c>
      <c r="F112" s="6">
        <v>1979</v>
      </c>
      <c r="G112" s="7">
        <f t="shared" si="35"/>
        <v>0</v>
      </c>
      <c r="H112" s="7">
        <f t="shared" si="36"/>
        <v>0</v>
      </c>
      <c r="I112" s="8">
        <f t="shared" si="38"/>
        <v>0</v>
      </c>
      <c r="J112" s="84">
        <f t="shared" si="37"/>
        <v>0</v>
      </c>
    </row>
    <row r="113" spans="1:13">
      <c r="A113" s="17"/>
      <c r="B113" s="6" t="s">
        <v>89</v>
      </c>
      <c r="C113" s="74"/>
      <c r="D113" s="70"/>
      <c r="E113" s="111">
        <f t="shared" si="39"/>
        <v>130</v>
      </c>
      <c r="F113" s="6">
        <v>1979</v>
      </c>
      <c r="G113" s="7">
        <f t="shared" si="35"/>
        <v>0</v>
      </c>
      <c r="H113" s="7">
        <f t="shared" si="36"/>
        <v>0</v>
      </c>
      <c r="I113" s="8">
        <f t="shared" si="38"/>
        <v>0</v>
      </c>
      <c r="J113" s="84">
        <f t="shared" si="37"/>
        <v>0</v>
      </c>
    </row>
    <row r="114" spans="1:13">
      <c r="A114" s="17"/>
      <c r="B114" s="6" t="s">
        <v>85</v>
      </c>
      <c r="C114" s="74"/>
      <c r="D114" s="6"/>
      <c r="E114" s="111">
        <f t="shared" si="39"/>
        <v>130</v>
      </c>
      <c r="F114" s="6">
        <v>1979</v>
      </c>
      <c r="G114" s="7">
        <f t="shared" si="35"/>
        <v>0</v>
      </c>
      <c r="H114" s="7">
        <f t="shared" si="36"/>
        <v>0</v>
      </c>
      <c r="I114" s="8">
        <f t="shared" si="38"/>
        <v>0</v>
      </c>
      <c r="J114" s="84">
        <f t="shared" si="37"/>
        <v>0</v>
      </c>
    </row>
    <row r="115" spans="1:13">
      <c r="A115" s="17"/>
      <c r="B115" s="6" t="s">
        <v>86</v>
      </c>
      <c r="C115" s="74"/>
      <c r="D115" s="6"/>
      <c r="E115" s="111">
        <f t="shared" si="39"/>
        <v>130</v>
      </c>
      <c r="F115" s="6">
        <v>1979</v>
      </c>
      <c r="G115" s="7">
        <f t="shared" si="35"/>
        <v>0</v>
      </c>
      <c r="H115" s="7">
        <f t="shared" si="36"/>
        <v>0</v>
      </c>
      <c r="I115" s="8">
        <f t="shared" si="38"/>
        <v>0</v>
      </c>
      <c r="J115" s="84">
        <f t="shared" si="37"/>
        <v>0</v>
      </c>
    </row>
    <row r="116" spans="1:13">
      <c r="A116" s="17"/>
      <c r="B116" s="6" t="s">
        <v>87</v>
      </c>
      <c r="C116" s="74">
        <v>0.5</v>
      </c>
      <c r="D116" s="8">
        <v>19416.32531</v>
      </c>
      <c r="E116" s="111">
        <f t="shared" si="39"/>
        <v>130</v>
      </c>
      <c r="F116" s="6">
        <v>1979</v>
      </c>
      <c r="G116" s="7">
        <f t="shared" si="35"/>
        <v>989.5</v>
      </c>
      <c r="H116" s="7">
        <f t="shared" si="36"/>
        <v>7.6115384615384611</v>
      </c>
      <c r="I116" s="8">
        <f t="shared" si="38"/>
        <v>153.28987703054068</v>
      </c>
      <c r="J116" s="84">
        <f t="shared" si="37"/>
        <v>1166.7717947824615</v>
      </c>
    </row>
    <row r="117" spans="1:13">
      <c r="A117" s="17"/>
      <c r="B117" s="6" t="s">
        <v>88</v>
      </c>
      <c r="C117" s="74">
        <v>0.75</v>
      </c>
      <c r="D117" s="8">
        <v>19416.32531</v>
      </c>
      <c r="E117" s="111">
        <f t="shared" si="39"/>
        <v>130</v>
      </c>
      <c r="F117" s="6">
        <v>1979</v>
      </c>
      <c r="G117" s="7">
        <f t="shared" si="35"/>
        <v>1484.25</v>
      </c>
      <c r="H117" s="7">
        <f t="shared" si="36"/>
        <v>11.417307692307693</v>
      </c>
      <c r="I117" s="8">
        <f t="shared" si="38"/>
        <v>153.28987703054068</v>
      </c>
      <c r="J117" s="84">
        <f t="shared" si="37"/>
        <v>1750.1576921736923</v>
      </c>
    </row>
    <row r="118" spans="1:13">
      <c r="A118" s="17"/>
      <c r="B118" s="6" t="s">
        <v>50</v>
      </c>
      <c r="C118" s="74">
        <v>0.75</v>
      </c>
      <c r="D118" s="8">
        <v>19416.32531</v>
      </c>
      <c r="E118" s="111">
        <f t="shared" si="39"/>
        <v>130</v>
      </c>
      <c r="F118" s="6">
        <v>1979</v>
      </c>
      <c r="G118" s="7">
        <f t="shared" si="35"/>
        <v>1484.25</v>
      </c>
      <c r="H118" s="7">
        <f t="shared" si="36"/>
        <v>11.417307692307693</v>
      </c>
      <c r="I118" s="8">
        <f t="shared" si="38"/>
        <v>153.28987703054068</v>
      </c>
      <c r="J118" s="84">
        <f t="shared" si="37"/>
        <v>1750.1576921736923</v>
      </c>
    </row>
    <row r="119" spans="1:13">
      <c r="A119" s="17"/>
      <c r="B119" s="6" t="s">
        <v>92</v>
      </c>
      <c r="C119" s="74"/>
      <c r="D119" s="8">
        <v>19416.32531</v>
      </c>
      <c r="E119" s="111">
        <f t="shared" si="39"/>
        <v>130</v>
      </c>
      <c r="F119" s="6">
        <v>1979</v>
      </c>
      <c r="G119" s="7">
        <f t="shared" si="35"/>
        <v>0</v>
      </c>
      <c r="H119" s="7">
        <f t="shared" si="36"/>
        <v>0</v>
      </c>
      <c r="I119" s="8">
        <f t="shared" si="38"/>
        <v>153.28987703054068</v>
      </c>
      <c r="J119" s="84">
        <f t="shared" si="37"/>
        <v>0</v>
      </c>
    </row>
    <row r="120" spans="1:13">
      <c r="A120" s="17"/>
      <c r="B120" s="6" t="s">
        <v>51</v>
      </c>
      <c r="C120" s="74">
        <v>3</v>
      </c>
      <c r="D120" s="8">
        <v>19416.32531</v>
      </c>
      <c r="E120" s="111">
        <f t="shared" si="39"/>
        <v>130</v>
      </c>
      <c r="F120" s="6">
        <v>1979</v>
      </c>
      <c r="G120" s="7">
        <f t="shared" si="35"/>
        <v>5937</v>
      </c>
      <c r="H120" s="7">
        <f t="shared" si="36"/>
        <v>45.669230769230772</v>
      </c>
      <c r="I120" s="8">
        <f t="shared" si="38"/>
        <v>153.28987703054068</v>
      </c>
      <c r="J120" s="84">
        <f t="shared" si="37"/>
        <v>7000.6307686947694</v>
      </c>
    </row>
    <row r="121" spans="1:13">
      <c r="A121" s="17"/>
      <c r="B121" s="6" t="s">
        <v>52</v>
      </c>
      <c r="C121" s="74">
        <v>1</v>
      </c>
      <c r="D121" s="8">
        <v>19416.32531</v>
      </c>
      <c r="E121" s="111">
        <f t="shared" si="39"/>
        <v>130</v>
      </c>
      <c r="F121" s="6">
        <v>1979</v>
      </c>
      <c r="G121" s="7">
        <f t="shared" si="35"/>
        <v>1979</v>
      </c>
      <c r="H121" s="7">
        <f t="shared" si="36"/>
        <v>15.223076923076922</v>
      </c>
      <c r="I121" s="8">
        <f t="shared" si="38"/>
        <v>153.28987703054068</v>
      </c>
      <c r="J121" s="84">
        <f t="shared" si="37"/>
        <v>2333.543589564923</v>
      </c>
    </row>
    <row r="122" spans="1:13" ht="15.75" thickBot="1">
      <c r="A122" s="18"/>
      <c r="B122" s="19"/>
      <c r="C122" s="88">
        <f>SUM(C110:C121)</f>
        <v>6</v>
      </c>
      <c r="D122" s="19"/>
      <c r="E122" s="112"/>
      <c r="F122" s="19"/>
      <c r="G122" s="20"/>
      <c r="H122" s="20"/>
      <c r="I122" s="21"/>
      <c r="J122" s="81">
        <f>SUM(J110:J121)</f>
        <v>14001.261537389537</v>
      </c>
    </row>
    <row r="123" spans="1:13" ht="15.75" thickBot="1">
      <c r="A123" s="63"/>
      <c r="B123" s="64"/>
      <c r="C123" s="64"/>
      <c r="D123" s="64"/>
      <c r="E123" s="113"/>
      <c r="F123" s="64"/>
      <c r="G123" s="67"/>
      <c r="H123" s="93" t="s">
        <v>79</v>
      </c>
      <c r="I123" s="94"/>
      <c r="J123" s="86"/>
      <c r="K123" s="60">
        <f>J123*E112</f>
        <v>0</v>
      </c>
      <c r="L123" s="60"/>
      <c r="M123" s="60">
        <f>L123-K123</f>
        <v>0</v>
      </c>
    </row>
    <row r="124" spans="1:13" ht="15.75" thickBot="1">
      <c r="A124" s="63"/>
      <c r="B124" s="64"/>
      <c r="C124" s="64"/>
      <c r="D124" s="64"/>
      <c r="E124" s="113"/>
      <c r="F124" s="64"/>
      <c r="G124" s="67"/>
      <c r="H124" s="93" t="s">
        <v>77</v>
      </c>
      <c r="I124" s="94"/>
      <c r="J124" s="86">
        <f>J122-J123</f>
        <v>14001.261537389537</v>
      </c>
      <c r="K124" s="116">
        <f>J124*E112</f>
        <v>1820163.9998606397</v>
      </c>
      <c r="L124" s="116">
        <f>1397376+780+422008</f>
        <v>1820164</v>
      </c>
      <c r="M124" s="77">
        <f>L124/12/1.302/C122</f>
        <v>19416.325311486602</v>
      </c>
    </row>
    <row r="125" spans="1:13">
      <c r="A125" s="5" t="s">
        <v>66</v>
      </c>
      <c r="B125" s="6" t="s">
        <v>83</v>
      </c>
      <c r="C125" s="74">
        <v>2</v>
      </c>
      <c r="D125" s="8">
        <v>19407.998339999998</v>
      </c>
      <c r="E125" s="111">
        <f>ком.усл!A50</f>
        <v>125</v>
      </c>
      <c r="F125" s="6">
        <v>1979</v>
      </c>
      <c r="G125" s="7">
        <f t="shared" ref="G125:G136" si="40">C125*F125</f>
        <v>3958</v>
      </c>
      <c r="H125" s="7">
        <f t="shared" ref="H125:H136" si="41">G125/E125</f>
        <v>31.664000000000001</v>
      </c>
      <c r="I125" s="8">
        <f>D125*12*1.302/1979</f>
        <v>153.22413646496207</v>
      </c>
      <c r="J125" s="84">
        <f t="shared" ref="J125:J136" si="42">I125*H125</f>
        <v>4851.6890570265596</v>
      </c>
    </row>
    <row r="126" spans="1:13">
      <c r="A126" s="17"/>
      <c r="B126" s="6" t="s">
        <v>91</v>
      </c>
      <c r="C126" s="74"/>
      <c r="D126" s="8">
        <v>19407.998339999998</v>
      </c>
      <c r="E126" s="111">
        <f>E125</f>
        <v>125</v>
      </c>
      <c r="F126" s="6">
        <v>1979</v>
      </c>
      <c r="G126" s="7">
        <f t="shared" si="40"/>
        <v>0</v>
      </c>
      <c r="H126" s="7">
        <f t="shared" si="41"/>
        <v>0</v>
      </c>
      <c r="I126" s="8">
        <f t="shared" ref="I126:I136" si="43">D126*12*1.302/1979</f>
        <v>153.22413646496207</v>
      </c>
      <c r="J126" s="84">
        <f t="shared" si="42"/>
        <v>0</v>
      </c>
    </row>
    <row r="127" spans="1:13">
      <c r="A127" s="17"/>
      <c r="B127" s="6" t="s">
        <v>84</v>
      </c>
      <c r="C127" s="74">
        <v>1</v>
      </c>
      <c r="D127" s="8">
        <v>19407.998339999998</v>
      </c>
      <c r="E127" s="111">
        <f t="shared" ref="E127:E136" si="44">E126</f>
        <v>125</v>
      </c>
      <c r="F127" s="6">
        <v>1979</v>
      </c>
      <c r="G127" s="7">
        <f t="shared" si="40"/>
        <v>1979</v>
      </c>
      <c r="H127" s="7">
        <f t="shared" si="41"/>
        <v>15.832000000000001</v>
      </c>
      <c r="I127" s="8">
        <f t="shared" si="43"/>
        <v>153.22413646496207</v>
      </c>
      <c r="J127" s="84">
        <f t="shared" si="42"/>
        <v>2425.8445285132798</v>
      </c>
    </row>
    <row r="128" spans="1:13">
      <c r="A128" s="17"/>
      <c r="B128" s="6" t="s">
        <v>89</v>
      </c>
      <c r="C128" s="74"/>
      <c r="D128" s="8">
        <v>19407.998339999998</v>
      </c>
      <c r="E128" s="111">
        <f t="shared" si="44"/>
        <v>125</v>
      </c>
      <c r="F128" s="6">
        <v>1979</v>
      </c>
      <c r="G128" s="7">
        <f t="shared" si="40"/>
        <v>0</v>
      </c>
      <c r="H128" s="7">
        <f t="shared" si="41"/>
        <v>0</v>
      </c>
      <c r="I128" s="8">
        <f t="shared" si="43"/>
        <v>153.22413646496207</v>
      </c>
      <c r="J128" s="84">
        <f t="shared" si="42"/>
        <v>0</v>
      </c>
    </row>
    <row r="129" spans="1:13">
      <c r="A129" s="17"/>
      <c r="B129" s="6" t="s">
        <v>85</v>
      </c>
      <c r="C129" s="74">
        <v>0.5</v>
      </c>
      <c r="D129" s="8">
        <v>19407.998339999998</v>
      </c>
      <c r="E129" s="111">
        <f t="shared" si="44"/>
        <v>125</v>
      </c>
      <c r="F129" s="6">
        <v>1979</v>
      </c>
      <c r="G129" s="7">
        <f t="shared" si="40"/>
        <v>989.5</v>
      </c>
      <c r="H129" s="7">
        <f t="shared" si="41"/>
        <v>7.9160000000000004</v>
      </c>
      <c r="I129" s="8">
        <f t="shared" si="43"/>
        <v>153.22413646496207</v>
      </c>
      <c r="J129" s="84">
        <f t="shared" si="42"/>
        <v>1212.9222642566399</v>
      </c>
    </row>
    <row r="130" spans="1:13">
      <c r="A130" s="17"/>
      <c r="B130" s="6" t="s">
        <v>86</v>
      </c>
      <c r="C130" s="74"/>
      <c r="D130" s="8">
        <v>19407.998339999998</v>
      </c>
      <c r="E130" s="111">
        <f t="shared" si="44"/>
        <v>125</v>
      </c>
      <c r="F130" s="6">
        <v>1979</v>
      </c>
      <c r="G130" s="7">
        <f t="shared" si="40"/>
        <v>0</v>
      </c>
      <c r="H130" s="7">
        <f t="shared" si="41"/>
        <v>0</v>
      </c>
      <c r="I130" s="8">
        <f t="shared" si="43"/>
        <v>153.22413646496207</v>
      </c>
      <c r="J130" s="84">
        <f t="shared" si="42"/>
        <v>0</v>
      </c>
    </row>
    <row r="131" spans="1:13">
      <c r="A131" s="17"/>
      <c r="B131" s="6" t="s">
        <v>87</v>
      </c>
      <c r="C131" s="74">
        <v>0.5</v>
      </c>
      <c r="D131" s="8">
        <v>19407.998339999998</v>
      </c>
      <c r="E131" s="111">
        <f t="shared" si="44"/>
        <v>125</v>
      </c>
      <c r="F131" s="6">
        <v>1979</v>
      </c>
      <c r="G131" s="7">
        <f t="shared" si="40"/>
        <v>989.5</v>
      </c>
      <c r="H131" s="7">
        <f t="shared" si="41"/>
        <v>7.9160000000000004</v>
      </c>
      <c r="I131" s="8">
        <f t="shared" si="43"/>
        <v>153.22413646496207</v>
      </c>
      <c r="J131" s="84">
        <f t="shared" si="42"/>
        <v>1212.9222642566399</v>
      </c>
    </row>
    <row r="132" spans="1:13">
      <c r="A132" s="17"/>
      <c r="B132" s="6" t="s">
        <v>88</v>
      </c>
      <c r="C132" s="74">
        <v>1.25</v>
      </c>
      <c r="D132" s="8">
        <v>19407.998339999998</v>
      </c>
      <c r="E132" s="111">
        <f t="shared" si="44"/>
        <v>125</v>
      </c>
      <c r="F132" s="6">
        <v>1979</v>
      </c>
      <c r="G132" s="7">
        <f t="shared" si="40"/>
        <v>2473.75</v>
      </c>
      <c r="H132" s="7">
        <f t="shared" si="41"/>
        <v>19.79</v>
      </c>
      <c r="I132" s="8">
        <f t="shared" si="43"/>
        <v>153.22413646496207</v>
      </c>
      <c r="J132" s="84">
        <f t="shared" si="42"/>
        <v>3032.3056606415994</v>
      </c>
    </row>
    <row r="133" spans="1:13">
      <c r="A133" s="17"/>
      <c r="B133" s="6" t="s">
        <v>50</v>
      </c>
      <c r="C133" s="74">
        <v>0.5</v>
      </c>
      <c r="D133" s="8">
        <v>19407.998339999998</v>
      </c>
      <c r="E133" s="111">
        <f t="shared" si="44"/>
        <v>125</v>
      </c>
      <c r="F133" s="6">
        <v>1979</v>
      </c>
      <c r="G133" s="7">
        <f t="shared" si="40"/>
        <v>989.5</v>
      </c>
      <c r="H133" s="7">
        <f t="shared" si="41"/>
        <v>7.9160000000000004</v>
      </c>
      <c r="I133" s="8">
        <f t="shared" si="43"/>
        <v>153.22413646496207</v>
      </c>
      <c r="J133" s="84">
        <f t="shared" si="42"/>
        <v>1212.9222642566399</v>
      </c>
    </row>
    <row r="134" spans="1:13">
      <c r="A134" s="17"/>
      <c r="B134" s="6" t="s">
        <v>92</v>
      </c>
      <c r="C134" s="74"/>
      <c r="D134" s="8">
        <v>19407.998339999998</v>
      </c>
      <c r="E134" s="111">
        <f t="shared" si="44"/>
        <v>125</v>
      </c>
      <c r="F134" s="6">
        <v>1979</v>
      </c>
      <c r="G134" s="7">
        <f t="shared" si="40"/>
        <v>0</v>
      </c>
      <c r="H134" s="7">
        <f t="shared" si="41"/>
        <v>0</v>
      </c>
      <c r="I134" s="8">
        <f t="shared" si="43"/>
        <v>153.22413646496207</v>
      </c>
      <c r="J134" s="84">
        <f t="shared" si="42"/>
        <v>0</v>
      </c>
    </row>
    <row r="135" spans="1:13">
      <c r="A135" s="17"/>
      <c r="B135" s="6" t="s">
        <v>51</v>
      </c>
      <c r="C135" s="74">
        <v>6</v>
      </c>
      <c r="D135" s="8">
        <v>19407.998339999998</v>
      </c>
      <c r="E135" s="111">
        <f t="shared" si="44"/>
        <v>125</v>
      </c>
      <c r="F135" s="6">
        <v>1979</v>
      </c>
      <c r="G135" s="7">
        <f t="shared" si="40"/>
        <v>11874</v>
      </c>
      <c r="H135" s="7">
        <f t="shared" si="41"/>
        <v>94.992000000000004</v>
      </c>
      <c r="I135" s="8">
        <f t="shared" si="43"/>
        <v>153.22413646496207</v>
      </c>
      <c r="J135" s="84">
        <f t="shared" si="42"/>
        <v>14555.067171079678</v>
      </c>
    </row>
    <row r="136" spans="1:13">
      <c r="A136" s="17"/>
      <c r="B136" s="6" t="s">
        <v>52</v>
      </c>
      <c r="C136" s="74">
        <v>1.5</v>
      </c>
      <c r="D136" s="8">
        <v>19407.998339999998</v>
      </c>
      <c r="E136" s="111">
        <f t="shared" si="44"/>
        <v>125</v>
      </c>
      <c r="F136" s="6">
        <v>1979</v>
      </c>
      <c r="G136" s="7">
        <f t="shared" si="40"/>
        <v>2968.5</v>
      </c>
      <c r="H136" s="7">
        <f t="shared" si="41"/>
        <v>23.748000000000001</v>
      </c>
      <c r="I136" s="8">
        <f t="shared" si="43"/>
        <v>153.22413646496207</v>
      </c>
      <c r="J136" s="84">
        <f t="shared" si="42"/>
        <v>3638.7667927699194</v>
      </c>
    </row>
    <row r="137" spans="1:13" ht="15.75" thickBot="1">
      <c r="A137" s="18"/>
      <c r="B137" s="19"/>
      <c r="C137" s="88">
        <f>SUM(C125:C136)</f>
        <v>13.25</v>
      </c>
      <c r="D137" s="19"/>
      <c r="E137" s="112"/>
      <c r="F137" s="19"/>
      <c r="G137" s="20"/>
      <c r="H137" s="20"/>
      <c r="I137" s="21"/>
      <c r="J137" s="81">
        <f>SUM(J125:J136)</f>
        <v>32142.440002800955</v>
      </c>
    </row>
    <row r="138" spans="1:13" ht="15.75" thickBot="1">
      <c r="A138" s="63"/>
      <c r="B138" s="64"/>
      <c r="C138" s="64"/>
      <c r="D138" s="64"/>
      <c r="E138" s="113"/>
      <c r="F138" s="64"/>
      <c r="G138" s="67"/>
      <c r="H138" s="93" t="s">
        <v>79</v>
      </c>
      <c r="I138" s="94"/>
      <c r="J138" s="86"/>
      <c r="K138" s="60">
        <f>J138*E127</f>
        <v>0</v>
      </c>
      <c r="L138" s="60"/>
      <c r="M138" s="60">
        <f>L138-K138</f>
        <v>0</v>
      </c>
    </row>
    <row r="139" spans="1:13" ht="15.75" thickBot="1">
      <c r="A139" s="63"/>
      <c r="B139" s="64"/>
      <c r="C139" s="64"/>
      <c r="D139" s="64"/>
      <c r="E139" s="113"/>
      <c r="F139" s="64"/>
      <c r="G139" s="67"/>
      <c r="H139" s="93" t="s">
        <v>77</v>
      </c>
      <c r="I139" s="94"/>
      <c r="J139" s="86">
        <f>J137-J138</f>
        <v>32142.440002800955</v>
      </c>
      <c r="K139" s="116">
        <f>J139*E127</f>
        <v>4017805.0003501195</v>
      </c>
      <c r="L139" s="116">
        <f>3085872+931933</f>
        <v>4017805</v>
      </c>
      <c r="M139" s="77">
        <f>L139/12/1.302/C137</f>
        <v>19407.998338308742</v>
      </c>
    </row>
    <row r="140" spans="1:13">
      <c r="A140" s="5" t="s">
        <v>67</v>
      </c>
      <c r="B140" s="6" t="s">
        <v>83</v>
      </c>
      <c r="C140" s="74">
        <v>3</v>
      </c>
      <c r="D140" s="8">
        <v>19410.59376</v>
      </c>
      <c r="E140" s="111">
        <f>ком.усл!A55</f>
        <v>257</v>
      </c>
      <c r="F140" s="6">
        <v>1979</v>
      </c>
      <c r="G140" s="7">
        <f t="shared" ref="G140:G151" si="45">C140*F140</f>
        <v>5937</v>
      </c>
      <c r="H140" s="7">
        <f t="shared" ref="H140:H151" si="46">G140/E140</f>
        <v>23.101167315175097</v>
      </c>
      <c r="I140" s="8">
        <f>D140*12*1.302/1979</f>
        <v>153.2446270370086</v>
      </c>
      <c r="J140" s="84">
        <f t="shared" ref="J140:J151" si="47">I140*H140</f>
        <v>3540.1297693335409</v>
      </c>
    </row>
    <row r="141" spans="1:13">
      <c r="A141" s="17"/>
      <c r="B141" s="6" t="s">
        <v>91</v>
      </c>
      <c r="C141" s="74">
        <v>1</v>
      </c>
      <c r="D141" s="8">
        <v>19410.59376</v>
      </c>
      <c r="E141" s="111">
        <f>E140</f>
        <v>257</v>
      </c>
      <c r="F141" s="6">
        <v>1979</v>
      </c>
      <c r="G141" s="7">
        <f t="shared" si="45"/>
        <v>1979</v>
      </c>
      <c r="H141" s="7">
        <f t="shared" si="46"/>
        <v>7.7003891050583659</v>
      </c>
      <c r="I141" s="8">
        <f t="shared" ref="I141:I151" si="48">D141*12*1.302/1979</f>
        <v>153.2446270370086</v>
      </c>
      <c r="J141" s="84">
        <f t="shared" si="47"/>
        <v>1180.0432564445136</v>
      </c>
    </row>
    <row r="142" spans="1:13">
      <c r="A142" s="17"/>
      <c r="B142" s="6" t="s">
        <v>84</v>
      </c>
      <c r="C142" s="74">
        <v>2.5</v>
      </c>
      <c r="D142" s="8">
        <v>19410.59376</v>
      </c>
      <c r="E142" s="111">
        <f t="shared" ref="E142:E151" si="49">E141</f>
        <v>257</v>
      </c>
      <c r="F142" s="6">
        <v>1979</v>
      </c>
      <c r="G142" s="7">
        <f t="shared" si="45"/>
        <v>4947.5</v>
      </c>
      <c r="H142" s="7">
        <f t="shared" si="46"/>
        <v>19.250972762645915</v>
      </c>
      <c r="I142" s="8">
        <f t="shared" si="48"/>
        <v>153.2446270370086</v>
      </c>
      <c r="J142" s="84">
        <f t="shared" si="47"/>
        <v>2950.1081411112841</v>
      </c>
    </row>
    <row r="143" spans="1:13">
      <c r="A143" s="17"/>
      <c r="B143" s="6" t="s">
        <v>89</v>
      </c>
      <c r="C143" s="74"/>
      <c r="D143" s="8">
        <v>19410.59376</v>
      </c>
      <c r="E143" s="111">
        <f t="shared" si="49"/>
        <v>257</v>
      </c>
      <c r="F143" s="6">
        <v>1979</v>
      </c>
      <c r="G143" s="7">
        <f t="shared" si="45"/>
        <v>0</v>
      </c>
      <c r="H143" s="7">
        <f t="shared" si="46"/>
        <v>0</v>
      </c>
      <c r="I143" s="8">
        <f t="shared" si="48"/>
        <v>153.2446270370086</v>
      </c>
      <c r="J143" s="84">
        <f t="shared" si="47"/>
        <v>0</v>
      </c>
    </row>
    <row r="144" spans="1:13">
      <c r="A144" s="17"/>
      <c r="B144" s="6" t="s">
        <v>85</v>
      </c>
      <c r="C144" s="74">
        <v>1</v>
      </c>
      <c r="D144" s="8">
        <v>19410.59376</v>
      </c>
      <c r="E144" s="111">
        <f t="shared" si="49"/>
        <v>257</v>
      </c>
      <c r="F144" s="6">
        <v>1979</v>
      </c>
      <c r="G144" s="7">
        <f t="shared" si="45"/>
        <v>1979</v>
      </c>
      <c r="H144" s="7">
        <f t="shared" si="46"/>
        <v>7.7003891050583659</v>
      </c>
      <c r="I144" s="8">
        <f t="shared" si="48"/>
        <v>153.2446270370086</v>
      </c>
      <c r="J144" s="84">
        <f t="shared" si="47"/>
        <v>1180.0432564445136</v>
      </c>
    </row>
    <row r="145" spans="1:13">
      <c r="A145" s="17"/>
      <c r="B145" s="6" t="s">
        <v>86</v>
      </c>
      <c r="C145" s="74"/>
      <c r="D145" s="8">
        <v>19410.59376</v>
      </c>
      <c r="E145" s="111">
        <f t="shared" si="49"/>
        <v>257</v>
      </c>
      <c r="F145" s="6">
        <v>1979</v>
      </c>
      <c r="G145" s="7">
        <f t="shared" si="45"/>
        <v>0</v>
      </c>
      <c r="H145" s="7">
        <f t="shared" si="46"/>
        <v>0</v>
      </c>
      <c r="I145" s="8">
        <f t="shared" si="48"/>
        <v>153.2446270370086</v>
      </c>
      <c r="J145" s="84">
        <f t="shared" si="47"/>
        <v>0</v>
      </c>
    </row>
    <row r="146" spans="1:13">
      <c r="A146" s="17"/>
      <c r="B146" s="6" t="s">
        <v>87</v>
      </c>
      <c r="C146" s="74">
        <v>1</v>
      </c>
      <c r="D146" s="8">
        <v>19410.59376</v>
      </c>
      <c r="E146" s="111">
        <f t="shared" si="49"/>
        <v>257</v>
      </c>
      <c r="F146" s="6">
        <v>1979</v>
      </c>
      <c r="G146" s="7">
        <f t="shared" si="45"/>
        <v>1979</v>
      </c>
      <c r="H146" s="7">
        <f t="shared" si="46"/>
        <v>7.7003891050583659</v>
      </c>
      <c r="I146" s="8">
        <f t="shared" si="48"/>
        <v>153.2446270370086</v>
      </c>
      <c r="J146" s="84">
        <f t="shared" si="47"/>
        <v>1180.0432564445136</v>
      </c>
    </row>
    <row r="147" spans="1:13">
      <c r="A147" s="17"/>
      <c r="B147" s="6" t="s">
        <v>88</v>
      </c>
      <c r="C147" s="74">
        <v>2</v>
      </c>
      <c r="D147" s="8">
        <v>19410.59376</v>
      </c>
      <c r="E147" s="111">
        <f t="shared" si="49"/>
        <v>257</v>
      </c>
      <c r="F147" s="6">
        <v>1979</v>
      </c>
      <c r="G147" s="7">
        <f t="shared" si="45"/>
        <v>3958</v>
      </c>
      <c r="H147" s="7">
        <f t="shared" si="46"/>
        <v>15.400778210116732</v>
      </c>
      <c r="I147" s="8">
        <f t="shared" si="48"/>
        <v>153.2446270370086</v>
      </c>
      <c r="J147" s="84">
        <f t="shared" si="47"/>
        <v>2360.0865128890273</v>
      </c>
    </row>
    <row r="148" spans="1:13">
      <c r="A148" s="17"/>
      <c r="B148" s="6" t="s">
        <v>50</v>
      </c>
      <c r="C148" s="74">
        <v>2.5</v>
      </c>
      <c r="D148" s="8">
        <v>19410.59376</v>
      </c>
      <c r="E148" s="111">
        <f t="shared" si="49"/>
        <v>257</v>
      </c>
      <c r="F148" s="6">
        <v>1979</v>
      </c>
      <c r="G148" s="7">
        <f t="shared" si="45"/>
        <v>4947.5</v>
      </c>
      <c r="H148" s="7">
        <f t="shared" si="46"/>
        <v>19.250972762645915</v>
      </c>
      <c r="I148" s="8">
        <f t="shared" si="48"/>
        <v>153.2446270370086</v>
      </c>
      <c r="J148" s="84">
        <f t="shared" si="47"/>
        <v>2950.1081411112841</v>
      </c>
    </row>
    <row r="149" spans="1:13">
      <c r="A149" s="17"/>
      <c r="B149" s="6" t="s">
        <v>92</v>
      </c>
      <c r="C149" s="74">
        <v>0.5</v>
      </c>
      <c r="D149" s="8">
        <v>19410.59376</v>
      </c>
      <c r="E149" s="111">
        <f t="shared" si="49"/>
        <v>257</v>
      </c>
      <c r="F149" s="6">
        <v>1979</v>
      </c>
      <c r="G149" s="7">
        <f t="shared" si="45"/>
        <v>989.5</v>
      </c>
      <c r="H149" s="7">
        <f t="shared" si="46"/>
        <v>3.850194552529183</v>
      </c>
      <c r="I149" s="8">
        <f t="shared" si="48"/>
        <v>153.2446270370086</v>
      </c>
      <c r="J149" s="84">
        <f t="shared" si="47"/>
        <v>590.02162822225682</v>
      </c>
    </row>
    <row r="150" spans="1:13">
      <c r="A150" s="17"/>
      <c r="B150" s="6" t="s">
        <v>51</v>
      </c>
      <c r="C150" s="74">
        <v>3</v>
      </c>
      <c r="D150" s="8">
        <v>19410.59376</v>
      </c>
      <c r="E150" s="111">
        <f t="shared" si="49"/>
        <v>257</v>
      </c>
      <c r="F150" s="6">
        <v>1979</v>
      </c>
      <c r="G150" s="7">
        <f t="shared" si="45"/>
        <v>5937</v>
      </c>
      <c r="H150" s="7">
        <f t="shared" si="46"/>
        <v>23.101167315175097</v>
      </c>
      <c r="I150" s="8">
        <f t="shared" si="48"/>
        <v>153.2446270370086</v>
      </c>
      <c r="J150" s="84">
        <f t="shared" si="47"/>
        <v>3540.1297693335409</v>
      </c>
    </row>
    <row r="151" spans="1:13">
      <c r="A151" s="17"/>
      <c r="B151" s="6" t="s">
        <v>52</v>
      </c>
      <c r="C151" s="74">
        <v>2.75</v>
      </c>
      <c r="D151" s="8">
        <v>19410.59376</v>
      </c>
      <c r="E151" s="111">
        <f t="shared" si="49"/>
        <v>257</v>
      </c>
      <c r="F151" s="6">
        <v>1979</v>
      </c>
      <c r="G151" s="7">
        <f t="shared" si="45"/>
        <v>5442.25</v>
      </c>
      <c r="H151" s="7">
        <f t="shared" si="46"/>
        <v>21.176070038910506</v>
      </c>
      <c r="I151" s="8">
        <f t="shared" si="48"/>
        <v>153.2446270370086</v>
      </c>
      <c r="J151" s="84">
        <f t="shared" si="47"/>
        <v>3245.1189552224128</v>
      </c>
    </row>
    <row r="152" spans="1:13" ht="15.75" thickBot="1">
      <c r="A152" s="18"/>
      <c r="B152" s="19"/>
      <c r="C152" s="88">
        <f>SUM(C140:C151)</f>
        <v>19.25</v>
      </c>
      <c r="D152" s="19"/>
      <c r="E152" s="112"/>
      <c r="F152" s="19"/>
      <c r="G152" s="20"/>
      <c r="H152" s="20"/>
      <c r="I152" s="21"/>
      <c r="J152" s="81">
        <f>SUM(J140:J151)</f>
        <v>22715.832686556889</v>
      </c>
    </row>
    <row r="153" spans="1:13" ht="15.75" thickBot="1">
      <c r="A153" s="63"/>
      <c r="B153" s="64"/>
      <c r="C153" s="64"/>
      <c r="D153" s="64"/>
      <c r="E153" s="113"/>
      <c r="F153" s="64"/>
      <c r="G153" s="67"/>
      <c r="H153" s="93" t="s">
        <v>79</v>
      </c>
      <c r="I153" s="94"/>
      <c r="J153" s="86"/>
      <c r="K153" s="60">
        <f>J153*E142</f>
        <v>0</v>
      </c>
      <c r="L153" s="60"/>
      <c r="M153" s="60">
        <f>L153-K153</f>
        <v>0</v>
      </c>
    </row>
    <row r="154" spans="1:13" ht="15.75" thickBot="1">
      <c r="A154" s="63"/>
      <c r="B154" s="64"/>
      <c r="C154" s="64"/>
      <c r="D154" s="64"/>
      <c r="E154" s="113"/>
      <c r="F154" s="64"/>
      <c r="G154" s="67"/>
      <c r="H154" s="93" t="s">
        <v>77</v>
      </c>
      <c r="I154" s="94"/>
      <c r="J154" s="86">
        <f>J152-J153</f>
        <v>22715.832686556889</v>
      </c>
      <c r="K154" s="116">
        <f>J154*E142</f>
        <v>5837969.00044512</v>
      </c>
      <c r="L154" s="116">
        <f>4483247+780+1353942</f>
        <v>5837969</v>
      </c>
      <c r="M154" s="77">
        <f>L154/12/1.302/C152</f>
        <v>19410.593758520026</v>
      </c>
    </row>
    <row r="155" spans="1:13">
      <c r="A155" s="5" t="s">
        <v>68</v>
      </c>
      <c r="B155" s="6" t="s">
        <v>83</v>
      </c>
      <c r="C155" s="74">
        <v>2</v>
      </c>
      <c r="D155" s="8">
        <v>19408.00072</v>
      </c>
      <c r="E155" s="111">
        <f>ком.усл!A60</f>
        <v>191</v>
      </c>
      <c r="F155" s="6">
        <v>1979</v>
      </c>
      <c r="G155" s="7">
        <f t="shared" ref="G155:G166" si="50">C155*F155</f>
        <v>3958</v>
      </c>
      <c r="H155" s="7">
        <f t="shared" ref="H155:H166" si="51">G155/E155</f>
        <v>20.722513089005236</v>
      </c>
      <c r="I155" s="8">
        <f>D155*12*1.302/1979</f>
        <v>153.22415525481557</v>
      </c>
      <c r="J155" s="84">
        <f t="shared" ref="J155:J164" si="52">I155*H155</f>
        <v>3175.1895628196862</v>
      </c>
    </row>
    <row r="156" spans="1:13">
      <c r="A156" s="17"/>
      <c r="B156" s="6" t="s">
        <v>91</v>
      </c>
      <c r="C156" s="74">
        <v>1</v>
      </c>
      <c r="D156" s="8">
        <v>19408.00072</v>
      </c>
      <c r="E156" s="111">
        <f>E155</f>
        <v>191</v>
      </c>
      <c r="F156" s="6">
        <v>1979</v>
      </c>
      <c r="G156" s="7">
        <f t="shared" si="50"/>
        <v>1979</v>
      </c>
      <c r="H156" s="7">
        <f t="shared" si="51"/>
        <v>10.361256544502618</v>
      </c>
      <c r="I156" s="8">
        <f t="shared" ref="I156:I167" si="53">D156*12*1.302/1979</f>
        <v>153.22415525481557</v>
      </c>
      <c r="J156" s="84">
        <f t="shared" si="52"/>
        <v>1587.5947814098431</v>
      </c>
    </row>
    <row r="157" spans="1:13">
      <c r="A157" s="17"/>
      <c r="B157" s="6" t="s">
        <v>84</v>
      </c>
      <c r="C157" s="74">
        <v>1.75</v>
      </c>
      <c r="D157" s="8">
        <v>19408.00072</v>
      </c>
      <c r="E157" s="111">
        <f t="shared" ref="E157:E167" si="54">E156</f>
        <v>191</v>
      </c>
      <c r="F157" s="6">
        <v>1979</v>
      </c>
      <c r="G157" s="7">
        <f t="shared" si="50"/>
        <v>3463.25</v>
      </c>
      <c r="H157" s="7">
        <f t="shared" si="51"/>
        <v>18.13219895287958</v>
      </c>
      <c r="I157" s="8">
        <f t="shared" si="53"/>
        <v>153.22415525481557</v>
      </c>
      <c r="J157" s="84">
        <f t="shared" si="52"/>
        <v>2778.2908674672253</v>
      </c>
    </row>
    <row r="158" spans="1:13">
      <c r="A158" s="17"/>
      <c r="B158" s="6" t="s">
        <v>89</v>
      </c>
      <c r="C158" s="74"/>
      <c r="D158" s="8">
        <v>19408.00072</v>
      </c>
      <c r="E158" s="111">
        <f t="shared" si="54"/>
        <v>191</v>
      </c>
      <c r="F158" s="6">
        <v>1979</v>
      </c>
      <c r="G158" s="7">
        <f t="shared" si="50"/>
        <v>0</v>
      </c>
      <c r="H158" s="7">
        <f t="shared" si="51"/>
        <v>0</v>
      </c>
      <c r="I158" s="8">
        <f t="shared" si="53"/>
        <v>153.22415525481557</v>
      </c>
      <c r="J158" s="84">
        <f t="shared" si="52"/>
        <v>0</v>
      </c>
    </row>
    <row r="159" spans="1:13">
      <c r="A159" s="17"/>
      <c r="B159" s="6" t="s">
        <v>85</v>
      </c>
      <c r="C159" s="74">
        <v>0.75</v>
      </c>
      <c r="D159" s="8">
        <v>19408.00072</v>
      </c>
      <c r="E159" s="111">
        <f t="shared" si="54"/>
        <v>191</v>
      </c>
      <c r="F159" s="6">
        <v>1979</v>
      </c>
      <c r="G159" s="7">
        <f t="shared" si="50"/>
        <v>1484.25</v>
      </c>
      <c r="H159" s="7">
        <f t="shared" si="51"/>
        <v>7.7709424083769632</v>
      </c>
      <c r="I159" s="8">
        <f t="shared" si="53"/>
        <v>153.22415525481557</v>
      </c>
      <c r="J159" s="84">
        <f t="shared" si="52"/>
        <v>1190.6960860573822</v>
      </c>
    </row>
    <row r="160" spans="1:13">
      <c r="A160" s="17"/>
      <c r="B160" s="6" t="s">
        <v>86</v>
      </c>
      <c r="C160" s="74"/>
      <c r="D160" s="8">
        <v>19408.00072</v>
      </c>
      <c r="E160" s="111">
        <f t="shared" si="54"/>
        <v>191</v>
      </c>
      <c r="F160" s="6">
        <v>1979</v>
      </c>
      <c r="G160" s="7">
        <f t="shared" si="50"/>
        <v>0</v>
      </c>
      <c r="H160" s="7">
        <f t="shared" si="51"/>
        <v>0</v>
      </c>
      <c r="I160" s="8">
        <f t="shared" si="53"/>
        <v>153.22415525481557</v>
      </c>
      <c r="J160" s="84">
        <f t="shared" si="52"/>
        <v>0</v>
      </c>
    </row>
    <row r="161" spans="1:13">
      <c r="A161" s="17"/>
      <c r="B161" s="6" t="s">
        <v>87</v>
      </c>
      <c r="C161" s="74">
        <v>0.75</v>
      </c>
      <c r="D161" s="8">
        <v>19408.00072</v>
      </c>
      <c r="E161" s="111">
        <f t="shared" si="54"/>
        <v>191</v>
      </c>
      <c r="F161" s="6">
        <v>1979</v>
      </c>
      <c r="G161" s="7">
        <f t="shared" si="50"/>
        <v>1484.25</v>
      </c>
      <c r="H161" s="7">
        <f t="shared" si="51"/>
        <v>7.7709424083769632</v>
      </c>
      <c r="I161" s="8">
        <f t="shared" si="53"/>
        <v>153.22415525481557</v>
      </c>
      <c r="J161" s="84">
        <f t="shared" si="52"/>
        <v>1190.6960860573822</v>
      </c>
    </row>
    <row r="162" spans="1:13">
      <c r="A162" s="17"/>
      <c r="B162" s="6" t="s">
        <v>88</v>
      </c>
      <c r="C162" s="74">
        <v>2</v>
      </c>
      <c r="D162" s="8">
        <v>19408.00072</v>
      </c>
      <c r="E162" s="111">
        <f t="shared" si="54"/>
        <v>191</v>
      </c>
      <c r="F162" s="6">
        <v>1979</v>
      </c>
      <c r="G162" s="7">
        <f t="shared" si="50"/>
        <v>3958</v>
      </c>
      <c r="H162" s="7">
        <f t="shared" si="51"/>
        <v>20.722513089005236</v>
      </c>
      <c r="I162" s="8">
        <f t="shared" si="53"/>
        <v>153.22415525481557</v>
      </c>
      <c r="J162" s="84">
        <f t="shared" si="52"/>
        <v>3175.1895628196862</v>
      </c>
    </row>
    <row r="163" spans="1:13">
      <c r="A163" s="17"/>
      <c r="B163" s="6" t="s">
        <v>50</v>
      </c>
      <c r="C163" s="74">
        <v>1.5</v>
      </c>
      <c r="D163" s="8">
        <v>19408.00072</v>
      </c>
      <c r="E163" s="111">
        <f t="shared" si="54"/>
        <v>191</v>
      </c>
      <c r="F163" s="6">
        <v>1979</v>
      </c>
      <c r="G163" s="7">
        <f t="shared" si="50"/>
        <v>2968.5</v>
      </c>
      <c r="H163" s="7">
        <f t="shared" si="51"/>
        <v>15.541884816753926</v>
      </c>
      <c r="I163" s="8">
        <f t="shared" si="53"/>
        <v>153.22415525481557</v>
      </c>
      <c r="J163" s="84">
        <f t="shared" si="52"/>
        <v>2381.3921721147644</v>
      </c>
    </row>
    <row r="164" spans="1:13">
      <c r="A164" s="17"/>
      <c r="B164" s="6" t="s">
        <v>92</v>
      </c>
      <c r="C164" s="74">
        <v>1</v>
      </c>
      <c r="D164" s="8">
        <v>19408.00072</v>
      </c>
      <c r="E164" s="111">
        <f t="shared" si="54"/>
        <v>191</v>
      </c>
      <c r="F164" s="6">
        <v>1979</v>
      </c>
      <c r="G164" s="7">
        <f t="shared" si="50"/>
        <v>1979</v>
      </c>
      <c r="H164" s="7">
        <f t="shared" si="51"/>
        <v>10.361256544502618</v>
      </c>
      <c r="I164" s="8">
        <f t="shared" si="53"/>
        <v>153.22415525481557</v>
      </c>
      <c r="J164" s="84">
        <f t="shared" si="52"/>
        <v>1587.5947814098431</v>
      </c>
    </row>
    <row r="165" spans="1:13">
      <c r="A165" s="17"/>
      <c r="B165" s="6" t="s">
        <v>93</v>
      </c>
      <c r="C165" s="74"/>
      <c r="D165" s="8">
        <v>19408.00072</v>
      </c>
      <c r="E165" s="111">
        <f t="shared" si="54"/>
        <v>191</v>
      </c>
      <c r="F165" s="6">
        <v>1979</v>
      </c>
      <c r="G165" s="7">
        <f t="shared" si="50"/>
        <v>0</v>
      </c>
      <c r="H165" s="7">
        <f t="shared" si="51"/>
        <v>0</v>
      </c>
      <c r="I165" s="8">
        <f t="shared" si="53"/>
        <v>153.22415525481557</v>
      </c>
      <c r="J165" s="84">
        <f>I165*H165</f>
        <v>0</v>
      </c>
    </row>
    <row r="166" spans="1:13">
      <c r="A166" s="17"/>
      <c r="B166" s="6" t="s">
        <v>51</v>
      </c>
      <c r="C166" s="74">
        <v>3</v>
      </c>
      <c r="D166" s="8">
        <v>19408.00072</v>
      </c>
      <c r="E166" s="111">
        <f t="shared" si="54"/>
        <v>191</v>
      </c>
      <c r="F166" s="6">
        <v>1979</v>
      </c>
      <c r="G166" s="7">
        <f t="shared" si="50"/>
        <v>5937</v>
      </c>
      <c r="H166" s="7">
        <f t="shared" si="51"/>
        <v>31.083769633507853</v>
      </c>
      <c r="I166" s="8">
        <f t="shared" si="53"/>
        <v>153.22415525481557</v>
      </c>
      <c r="J166" s="84">
        <f>I166*H166</f>
        <v>4762.7843442295289</v>
      </c>
    </row>
    <row r="167" spans="1:13">
      <c r="A167" s="17"/>
      <c r="B167" s="6" t="s">
        <v>52</v>
      </c>
      <c r="C167" s="74">
        <v>2</v>
      </c>
      <c r="D167" s="8">
        <v>19408.00072</v>
      </c>
      <c r="E167" s="111">
        <f t="shared" si="54"/>
        <v>191</v>
      </c>
      <c r="F167" s="6">
        <v>1979</v>
      </c>
      <c r="G167" s="7">
        <f>C167*F167</f>
        <v>3958</v>
      </c>
      <c r="H167" s="7">
        <f>G167/E167</f>
        <v>20.722513089005236</v>
      </c>
      <c r="I167" s="8">
        <f t="shared" si="53"/>
        <v>153.22415525481557</v>
      </c>
      <c r="J167" s="84">
        <f>I167*H167</f>
        <v>3175.1895628196862</v>
      </c>
    </row>
    <row r="168" spans="1:13" ht="15.75" thickBot="1">
      <c r="A168" s="18"/>
      <c r="B168" s="19"/>
      <c r="C168" s="88">
        <f>SUM(C155:C167)</f>
        <v>15.75</v>
      </c>
      <c r="D168" s="19"/>
      <c r="E168" s="112"/>
      <c r="F168" s="19"/>
      <c r="G168" s="20"/>
      <c r="H168" s="20"/>
      <c r="I168" s="21"/>
      <c r="J168" s="81">
        <f>SUM(J155:J167)</f>
        <v>25004.617807205024</v>
      </c>
    </row>
    <row r="169" spans="1:13" ht="15.75" thickBot="1">
      <c r="A169" s="63"/>
      <c r="B169" s="64"/>
      <c r="C169" s="64"/>
      <c r="D169" s="64"/>
      <c r="E169" s="113"/>
      <c r="F169" s="64"/>
      <c r="G169" s="67"/>
      <c r="H169" s="93" t="s">
        <v>79</v>
      </c>
      <c r="I169" s="94"/>
      <c r="J169" s="86"/>
      <c r="K169" s="60">
        <f>J169*E158</f>
        <v>0</v>
      </c>
      <c r="L169" s="60"/>
      <c r="M169" s="60">
        <f>L169-K169</f>
        <v>0</v>
      </c>
    </row>
    <row r="170" spans="1:13" ht="15.75" thickBot="1">
      <c r="A170" s="63"/>
      <c r="B170" s="64"/>
      <c r="C170" s="64"/>
      <c r="D170" s="64"/>
      <c r="E170" s="113"/>
      <c r="F170" s="64"/>
      <c r="G170" s="67"/>
      <c r="H170" s="93" t="s">
        <v>77</v>
      </c>
      <c r="I170" s="94"/>
      <c r="J170" s="86">
        <f>J168-J169</f>
        <v>25004.617807205024</v>
      </c>
      <c r="K170" s="116">
        <f>J170*E158</f>
        <v>4775882.0011761598</v>
      </c>
      <c r="L170" s="116">
        <f>3668112+1107770</f>
        <v>4775882</v>
      </c>
      <c r="M170" s="77">
        <f>L170/12/1.302/C168</f>
        <v>19408.000715220376</v>
      </c>
    </row>
    <row r="171" spans="1:13">
      <c r="A171" s="5" t="s">
        <v>69</v>
      </c>
      <c r="B171" s="6" t="s">
        <v>83</v>
      </c>
      <c r="C171" s="74">
        <v>5</v>
      </c>
      <c r="D171" s="8">
        <v>19422.524789999999</v>
      </c>
      <c r="E171" s="111">
        <f>ком.усл!A66</f>
        <v>317</v>
      </c>
      <c r="F171" s="6">
        <v>1979</v>
      </c>
      <c r="G171" s="7">
        <f t="shared" ref="G171:G182" si="55">C171*F171</f>
        <v>9895</v>
      </c>
      <c r="H171" s="7">
        <f t="shared" ref="H171:H182" si="56">G171/E171</f>
        <v>31.214511041009462</v>
      </c>
      <c r="I171" s="8">
        <f>D171*12*1.302/1979</f>
        <v>153.33882128295099</v>
      </c>
      <c r="J171" s="84">
        <f t="shared" ref="J171:J183" si="57">I171*H171</f>
        <v>4786.3963299520501</v>
      </c>
    </row>
    <row r="172" spans="1:13">
      <c r="A172" s="17"/>
      <c r="B172" s="6" t="s">
        <v>91</v>
      </c>
      <c r="C172" s="74">
        <v>1</v>
      </c>
      <c r="D172" s="8">
        <v>19422.524789999999</v>
      </c>
      <c r="E172" s="111">
        <f>E171</f>
        <v>317</v>
      </c>
      <c r="F172" s="6">
        <v>1979</v>
      </c>
      <c r="G172" s="7">
        <f t="shared" si="55"/>
        <v>1979</v>
      </c>
      <c r="H172" s="7">
        <f t="shared" si="56"/>
        <v>6.242902208201893</v>
      </c>
      <c r="I172" s="8">
        <f t="shared" ref="I172:I183" si="58">D172*12*1.302/1979</f>
        <v>153.33882128295099</v>
      </c>
      <c r="J172" s="84">
        <f t="shared" si="57"/>
        <v>957.27926599041018</v>
      </c>
    </row>
    <row r="173" spans="1:13">
      <c r="A173" s="17"/>
      <c r="B173" s="6" t="s">
        <v>84</v>
      </c>
      <c r="C173" s="74">
        <v>4.75</v>
      </c>
      <c r="D173" s="8">
        <v>19422.524789999999</v>
      </c>
      <c r="E173" s="111">
        <f t="shared" ref="E173:E183" si="59">E172</f>
        <v>317</v>
      </c>
      <c r="F173" s="6">
        <v>1979</v>
      </c>
      <c r="G173" s="7">
        <f t="shared" si="55"/>
        <v>9400.25</v>
      </c>
      <c r="H173" s="7">
        <f t="shared" si="56"/>
        <v>29.653785488958992</v>
      </c>
      <c r="I173" s="8">
        <f t="shared" si="58"/>
        <v>153.33882128295099</v>
      </c>
      <c r="J173" s="84">
        <f t="shared" si="57"/>
        <v>4547.0765134544481</v>
      </c>
    </row>
    <row r="174" spans="1:13">
      <c r="A174" s="17"/>
      <c r="B174" s="6" t="s">
        <v>89</v>
      </c>
      <c r="C174" s="74"/>
      <c r="D174" s="8">
        <v>19422.524789999999</v>
      </c>
      <c r="E174" s="111">
        <f t="shared" si="59"/>
        <v>317</v>
      </c>
      <c r="F174" s="6">
        <v>1979</v>
      </c>
      <c r="G174" s="7">
        <f t="shared" si="55"/>
        <v>0</v>
      </c>
      <c r="H174" s="7">
        <f t="shared" si="56"/>
        <v>0</v>
      </c>
      <c r="I174" s="8">
        <f t="shared" si="58"/>
        <v>153.33882128295099</v>
      </c>
      <c r="J174" s="84">
        <f t="shared" si="57"/>
        <v>0</v>
      </c>
    </row>
    <row r="175" spans="1:13">
      <c r="A175" s="17"/>
      <c r="B175" s="6" t="s">
        <v>85</v>
      </c>
      <c r="C175" s="74">
        <v>1.5</v>
      </c>
      <c r="D175" s="8">
        <v>19422.524789999999</v>
      </c>
      <c r="E175" s="111">
        <f t="shared" si="59"/>
        <v>317</v>
      </c>
      <c r="F175" s="6">
        <v>1979</v>
      </c>
      <c r="G175" s="7">
        <f t="shared" si="55"/>
        <v>2968.5</v>
      </c>
      <c r="H175" s="7">
        <f t="shared" si="56"/>
        <v>9.3643533123028391</v>
      </c>
      <c r="I175" s="8">
        <f t="shared" si="58"/>
        <v>153.33882128295099</v>
      </c>
      <c r="J175" s="84">
        <f t="shared" si="57"/>
        <v>1435.9188989856152</v>
      </c>
    </row>
    <row r="176" spans="1:13">
      <c r="A176" s="17"/>
      <c r="B176" s="6" t="s">
        <v>86</v>
      </c>
      <c r="C176" s="74"/>
      <c r="D176" s="8">
        <v>19422.524789999999</v>
      </c>
      <c r="E176" s="111">
        <f t="shared" si="59"/>
        <v>317</v>
      </c>
      <c r="F176" s="6">
        <v>1979</v>
      </c>
      <c r="G176" s="7">
        <f t="shared" si="55"/>
        <v>0</v>
      </c>
      <c r="H176" s="7">
        <f t="shared" si="56"/>
        <v>0</v>
      </c>
      <c r="I176" s="8">
        <f t="shared" si="58"/>
        <v>153.33882128295099</v>
      </c>
      <c r="J176" s="84">
        <f t="shared" si="57"/>
        <v>0</v>
      </c>
    </row>
    <row r="177" spans="1:13">
      <c r="A177" s="17"/>
      <c r="B177" s="6" t="s">
        <v>87</v>
      </c>
      <c r="C177" s="74">
        <v>1.5</v>
      </c>
      <c r="D177" s="8">
        <v>19422.524789999999</v>
      </c>
      <c r="E177" s="111">
        <f t="shared" si="59"/>
        <v>317</v>
      </c>
      <c r="F177" s="6">
        <v>1979</v>
      </c>
      <c r="G177" s="7">
        <f t="shared" si="55"/>
        <v>2968.5</v>
      </c>
      <c r="H177" s="7">
        <f t="shared" si="56"/>
        <v>9.3643533123028391</v>
      </c>
      <c r="I177" s="8">
        <f t="shared" si="58"/>
        <v>153.33882128295099</v>
      </c>
      <c r="J177" s="84">
        <f t="shared" si="57"/>
        <v>1435.9188989856152</v>
      </c>
    </row>
    <row r="178" spans="1:13">
      <c r="A178" s="17"/>
      <c r="B178" s="6" t="s">
        <v>88</v>
      </c>
      <c r="C178" s="74">
        <v>3.25</v>
      </c>
      <c r="D178" s="8">
        <v>19422.524789999999</v>
      </c>
      <c r="E178" s="111">
        <f t="shared" si="59"/>
        <v>317</v>
      </c>
      <c r="F178" s="6">
        <v>1979</v>
      </c>
      <c r="G178" s="7">
        <f t="shared" si="55"/>
        <v>6431.75</v>
      </c>
      <c r="H178" s="7">
        <f t="shared" si="56"/>
        <v>20.289432176656153</v>
      </c>
      <c r="I178" s="8">
        <f t="shared" si="58"/>
        <v>153.33882128295099</v>
      </c>
      <c r="J178" s="84">
        <f t="shared" si="57"/>
        <v>3111.1576144688329</v>
      </c>
    </row>
    <row r="179" spans="1:13">
      <c r="A179" s="17"/>
      <c r="B179" s="6" t="s">
        <v>50</v>
      </c>
      <c r="C179" s="74">
        <v>1.5</v>
      </c>
      <c r="D179" s="8">
        <v>19422.524789999999</v>
      </c>
      <c r="E179" s="111">
        <f t="shared" si="59"/>
        <v>317</v>
      </c>
      <c r="F179" s="6">
        <v>1979</v>
      </c>
      <c r="G179" s="7">
        <f t="shared" si="55"/>
        <v>2968.5</v>
      </c>
      <c r="H179" s="7">
        <f t="shared" si="56"/>
        <v>9.3643533123028391</v>
      </c>
      <c r="I179" s="8">
        <f t="shared" si="58"/>
        <v>153.33882128295099</v>
      </c>
      <c r="J179" s="84">
        <f t="shared" si="57"/>
        <v>1435.9188989856152</v>
      </c>
    </row>
    <row r="180" spans="1:13">
      <c r="A180" s="17"/>
      <c r="B180" s="6" t="s">
        <v>92</v>
      </c>
      <c r="C180" s="74"/>
      <c r="D180" s="8">
        <v>19422.524789999999</v>
      </c>
      <c r="E180" s="111">
        <f t="shared" si="59"/>
        <v>317</v>
      </c>
      <c r="F180" s="6">
        <v>1979</v>
      </c>
      <c r="G180" s="7">
        <f t="shared" si="55"/>
        <v>0</v>
      </c>
      <c r="H180" s="7">
        <f t="shared" si="56"/>
        <v>0</v>
      </c>
      <c r="I180" s="8">
        <f t="shared" si="58"/>
        <v>153.33882128295099</v>
      </c>
      <c r="J180" s="84">
        <f t="shared" si="57"/>
        <v>0</v>
      </c>
    </row>
    <row r="181" spans="1:13">
      <c r="A181" s="17"/>
      <c r="B181" s="6" t="s">
        <v>93</v>
      </c>
      <c r="C181" s="74"/>
      <c r="D181" s="8">
        <v>19422.524789999999</v>
      </c>
      <c r="E181" s="111">
        <f t="shared" si="59"/>
        <v>317</v>
      </c>
      <c r="F181" s="6">
        <v>1979</v>
      </c>
      <c r="G181" s="7">
        <f t="shared" si="55"/>
        <v>0</v>
      </c>
      <c r="H181" s="7">
        <f t="shared" si="56"/>
        <v>0</v>
      </c>
      <c r="I181" s="8">
        <f t="shared" si="58"/>
        <v>153.33882128295099</v>
      </c>
      <c r="J181" s="84">
        <f t="shared" si="57"/>
        <v>0</v>
      </c>
    </row>
    <row r="182" spans="1:13">
      <c r="A182" s="17"/>
      <c r="B182" s="6" t="s">
        <v>51</v>
      </c>
      <c r="C182" s="74">
        <v>6</v>
      </c>
      <c r="D182" s="8">
        <v>19422.524789999999</v>
      </c>
      <c r="E182" s="111">
        <f t="shared" si="59"/>
        <v>317</v>
      </c>
      <c r="F182" s="6">
        <v>1979</v>
      </c>
      <c r="G182" s="7">
        <f t="shared" si="55"/>
        <v>11874</v>
      </c>
      <c r="H182" s="7">
        <f t="shared" si="56"/>
        <v>37.457413249211356</v>
      </c>
      <c r="I182" s="8">
        <f t="shared" si="58"/>
        <v>153.33882128295099</v>
      </c>
      <c r="J182" s="84">
        <f t="shared" si="57"/>
        <v>5743.6755959424609</v>
      </c>
    </row>
    <row r="183" spans="1:13">
      <c r="A183" s="17"/>
      <c r="B183" s="6" t="s">
        <v>52</v>
      </c>
      <c r="C183" s="74">
        <v>3</v>
      </c>
      <c r="D183" s="8">
        <v>19422.524789999999</v>
      </c>
      <c r="E183" s="111">
        <f t="shared" si="59"/>
        <v>317</v>
      </c>
      <c r="F183" s="6">
        <v>1979</v>
      </c>
      <c r="G183" s="7">
        <f>C183*F183</f>
        <v>5937</v>
      </c>
      <c r="H183" s="7">
        <f>G183/E183</f>
        <v>18.728706624605678</v>
      </c>
      <c r="I183" s="8">
        <f t="shared" si="58"/>
        <v>153.33882128295099</v>
      </c>
      <c r="J183" s="84">
        <f t="shared" si="57"/>
        <v>2871.8377979712304</v>
      </c>
    </row>
    <row r="184" spans="1:13" ht="15.75" thickBot="1">
      <c r="A184" s="18"/>
      <c r="B184" s="19"/>
      <c r="C184" s="88">
        <f>SUM(C171:C183)</f>
        <v>27.5</v>
      </c>
      <c r="D184" s="19"/>
      <c r="E184" s="112"/>
      <c r="F184" s="19"/>
      <c r="G184" s="20"/>
      <c r="H184" s="20"/>
      <c r="I184" s="21"/>
      <c r="J184" s="81">
        <f>SUM(J171:J183)</f>
        <v>26325.179814736279</v>
      </c>
    </row>
    <row r="185" spans="1:13" ht="15.75" thickBot="1">
      <c r="A185" s="63"/>
      <c r="B185" s="64"/>
      <c r="C185" s="64"/>
      <c r="D185" s="64"/>
      <c r="E185" s="113"/>
      <c r="F185" s="64"/>
      <c r="G185" s="67"/>
      <c r="H185" s="93" t="s">
        <v>79</v>
      </c>
      <c r="I185" s="94"/>
      <c r="J185" s="86"/>
      <c r="K185" s="60">
        <f>J185*E174</f>
        <v>0</v>
      </c>
      <c r="L185" s="60"/>
      <c r="M185" s="60">
        <f>L185-K185</f>
        <v>0</v>
      </c>
    </row>
    <row r="186" spans="1:13" ht="15.75" thickBot="1">
      <c r="A186" s="63"/>
      <c r="B186" s="64"/>
      <c r="C186" s="64"/>
      <c r="D186" s="64"/>
      <c r="E186" s="113"/>
      <c r="F186" s="64"/>
      <c r="G186" s="67"/>
      <c r="H186" s="93" t="s">
        <v>77</v>
      </c>
      <c r="I186" s="94"/>
      <c r="J186" s="86">
        <f>J184-J185</f>
        <v>26325.179814736279</v>
      </c>
      <c r="K186" s="116">
        <f>J186*E174</f>
        <v>8345082.0012714006</v>
      </c>
      <c r="L186" s="116">
        <f>6404639+6240+1934203</f>
        <v>8345082</v>
      </c>
      <c r="M186" s="77">
        <f>L186/12/1.302/C184</f>
        <v>19422.524787040915</v>
      </c>
    </row>
    <row r="187" spans="1:13">
      <c r="A187" s="5" t="s">
        <v>70</v>
      </c>
      <c r="B187" s="6" t="s">
        <v>83</v>
      </c>
      <c r="C187" s="74">
        <v>4.5</v>
      </c>
      <c r="D187" s="8">
        <v>19412.50592</v>
      </c>
      <c r="E187" s="111">
        <f>ком.усл!A71</f>
        <v>401</v>
      </c>
      <c r="F187" s="6">
        <v>1979</v>
      </c>
      <c r="G187" s="7">
        <f t="shared" ref="G187:G199" si="60">C187*F187</f>
        <v>8905.5</v>
      </c>
      <c r="H187" s="7">
        <f t="shared" ref="H187:H199" si="61">G187/E187</f>
        <v>22.208229426433917</v>
      </c>
      <c r="I187" s="8">
        <f>D187*12*1.302/1979</f>
        <v>153.25972334213242</v>
      </c>
      <c r="J187" s="84">
        <f t="shared" ref="J187:J199" si="62">I187*H187</f>
        <v>3403.6270978138664</v>
      </c>
    </row>
    <row r="188" spans="1:13">
      <c r="A188" s="17"/>
      <c r="B188" s="6" t="s">
        <v>91</v>
      </c>
      <c r="C188" s="74">
        <v>2</v>
      </c>
      <c r="D188" s="8">
        <v>19412.50592</v>
      </c>
      <c r="E188" s="111">
        <f>E187</f>
        <v>401</v>
      </c>
      <c r="F188" s="6">
        <v>1979</v>
      </c>
      <c r="G188" s="7">
        <f t="shared" si="60"/>
        <v>3958</v>
      </c>
      <c r="H188" s="7">
        <f t="shared" si="61"/>
        <v>9.8703241895261851</v>
      </c>
      <c r="I188" s="8">
        <f t="shared" ref="I188:I199" si="63">D188*12*1.302/1979</f>
        <v>153.25972334213242</v>
      </c>
      <c r="J188" s="84">
        <f t="shared" si="62"/>
        <v>1512.7231545839404</v>
      </c>
    </row>
    <row r="189" spans="1:13">
      <c r="A189" s="17"/>
      <c r="B189" s="6" t="s">
        <v>84</v>
      </c>
      <c r="C189" s="74">
        <v>4</v>
      </c>
      <c r="D189" s="8">
        <v>19412.50592</v>
      </c>
      <c r="E189" s="111">
        <f t="shared" ref="E189:E199" si="64">E188</f>
        <v>401</v>
      </c>
      <c r="F189" s="6">
        <v>1979</v>
      </c>
      <c r="G189" s="7">
        <f t="shared" si="60"/>
        <v>7916</v>
      </c>
      <c r="H189" s="7">
        <f t="shared" si="61"/>
        <v>19.74064837905237</v>
      </c>
      <c r="I189" s="8">
        <f t="shared" si="63"/>
        <v>153.25972334213242</v>
      </c>
      <c r="J189" s="84">
        <f t="shared" si="62"/>
        <v>3025.4463091678808</v>
      </c>
    </row>
    <row r="190" spans="1:13">
      <c r="A190" s="17"/>
      <c r="B190" s="6" t="s">
        <v>89</v>
      </c>
      <c r="C190" s="74"/>
      <c r="D190" s="8">
        <v>19412.50592</v>
      </c>
      <c r="E190" s="111">
        <f t="shared" si="64"/>
        <v>401</v>
      </c>
      <c r="F190" s="6">
        <v>1979</v>
      </c>
      <c r="G190" s="7">
        <f t="shared" si="60"/>
        <v>0</v>
      </c>
      <c r="H190" s="7">
        <f t="shared" si="61"/>
        <v>0</v>
      </c>
      <c r="I190" s="8">
        <f t="shared" si="63"/>
        <v>153.25972334213242</v>
      </c>
      <c r="J190" s="84">
        <f t="shared" si="62"/>
        <v>0</v>
      </c>
    </row>
    <row r="191" spans="1:13">
      <c r="A191" s="17"/>
      <c r="B191" s="6" t="s">
        <v>85</v>
      </c>
      <c r="C191" s="74">
        <v>1.5</v>
      </c>
      <c r="D191" s="8">
        <v>19412.50592</v>
      </c>
      <c r="E191" s="111">
        <f t="shared" si="64"/>
        <v>401</v>
      </c>
      <c r="F191" s="6">
        <v>1979</v>
      </c>
      <c r="G191" s="7">
        <f t="shared" si="60"/>
        <v>2968.5</v>
      </c>
      <c r="H191" s="7">
        <f t="shared" si="61"/>
        <v>7.4027431421446384</v>
      </c>
      <c r="I191" s="8">
        <f t="shared" si="63"/>
        <v>153.25972334213242</v>
      </c>
      <c r="J191" s="84">
        <f t="shared" si="62"/>
        <v>1134.5423659379553</v>
      </c>
    </row>
    <row r="192" spans="1:13">
      <c r="A192" s="17"/>
      <c r="B192" s="6" t="s">
        <v>86</v>
      </c>
      <c r="C192" s="74">
        <v>0.5</v>
      </c>
      <c r="D192" s="8">
        <v>19412.50592</v>
      </c>
      <c r="E192" s="111">
        <f t="shared" si="64"/>
        <v>401</v>
      </c>
      <c r="F192" s="6">
        <v>1979</v>
      </c>
      <c r="G192" s="7">
        <f t="shared" si="60"/>
        <v>989.5</v>
      </c>
      <c r="H192" s="7">
        <f t="shared" si="61"/>
        <v>2.4675810473815463</v>
      </c>
      <c r="I192" s="8">
        <f t="shared" si="63"/>
        <v>153.25972334213242</v>
      </c>
      <c r="J192" s="84">
        <f t="shared" si="62"/>
        <v>378.1807886459851</v>
      </c>
    </row>
    <row r="193" spans="1:13">
      <c r="A193" s="17"/>
      <c r="B193" s="6" t="s">
        <v>87</v>
      </c>
      <c r="C193" s="74">
        <v>1.5</v>
      </c>
      <c r="D193" s="8">
        <v>19412.50592</v>
      </c>
      <c r="E193" s="111">
        <f t="shared" si="64"/>
        <v>401</v>
      </c>
      <c r="F193" s="6">
        <v>1979</v>
      </c>
      <c r="G193" s="7">
        <f t="shared" si="60"/>
        <v>2968.5</v>
      </c>
      <c r="H193" s="7">
        <f t="shared" si="61"/>
        <v>7.4027431421446384</v>
      </c>
      <c r="I193" s="8">
        <f t="shared" si="63"/>
        <v>153.25972334213242</v>
      </c>
      <c r="J193" s="84">
        <f t="shared" si="62"/>
        <v>1134.5423659379553</v>
      </c>
    </row>
    <row r="194" spans="1:13">
      <c r="A194" s="17"/>
      <c r="B194" s="6" t="s">
        <v>88</v>
      </c>
      <c r="C194" s="74">
        <v>3.25</v>
      </c>
      <c r="D194" s="8">
        <v>19412.50592</v>
      </c>
      <c r="E194" s="111">
        <f t="shared" si="64"/>
        <v>401</v>
      </c>
      <c r="F194" s="6">
        <v>1979</v>
      </c>
      <c r="G194" s="7">
        <f t="shared" si="60"/>
        <v>6431.75</v>
      </c>
      <c r="H194" s="7">
        <f t="shared" si="61"/>
        <v>16.039276807980048</v>
      </c>
      <c r="I194" s="8">
        <f t="shared" si="63"/>
        <v>153.25972334213242</v>
      </c>
      <c r="J194" s="84">
        <f t="shared" si="62"/>
        <v>2458.1751261989029</v>
      </c>
    </row>
    <row r="195" spans="1:13">
      <c r="A195" s="17"/>
      <c r="B195" s="6" t="s">
        <v>50</v>
      </c>
      <c r="C195" s="74">
        <v>3</v>
      </c>
      <c r="D195" s="8">
        <v>19412.50592</v>
      </c>
      <c r="E195" s="111">
        <f t="shared" si="64"/>
        <v>401</v>
      </c>
      <c r="F195" s="6">
        <v>1979</v>
      </c>
      <c r="G195" s="7">
        <f t="shared" si="60"/>
        <v>5937</v>
      </c>
      <c r="H195" s="7">
        <f t="shared" si="61"/>
        <v>14.805486284289277</v>
      </c>
      <c r="I195" s="8">
        <f t="shared" si="63"/>
        <v>153.25972334213242</v>
      </c>
      <c r="J195" s="84">
        <f t="shared" si="62"/>
        <v>2269.0847318759106</v>
      </c>
    </row>
    <row r="196" spans="1:13">
      <c r="A196" s="17"/>
      <c r="B196" s="6" t="s">
        <v>92</v>
      </c>
      <c r="C196" s="74">
        <v>3</v>
      </c>
      <c r="D196" s="8">
        <v>19412.50592</v>
      </c>
      <c r="E196" s="111">
        <f t="shared" si="64"/>
        <v>401</v>
      </c>
      <c r="F196" s="6">
        <v>1979</v>
      </c>
      <c r="G196" s="7">
        <f t="shared" si="60"/>
        <v>5937</v>
      </c>
      <c r="H196" s="7">
        <f t="shared" si="61"/>
        <v>14.805486284289277</v>
      </c>
      <c r="I196" s="8">
        <f t="shared" si="63"/>
        <v>153.25972334213242</v>
      </c>
      <c r="J196" s="84">
        <f t="shared" si="62"/>
        <v>2269.0847318759106</v>
      </c>
    </row>
    <row r="197" spans="1:13">
      <c r="A197" s="17"/>
      <c r="B197" s="6" t="s">
        <v>93</v>
      </c>
      <c r="C197" s="74"/>
      <c r="D197" s="8">
        <v>19412.50592</v>
      </c>
      <c r="E197" s="111">
        <f t="shared" si="64"/>
        <v>401</v>
      </c>
      <c r="F197" s="6">
        <v>1979</v>
      </c>
      <c r="G197" s="7">
        <f t="shared" si="60"/>
        <v>0</v>
      </c>
      <c r="H197" s="7">
        <f t="shared" si="61"/>
        <v>0</v>
      </c>
      <c r="I197" s="8">
        <f t="shared" si="63"/>
        <v>153.25972334213242</v>
      </c>
      <c r="J197" s="84">
        <f t="shared" si="62"/>
        <v>0</v>
      </c>
    </row>
    <row r="198" spans="1:13">
      <c r="A198" s="17"/>
      <c r="B198" s="6" t="s">
        <v>51</v>
      </c>
      <c r="C198" s="74">
        <v>6</v>
      </c>
      <c r="D198" s="8">
        <v>19412.50592</v>
      </c>
      <c r="E198" s="111">
        <f t="shared" si="64"/>
        <v>401</v>
      </c>
      <c r="F198" s="6">
        <v>1979</v>
      </c>
      <c r="G198" s="7">
        <f t="shared" si="60"/>
        <v>11874</v>
      </c>
      <c r="H198" s="7">
        <f t="shared" si="61"/>
        <v>29.610972568578553</v>
      </c>
      <c r="I198" s="8">
        <f t="shared" si="63"/>
        <v>153.25972334213242</v>
      </c>
      <c r="J198" s="84">
        <f t="shared" si="62"/>
        <v>4538.1694637518212</v>
      </c>
    </row>
    <row r="199" spans="1:13">
      <c r="A199" s="17"/>
      <c r="B199" s="6" t="s">
        <v>52</v>
      </c>
      <c r="C199" s="74">
        <v>4</v>
      </c>
      <c r="D199" s="8">
        <v>19412.50592</v>
      </c>
      <c r="E199" s="111">
        <f t="shared" si="64"/>
        <v>401</v>
      </c>
      <c r="F199" s="6">
        <v>1979</v>
      </c>
      <c r="G199" s="7">
        <f t="shared" si="60"/>
        <v>7916</v>
      </c>
      <c r="H199" s="7">
        <f t="shared" si="61"/>
        <v>19.74064837905237</v>
      </c>
      <c r="I199" s="8">
        <f t="shared" si="63"/>
        <v>153.25972334213242</v>
      </c>
      <c r="J199" s="84">
        <f t="shared" si="62"/>
        <v>3025.4463091678808</v>
      </c>
    </row>
    <row r="200" spans="1:13" ht="15.75" thickBot="1">
      <c r="A200" s="18"/>
      <c r="B200" s="19"/>
      <c r="C200" s="88">
        <f>SUM(C187:C199)</f>
        <v>33.25</v>
      </c>
      <c r="D200" s="19"/>
      <c r="E200" s="112"/>
      <c r="F200" s="19"/>
      <c r="G200" s="20"/>
      <c r="H200" s="20"/>
      <c r="I200" s="21"/>
      <c r="J200" s="81">
        <f>SUM(J187:J199)</f>
        <v>25149.022444958009</v>
      </c>
    </row>
    <row r="201" spans="1:13" ht="15.75" thickBot="1">
      <c r="A201" s="63"/>
      <c r="B201" s="64"/>
      <c r="C201" s="64"/>
      <c r="D201" s="64"/>
      <c r="E201" s="113"/>
      <c r="F201" s="64"/>
      <c r="G201" s="67"/>
      <c r="H201" s="93" t="s">
        <v>79</v>
      </c>
      <c r="I201" s="94"/>
      <c r="J201" s="86"/>
      <c r="K201" s="60">
        <f>J201*E190</f>
        <v>0</v>
      </c>
      <c r="L201" s="60"/>
      <c r="M201" s="60">
        <f>L201-K201</f>
        <v>0</v>
      </c>
    </row>
    <row r="202" spans="1:13" ht="15.75" thickBot="1">
      <c r="A202" s="63"/>
      <c r="B202" s="64"/>
      <c r="C202" s="64"/>
      <c r="D202" s="64"/>
      <c r="E202" s="113"/>
      <c r="F202" s="64"/>
      <c r="G202" s="67"/>
      <c r="H202" s="93" t="s">
        <v>77</v>
      </c>
      <c r="I202" s="94"/>
      <c r="J202" s="86">
        <f>J200-J201</f>
        <v>25149.022444958009</v>
      </c>
      <c r="K202" s="116">
        <f>J202*E190</f>
        <v>10084758.000428163</v>
      </c>
      <c r="L202" s="116">
        <f>7743791+2340+2338627</f>
        <v>10084758</v>
      </c>
      <c r="M202" s="77">
        <f>L202/12/1.302/C200</f>
        <v>19412.505919175819</v>
      </c>
    </row>
  </sheetData>
  <mergeCells count="27">
    <mergeCell ref="A3:J3"/>
    <mergeCell ref="H18:I18"/>
    <mergeCell ref="H19:I19"/>
    <mergeCell ref="H33:I33"/>
    <mergeCell ref="H34:I34"/>
    <mergeCell ref="H48:I48"/>
    <mergeCell ref="H49:I49"/>
    <mergeCell ref="H63:I63"/>
    <mergeCell ref="H64:I64"/>
    <mergeCell ref="H78:I78"/>
    <mergeCell ref="H79:I79"/>
    <mergeCell ref="H93:I93"/>
    <mergeCell ref="H94:I94"/>
    <mergeCell ref="H108:I108"/>
    <mergeCell ref="H109:I109"/>
    <mergeCell ref="H123:I123"/>
    <mergeCell ref="H124:I124"/>
    <mergeCell ref="H138:I138"/>
    <mergeCell ref="H139:I139"/>
    <mergeCell ref="H153:I153"/>
    <mergeCell ref="H201:I201"/>
    <mergeCell ref="H202:I202"/>
    <mergeCell ref="H154:I154"/>
    <mergeCell ref="H169:I169"/>
    <mergeCell ref="H170:I170"/>
    <mergeCell ref="H185:I185"/>
    <mergeCell ref="H186:I186"/>
  </mergeCells>
  <pageMargins left="0.11811023622047245" right="0" top="0.35433070866141736" bottom="0" header="0.31496062992125984" footer="0.31496062992125984"/>
  <pageSetup paperSize="9" scale="8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R88"/>
  <sheetViews>
    <sheetView tabSelected="1" workbookViewId="0">
      <pane xSplit="1" ySplit="6" topLeftCell="B70" activePane="bottomRight" state="frozen"/>
      <selection pane="topRight" activeCell="B1" sqref="B1"/>
      <selection pane="bottomLeft" activeCell="A7" sqref="A7"/>
      <selection pane="bottomRight" activeCell="J88" sqref="J88:K88"/>
    </sheetView>
  </sheetViews>
  <sheetFormatPr defaultRowHeight="15"/>
  <cols>
    <col min="1" max="1" width="16" style="97" customWidth="1"/>
    <col min="2" max="2" width="35.7109375" style="1" customWidth="1"/>
    <col min="3" max="3" width="10.85546875" style="1" customWidth="1"/>
    <col min="4" max="4" width="8.28515625" style="1" customWidth="1"/>
    <col min="5" max="5" width="12.5703125" style="1" customWidth="1"/>
    <col min="6" max="6" width="10" style="1" customWidth="1"/>
    <col min="7" max="7" width="14.5703125" customWidth="1"/>
    <col min="8" max="8" width="10.85546875" style="1" customWidth="1"/>
    <col min="9" max="9" width="10.7109375" style="1" bestFit="1" customWidth="1"/>
    <col min="10" max="10" width="9.5703125" style="1" customWidth="1"/>
    <col min="11" max="11" width="10.28515625" style="1" customWidth="1"/>
    <col min="12" max="18" width="9.140625" style="1"/>
  </cols>
  <sheetData>
    <row r="1" spans="1:12" ht="18.75">
      <c r="A1" s="95" t="s">
        <v>82</v>
      </c>
    </row>
    <row r="2" spans="1:12" ht="7.5" customHeight="1"/>
    <row r="3" spans="1:12" ht="18.75">
      <c r="A3" s="92" t="s">
        <v>53</v>
      </c>
      <c r="B3" s="92"/>
      <c r="C3" s="92"/>
      <c r="D3" s="92"/>
      <c r="E3" s="92"/>
      <c r="F3" s="92"/>
      <c r="G3" s="92"/>
      <c r="H3" s="92"/>
    </row>
    <row r="4" spans="1:12" ht="6" customHeight="1" thickBot="1"/>
    <row r="5" spans="1:12" ht="84.4" customHeight="1">
      <c r="A5" s="98" t="s">
        <v>2</v>
      </c>
      <c r="B5" s="23" t="s">
        <v>54</v>
      </c>
      <c r="C5" s="23" t="s">
        <v>14</v>
      </c>
      <c r="D5" s="23" t="s">
        <v>16</v>
      </c>
      <c r="E5" s="72" t="s">
        <v>27</v>
      </c>
      <c r="F5" s="23" t="s">
        <v>28</v>
      </c>
      <c r="G5" s="23" t="s">
        <v>55</v>
      </c>
      <c r="H5" s="23" t="s">
        <v>58</v>
      </c>
      <c r="I5" s="23" t="s">
        <v>11</v>
      </c>
      <c r="J5" s="2" t="s">
        <v>34</v>
      </c>
      <c r="K5" s="2" t="s">
        <v>33</v>
      </c>
    </row>
    <row r="6" spans="1:12" ht="15.75" thickBot="1">
      <c r="A6" s="105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 t="s">
        <v>31</v>
      </c>
      <c r="H6" s="10">
        <v>8</v>
      </c>
      <c r="I6" s="40" t="s">
        <v>32</v>
      </c>
    </row>
    <row r="7" spans="1:12">
      <c r="A7" s="100" t="s">
        <v>59</v>
      </c>
      <c r="B7" s="14" t="s">
        <v>56</v>
      </c>
      <c r="C7" s="6" t="s">
        <v>17</v>
      </c>
      <c r="D7" s="6">
        <v>1</v>
      </c>
      <c r="E7" s="16">
        <f>248*8*(A8/1979)</f>
        <v>239.60384032339564</v>
      </c>
      <c r="F7" s="29">
        <f>E7/A8</f>
        <v>1.0025265285497726</v>
      </c>
      <c r="G7" s="42">
        <f>D7/E7*F7</f>
        <v>4.1841004184100423E-3</v>
      </c>
      <c r="H7" s="15">
        <v>58127</v>
      </c>
      <c r="I7" s="82">
        <f>H7*G7</f>
        <v>243.20920502092054</v>
      </c>
      <c r="J7" s="3"/>
      <c r="K7" s="3"/>
    </row>
    <row r="8" spans="1:12" s="1" customFormat="1" ht="17.100000000000001" customHeight="1">
      <c r="A8" s="101">
        <f>ком.усл!A10</f>
        <v>239</v>
      </c>
      <c r="B8" s="37" t="s">
        <v>80</v>
      </c>
      <c r="C8" s="6" t="s">
        <v>17</v>
      </c>
      <c r="D8" s="6">
        <v>1</v>
      </c>
      <c r="E8" s="8">
        <f>248*8*(A8/1979)</f>
        <v>239.60384032339564</v>
      </c>
      <c r="F8" s="30">
        <f>E8/A8</f>
        <v>1.0025265285497726</v>
      </c>
      <c r="G8" s="41">
        <f>D8/E8*F8</f>
        <v>4.1841004184100423E-3</v>
      </c>
      <c r="H8" s="7">
        <v>9000</v>
      </c>
      <c r="I8" s="84">
        <f>H8*G8</f>
        <v>37.65690376569038</v>
      </c>
      <c r="K8" s="3"/>
    </row>
    <row r="9" spans="1:12" s="1" customFormat="1">
      <c r="A9" s="101"/>
      <c r="B9" s="6" t="s">
        <v>81</v>
      </c>
      <c r="C9" s="6" t="s">
        <v>17</v>
      </c>
      <c r="D9" s="6">
        <v>1</v>
      </c>
      <c r="E9" s="8">
        <f>248*8*(A8/1979)</f>
        <v>239.60384032339564</v>
      </c>
      <c r="F9" s="30">
        <f>E9/A8</f>
        <v>1.0025265285497726</v>
      </c>
      <c r="G9" s="41">
        <f>D9/E9*F9</f>
        <v>4.1841004184100423E-3</v>
      </c>
      <c r="H9" s="7">
        <v>64259.6</v>
      </c>
      <c r="I9" s="84">
        <f>H9*G9</f>
        <v>268.86861924686195</v>
      </c>
      <c r="K9" s="3"/>
    </row>
    <row r="10" spans="1:12" s="1" customFormat="1" ht="15.75" thickBot="1">
      <c r="A10" s="103"/>
      <c r="B10" s="19"/>
      <c r="C10" s="19"/>
      <c r="D10" s="19"/>
      <c r="E10" s="19"/>
      <c r="F10" s="19"/>
      <c r="G10" s="22"/>
      <c r="H10" s="43"/>
      <c r="I10" s="81">
        <f>SUM(I7:I9)</f>
        <v>549.73472803347295</v>
      </c>
      <c r="J10" s="3"/>
      <c r="K10" s="3"/>
    </row>
    <row r="11" spans="1:12" s="1" customFormat="1" ht="15.75" thickBot="1">
      <c r="A11" s="114"/>
      <c r="B11" s="64"/>
      <c r="C11" s="64"/>
      <c r="D11" s="64"/>
      <c r="E11" s="64"/>
      <c r="F11" s="64"/>
      <c r="G11" s="58" t="s">
        <v>79</v>
      </c>
      <c r="H11" s="65"/>
      <c r="I11" s="86">
        <v>0</v>
      </c>
      <c r="K11" s="3">
        <f>I11*A8</f>
        <v>0</v>
      </c>
    </row>
    <row r="12" spans="1:12" s="1" customFormat="1" ht="15.75" thickBot="1">
      <c r="A12" s="115"/>
      <c r="B12" s="61"/>
      <c r="C12" s="61"/>
      <c r="D12" s="61"/>
      <c r="E12" s="61"/>
      <c r="F12" s="61"/>
      <c r="G12" s="59" t="s">
        <v>77</v>
      </c>
      <c r="H12" s="62"/>
      <c r="I12" s="87">
        <f>I10-I11</f>
        <v>549.73472803347295</v>
      </c>
      <c r="J12" s="117">
        <f>64259.6+9000+28127+30000</f>
        <v>131386.6</v>
      </c>
      <c r="K12" s="117">
        <f>I12*A8</f>
        <v>131386.60000000003</v>
      </c>
      <c r="L12" s="3"/>
    </row>
    <row r="13" spans="1:12">
      <c r="A13" s="100" t="s">
        <v>61</v>
      </c>
      <c r="B13" s="14" t="s">
        <v>56</v>
      </c>
      <c r="C13" s="6" t="s">
        <v>17</v>
      </c>
      <c r="D13" s="6">
        <v>1</v>
      </c>
      <c r="E13" s="16">
        <f>248*8*(A14/1979)</f>
        <v>192.48509348155633</v>
      </c>
      <c r="F13" s="29">
        <f>E13/A14</f>
        <v>1.0025265285497726</v>
      </c>
      <c r="G13" s="42">
        <f>D13/E13*F13</f>
        <v>5.2083333333333339E-3</v>
      </c>
      <c r="H13" s="15">
        <f>15000+28128</f>
        <v>43128</v>
      </c>
      <c r="I13" s="82">
        <f>H13*G13</f>
        <v>224.62500000000003</v>
      </c>
      <c r="J13" s="3"/>
      <c r="K13" s="3"/>
    </row>
    <row r="14" spans="1:12" s="1" customFormat="1" ht="16.350000000000001" customHeight="1">
      <c r="A14" s="101">
        <f>ком.усл!A15</f>
        <v>192</v>
      </c>
      <c r="B14" s="37" t="s">
        <v>80</v>
      </c>
      <c r="C14" s="6" t="s">
        <v>17</v>
      </c>
      <c r="D14" s="6">
        <v>1</v>
      </c>
      <c r="E14" s="8">
        <f>248*8*(A14/1979)</f>
        <v>192.48509348155633</v>
      </c>
      <c r="F14" s="30">
        <f>E14/A14</f>
        <v>1.0025265285497726</v>
      </c>
      <c r="G14" s="41">
        <f>D14/E14*F14</f>
        <v>5.2083333333333339E-3</v>
      </c>
      <c r="H14" s="7">
        <v>8100</v>
      </c>
      <c r="I14" s="84">
        <f>H14*G14</f>
        <v>42.187500000000007</v>
      </c>
      <c r="K14" s="3"/>
    </row>
    <row r="15" spans="1:12" s="1" customFormat="1">
      <c r="A15" s="101"/>
      <c r="B15" s="6" t="s">
        <v>81</v>
      </c>
      <c r="C15" s="6" t="s">
        <v>17</v>
      </c>
      <c r="D15" s="6">
        <v>1</v>
      </c>
      <c r="E15" s="8">
        <f>248*8*(A14/1979)</f>
        <v>192.48509348155633</v>
      </c>
      <c r="F15" s="30">
        <f>E15/A14</f>
        <v>1.0025265285497726</v>
      </c>
      <c r="G15" s="41">
        <f>D15/E15*F15</f>
        <v>5.2083333333333339E-3</v>
      </c>
      <c r="H15" s="7">
        <v>58607.9</v>
      </c>
      <c r="I15" s="84">
        <f>H15*G15</f>
        <v>305.24947916666673</v>
      </c>
      <c r="K15" s="3"/>
    </row>
    <row r="16" spans="1:12" s="1" customFormat="1" ht="15.75" thickBot="1">
      <c r="A16" s="103"/>
      <c r="B16" s="19"/>
      <c r="C16" s="19"/>
      <c r="D16" s="19"/>
      <c r="E16" s="19"/>
      <c r="F16" s="19"/>
      <c r="G16" s="22"/>
      <c r="H16" s="43"/>
      <c r="I16" s="81">
        <f>SUM(I13:I15)</f>
        <v>572.06197916666679</v>
      </c>
      <c r="J16" s="3"/>
      <c r="K16" s="3"/>
    </row>
    <row r="17" spans="1:11" s="1" customFormat="1" ht="15.75" thickBot="1">
      <c r="A17" s="114"/>
      <c r="B17" s="64"/>
      <c r="C17" s="64"/>
      <c r="D17" s="64"/>
      <c r="E17" s="64"/>
      <c r="F17" s="64"/>
      <c r="G17" s="58" t="s">
        <v>79</v>
      </c>
      <c r="H17" s="65"/>
      <c r="I17" s="86">
        <v>0</v>
      </c>
      <c r="K17" s="3">
        <f>I17*A14</f>
        <v>0</v>
      </c>
    </row>
    <row r="18" spans="1:11" s="1" customFormat="1" ht="15.75" thickBot="1">
      <c r="A18" s="114"/>
      <c r="B18" s="64"/>
      <c r="C18" s="64"/>
      <c r="D18" s="64"/>
      <c r="E18" s="64"/>
      <c r="F18" s="64"/>
      <c r="G18" s="58" t="s">
        <v>77</v>
      </c>
      <c r="H18" s="65"/>
      <c r="I18" s="86">
        <f>I16-I17</f>
        <v>572.06197916666679</v>
      </c>
      <c r="J18" s="117">
        <f>15000+28128+8100+58607.9</f>
        <v>109835.9</v>
      </c>
      <c r="K18" s="117">
        <f>I18*A14</f>
        <v>109835.90000000002</v>
      </c>
    </row>
    <row r="19" spans="1:11">
      <c r="A19" s="100" t="s">
        <v>62</v>
      </c>
      <c r="B19" s="14" t="s">
        <v>56</v>
      </c>
      <c r="C19" s="6" t="s">
        <v>17</v>
      </c>
      <c r="D19" s="6">
        <v>1</v>
      </c>
      <c r="E19" s="16">
        <f>248*8*(A20/1979)</f>
        <v>214.54067710965134</v>
      </c>
      <c r="F19" s="29">
        <f>E19/A20</f>
        <v>1.0025265285497726</v>
      </c>
      <c r="G19" s="42">
        <f>D19/E19*F19</f>
        <v>4.6728971962616819E-3</v>
      </c>
      <c r="H19" s="15">
        <f>28128+30000</f>
        <v>58128</v>
      </c>
      <c r="I19" s="82">
        <f>H19*G19</f>
        <v>271.62616822429902</v>
      </c>
      <c r="J19" s="3"/>
      <c r="K19" s="3"/>
    </row>
    <row r="20" spans="1:11" s="1" customFormat="1" ht="15.75" customHeight="1">
      <c r="A20" s="101">
        <f>ком.усл!A20</f>
        <v>214</v>
      </c>
      <c r="B20" s="37" t="s">
        <v>80</v>
      </c>
      <c r="C20" s="6" t="s">
        <v>17</v>
      </c>
      <c r="D20" s="6">
        <v>1</v>
      </c>
      <c r="E20" s="8">
        <f>248*8*(A20/1979)</f>
        <v>214.54067710965134</v>
      </c>
      <c r="F20" s="30">
        <f>E20/A20</f>
        <v>1.0025265285497726</v>
      </c>
      <c r="G20" s="41">
        <f>D20/E20*F20</f>
        <v>4.6728971962616819E-3</v>
      </c>
      <c r="H20" s="7">
        <v>8550</v>
      </c>
      <c r="I20" s="84">
        <f>H20*G20</f>
        <v>39.953271028037378</v>
      </c>
      <c r="K20" s="3"/>
    </row>
    <row r="21" spans="1:11" s="1" customFormat="1">
      <c r="A21" s="101"/>
      <c r="B21" s="6" t="s">
        <v>81</v>
      </c>
      <c r="C21" s="6" t="s">
        <v>17</v>
      </c>
      <c r="D21" s="6">
        <v>1</v>
      </c>
      <c r="E21" s="8">
        <f>248*8*(A20/1979)</f>
        <v>214.54067710965134</v>
      </c>
      <c r="F21" s="30">
        <f>E21/A20</f>
        <v>1.0025265285497726</v>
      </c>
      <c r="G21" s="41">
        <f>D21/E21*F21</f>
        <v>4.6728971962616819E-3</v>
      </c>
      <c r="H21" s="7">
        <v>62460</v>
      </c>
      <c r="I21" s="84">
        <f>H21*G21</f>
        <v>291.86915887850466</v>
      </c>
      <c r="K21" s="3"/>
    </row>
    <row r="22" spans="1:11" s="1" customFormat="1" ht="15.75" thickBot="1">
      <c r="A22" s="103"/>
      <c r="B22" s="19"/>
      <c r="C22" s="19"/>
      <c r="D22" s="19"/>
      <c r="E22" s="19"/>
      <c r="F22" s="19"/>
      <c r="G22" s="22"/>
      <c r="H22" s="43"/>
      <c r="I22" s="81">
        <f>SUM(I19:I21)</f>
        <v>603.44859813084099</v>
      </c>
      <c r="J22" s="3"/>
      <c r="K22" s="3"/>
    </row>
    <row r="23" spans="1:11" s="1" customFormat="1" ht="15.75" thickBot="1">
      <c r="A23" s="114"/>
      <c r="B23" s="64"/>
      <c r="C23" s="64"/>
      <c r="D23" s="64"/>
      <c r="E23" s="64"/>
      <c r="F23" s="64"/>
      <c r="G23" s="58" t="s">
        <v>79</v>
      </c>
      <c r="H23" s="65"/>
      <c r="I23" s="86">
        <v>0</v>
      </c>
      <c r="K23" s="3">
        <f>I23*A20</f>
        <v>0</v>
      </c>
    </row>
    <row r="24" spans="1:11" s="1" customFormat="1" ht="15.75" thickBot="1">
      <c r="A24" s="114"/>
      <c r="B24" s="64"/>
      <c r="C24" s="64"/>
      <c r="D24" s="64"/>
      <c r="E24" s="64"/>
      <c r="F24" s="64"/>
      <c r="G24" s="58" t="s">
        <v>77</v>
      </c>
      <c r="H24" s="65"/>
      <c r="I24" s="86">
        <f>I22-I23</f>
        <v>603.44859813084099</v>
      </c>
      <c r="J24" s="117">
        <v>129138</v>
      </c>
      <c r="K24" s="117">
        <f>I24*A20</f>
        <v>129137.99999999997</v>
      </c>
    </row>
    <row r="25" spans="1:11">
      <c r="A25" s="100" t="s">
        <v>63</v>
      </c>
      <c r="B25" s="14" t="s">
        <v>56</v>
      </c>
      <c r="C25" s="6" t="s">
        <v>17</v>
      </c>
      <c r="D25" s="6">
        <v>1</v>
      </c>
      <c r="E25" s="16">
        <f>248*8*(A26/1979)</f>
        <v>152.38403233956544</v>
      </c>
      <c r="F25" s="29">
        <f>E25/A26</f>
        <v>1.0025265285497726</v>
      </c>
      <c r="G25" s="42">
        <f>D25/E25*F25</f>
        <v>6.5789473684210523E-3</v>
      </c>
      <c r="H25" s="15">
        <v>25000</v>
      </c>
      <c r="I25" s="82">
        <f>H25*G25</f>
        <v>164.4736842105263</v>
      </c>
      <c r="J25" s="3"/>
      <c r="K25" s="3"/>
    </row>
    <row r="26" spans="1:11" s="1" customFormat="1" ht="14.45" customHeight="1">
      <c r="A26" s="101">
        <f>ком.усл!A25</f>
        <v>152</v>
      </c>
      <c r="B26" s="37" t="s">
        <v>80</v>
      </c>
      <c r="C26" s="6" t="s">
        <v>17</v>
      </c>
      <c r="D26" s="6">
        <v>1</v>
      </c>
      <c r="E26" s="8">
        <f>248*8*(A26/1979)</f>
        <v>152.38403233956544</v>
      </c>
      <c r="F26" s="30">
        <f>E26/A26</f>
        <v>1.0025265285497726</v>
      </c>
      <c r="G26" s="41">
        <f>D26/E26*F26</f>
        <v>6.5789473684210523E-3</v>
      </c>
      <c r="H26" s="7">
        <v>4500</v>
      </c>
      <c r="I26" s="84">
        <f>H26*G26</f>
        <v>29.605263157894736</v>
      </c>
      <c r="K26" s="3"/>
    </row>
    <row r="27" spans="1:11" s="1" customFormat="1">
      <c r="A27" s="101"/>
      <c r="B27" s="6" t="s">
        <v>81</v>
      </c>
      <c r="C27" s="6" t="s">
        <v>17</v>
      </c>
      <c r="D27" s="6">
        <v>1</v>
      </c>
      <c r="E27" s="8">
        <f>248*8*(A26/1979)</f>
        <v>152.38403233956544</v>
      </c>
      <c r="F27" s="30">
        <f>E27/A26</f>
        <v>1.0025265285497726</v>
      </c>
      <c r="G27" s="41">
        <f>D27/E27*F27</f>
        <v>6.5789473684210523E-3</v>
      </c>
      <c r="H27" s="7">
        <v>24230.3</v>
      </c>
      <c r="I27" s="84">
        <f>H27*G27</f>
        <v>159.40986842105261</v>
      </c>
      <c r="K27" s="3"/>
    </row>
    <row r="28" spans="1:11" s="1" customFormat="1" ht="15.75" thickBot="1">
      <c r="A28" s="103"/>
      <c r="B28" s="19"/>
      <c r="C28" s="19"/>
      <c r="D28" s="19"/>
      <c r="E28" s="19"/>
      <c r="F28" s="19"/>
      <c r="G28" s="22"/>
      <c r="H28" s="43"/>
      <c r="I28" s="81">
        <f>SUM(I25:I27)</f>
        <v>353.48881578947362</v>
      </c>
      <c r="J28" s="3"/>
      <c r="K28" s="3"/>
    </row>
    <row r="29" spans="1:11" s="1" customFormat="1" ht="15.75" thickBot="1">
      <c r="A29" s="114"/>
      <c r="B29" s="64"/>
      <c r="C29" s="64"/>
      <c r="D29" s="64"/>
      <c r="E29" s="64"/>
      <c r="F29" s="64"/>
      <c r="G29" s="58" t="s">
        <v>79</v>
      </c>
      <c r="H29" s="65"/>
      <c r="I29" s="86">
        <v>0</v>
      </c>
      <c r="K29" s="3">
        <f>I29*A26</f>
        <v>0</v>
      </c>
    </row>
    <row r="30" spans="1:11" s="1" customFormat="1" ht="15.75" thickBot="1">
      <c r="A30" s="114"/>
      <c r="B30" s="64"/>
      <c r="C30" s="64"/>
      <c r="D30" s="64"/>
      <c r="E30" s="64"/>
      <c r="F30" s="64"/>
      <c r="G30" s="58" t="s">
        <v>77</v>
      </c>
      <c r="H30" s="65"/>
      <c r="I30" s="86">
        <f>I28-I29</f>
        <v>353.48881578947362</v>
      </c>
      <c r="J30" s="117">
        <v>53730.3</v>
      </c>
      <c r="K30" s="117">
        <f>I30*A26</f>
        <v>53730.299999999988</v>
      </c>
    </row>
    <row r="31" spans="1:11">
      <c r="A31" s="100" t="s">
        <v>106</v>
      </c>
      <c r="B31" s="14" t="s">
        <v>56</v>
      </c>
      <c r="C31" s="6" t="s">
        <v>17</v>
      </c>
      <c r="D31" s="6">
        <v>1</v>
      </c>
      <c r="E31" s="16">
        <f>248*8*(A32/1979)</f>
        <v>35.088428499242042</v>
      </c>
      <c r="F31" s="29">
        <f>E31/A32</f>
        <v>1.0025265285497726</v>
      </c>
      <c r="G31" s="42">
        <f>D31/E31*F31</f>
        <v>2.8571428571428574E-2</v>
      </c>
      <c r="H31" s="15"/>
      <c r="I31" s="82">
        <f>H31*G31</f>
        <v>0</v>
      </c>
      <c r="J31" s="3"/>
      <c r="K31" s="3"/>
    </row>
    <row r="32" spans="1:11" s="1" customFormat="1" ht="13.7" customHeight="1">
      <c r="A32" s="101">
        <f>ком.усл!A30</f>
        <v>35</v>
      </c>
      <c r="B32" s="37" t="s">
        <v>80</v>
      </c>
      <c r="C32" s="6" t="s">
        <v>17</v>
      </c>
      <c r="D32" s="6">
        <v>1</v>
      </c>
      <c r="E32" s="8">
        <f>248*8*(A32/1979)</f>
        <v>35.088428499242042</v>
      </c>
      <c r="F32" s="30">
        <f>E32/A32</f>
        <v>1.0025265285497726</v>
      </c>
      <c r="G32" s="41">
        <f>D32/E32*F32</f>
        <v>2.8571428571428574E-2</v>
      </c>
      <c r="H32" s="7"/>
      <c r="I32" s="84">
        <f>H32*G32</f>
        <v>0</v>
      </c>
      <c r="K32" s="3"/>
    </row>
    <row r="33" spans="1:11" s="1" customFormat="1">
      <c r="A33" s="101"/>
      <c r="B33" s="6" t="s">
        <v>81</v>
      </c>
      <c r="C33" s="6" t="s">
        <v>17</v>
      </c>
      <c r="D33" s="6">
        <v>1</v>
      </c>
      <c r="E33" s="8">
        <f>248*8*(A32/1979)</f>
        <v>35.088428499242042</v>
      </c>
      <c r="F33" s="30">
        <f>E33/A32</f>
        <v>1.0025265285497726</v>
      </c>
      <c r="G33" s="41">
        <f>D33/E33*F33</f>
        <v>2.8571428571428574E-2</v>
      </c>
      <c r="H33" s="7">
        <f>2320+450</f>
        <v>2770</v>
      </c>
      <c r="I33" s="84">
        <f>H33*G33</f>
        <v>79.142857142857153</v>
      </c>
      <c r="K33" s="3"/>
    </row>
    <row r="34" spans="1:11" s="1" customFormat="1" ht="15.75" thickBot="1">
      <c r="A34" s="103"/>
      <c r="B34" s="19"/>
      <c r="C34" s="19"/>
      <c r="D34" s="19"/>
      <c r="E34" s="19"/>
      <c r="F34" s="19"/>
      <c r="G34" s="22"/>
      <c r="H34" s="43"/>
      <c r="I34" s="81">
        <f>SUM(I31:I33)</f>
        <v>79.142857142857153</v>
      </c>
      <c r="J34" s="3"/>
      <c r="K34" s="3"/>
    </row>
    <row r="35" spans="1:11" s="1" customFormat="1" ht="15.75" thickBot="1">
      <c r="A35" s="114"/>
      <c r="B35" s="64"/>
      <c r="C35" s="64"/>
      <c r="D35" s="64"/>
      <c r="E35" s="64"/>
      <c r="F35" s="64"/>
      <c r="G35" s="58" t="s">
        <v>79</v>
      </c>
      <c r="H35" s="65"/>
      <c r="I35" s="86">
        <v>0</v>
      </c>
      <c r="K35" s="3">
        <f>I35*A32</f>
        <v>0</v>
      </c>
    </row>
    <row r="36" spans="1:11" s="1" customFormat="1" ht="15.75" thickBot="1">
      <c r="A36" s="114"/>
      <c r="B36" s="64"/>
      <c r="C36" s="64"/>
      <c r="D36" s="64"/>
      <c r="E36" s="64"/>
      <c r="F36" s="64"/>
      <c r="G36" s="58" t="s">
        <v>77</v>
      </c>
      <c r="H36" s="65"/>
      <c r="I36" s="86">
        <f>I34-I35</f>
        <v>79.142857142857153</v>
      </c>
      <c r="J36" s="117">
        <f>2320+450</f>
        <v>2770</v>
      </c>
      <c r="K36" s="117">
        <f>I36*A32</f>
        <v>2770.0000000000005</v>
      </c>
    </row>
    <row r="37" spans="1:11">
      <c r="A37" s="100" t="s">
        <v>64</v>
      </c>
      <c r="B37" s="14" t="s">
        <v>56</v>
      </c>
      <c r="C37" s="6" t="s">
        <v>17</v>
      </c>
      <c r="D37" s="6">
        <v>1</v>
      </c>
      <c r="E37" s="16">
        <f>248*8*(A38/1979)</f>
        <v>212.53562405255181</v>
      </c>
      <c r="F37" s="29">
        <f>E37/A38</f>
        <v>1.0025265285497726</v>
      </c>
      <c r="G37" s="42">
        <f>D37/E37*F37</f>
        <v>4.7169811320754715E-3</v>
      </c>
      <c r="H37" s="15">
        <f>15000+28127</f>
        <v>43127</v>
      </c>
      <c r="I37" s="82">
        <f>H37*G37</f>
        <v>203.42924528301887</v>
      </c>
      <c r="J37" s="3"/>
      <c r="K37" s="3"/>
    </row>
    <row r="38" spans="1:11" s="1" customFormat="1" ht="17.100000000000001" customHeight="1">
      <c r="A38" s="101">
        <f>ком.усл!A35</f>
        <v>212</v>
      </c>
      <c r="B38" s="37" t="s">
        <v>80</v>
      </c>
      <c r="C38" s="6" t="s">
        <v>17</v>
      </c>
      <c r="D38" s="6">
        <v>1</v>
      </c>
      <c r="E38" s="8">
        <f>248*8*(A38/1979)</f>
        <v>212.53562405255181</v>
      </c>
      <c r="F38" s="30">
        <f>E38/A38</f>
        <v>1.0025265285497726</v>
      </c>
      <c r="G38" s="41">
        <f>D38/E38*F38</f>
        <v>4.7169811320754715E-3</v>
      </c>
      <c r="H38" s="7">
        <v>7200</v>
      </c>
      <c r="I38" s="84">
        <f>H38*G38</f>
        <v>33.962264150943398</v>
      </c>
      <c r="K38" s="3"/>
    </row>
    <row r="39" spans="1:11" s="1" customFormat="1">
      <c r="A39" s="101"/>
      <c r="B39" s="6" t="s">
        <v>81</v>
      </c>
      <c r="C39" s="6" t="s">
        <v>17</v>
      </c>
      <c r="D39" s="6">
        <v>1</v>
      </c>
      <c r="E39" s="8">
        <f>248*8*(A38/1979)</f>
        <v>212.53562405255181</v>
      </c>
      <c r="F39" s="30">
        <f>E39/A38</f>
        <v>1.0025265285497726</v>
      </c>
      <c r="G39" s="41">
        <f>D39/E39*F39</f>
        <v>4.7169811320754715E-3</v>
      </c>
      <c r="H39" s="7">
        <v>51488.32</v>
      </c>
      <c r="I39" s="84">
        <f>H39*G39</f>
        <v>242.86943396226414</v>
      </c>
      <c r="K39" s="3"/>
    </row>
    <row r="40" spans="1:11" s="1" customFormat="1" ht="15.75" thickBot="1">
      <c r="A40" s="103"/>
      <c r="B40" s="19"/>
      <c r="C40" s="19"/>
      <c r="D40" s="19"/>
      <c r="E40" s="19"/>
      <c r="F40" s="19"/>
      <c r="G40" s="22"/>
      <c r="H40" s="43"/>
      <c r="I40" s="81">
        <f>SUM(I37:I39)</f>
        <v>480.26094339622637</v>
      </c>
      <c r="J40" s="3"/>
      <c r="K40" s="3"/>
    </row>
    <row r="41" spans="1:11" s="1" customFormat="1" ht="15.75" thickBot="1">
      <c r="A41" s="114"/>
      <c r="B41" s="64"/>
      <c r="C41" s="64"/>
      <c r="D41" s="64"/>
      <c r="E41" s="64"/>
      <c r="F41" s="64"/>
      <c r="G41" s="58" t="s">
        <v>79</v>
      </c>
      <c r="H41" s="65"/>
      <c r="I41" s="86">
        <v>0</v>
      </c>
      <c r="K41" s="3">
        <f>I41*A38</f>
        <v>0</v>
      </c>
    </row>
    <row r="42" spans="1:11" s="1" customFormat="1" ht="15.75" thickBot="1">
      <c r="A42" s="114"/>
      <c r="B42" s="64"/>
      <c r="C42" s="64"/>
      <c r="D42" s="64"/>
      <c r="E42" s="64"/>
      <c r="F42" s="64"/>
      <c r="G42" s="58" t="s">
        <v>77</v>
      </c>
      <c r="H42" s="65"/>
      <c r="I42" s="86">
        <f>I40-I41</f>
        <v>480.26094339622637</v>
      </c>
      <c r="J42" s="117">
        <v>101815.32</v>
      </c>
      <c r="K42" s="117">
        <f>I42*A38</f>
        <v>101815.31999999999</v>
      </c>
    </row>
    <row r="43" spans="1:11">
      <c r="A43" s="100" t="s">
        <v>65</v>
      </c>
      <c r="B43" s="14" t="s">
        <v>56</v>
      </c>
      <c r="C43" s="6" t="s">
        <v>17</v>
      </c>
      <c r="D43" s="6">
        <v>1</v>
      </c>
      <c r="E43" s="16">
        <f>248*8*(A44/1979)</f>
        <v>252.63668519454271</v>
      </c>
      <c r="F43" s="29">
        <f>E43/A44</f>
        <v>1.0025265285497726</v>
      </c>
      <c r="G43" s="42">
        <f>D43/E43*F43</f>
        <v>3.968253968253968E-3</v>
      </c>
      <c r="H43" s="15">
        <v>45000</v>
      </c>
      <c r="I43" s="82">
        <f>H43*G43</f>
        <v>178.57142857142856</v>
      </c>
      <c r="J43" s="3"/>
      <c r="K43" s="3"/>
    </row>
    <row r="44" spans="1:11" s="1" customFormat="1" ht="13.7" customHeight="1">
      <c r="A44" s="101">
        <f>ком.усл!A40</f>
        <v>252</v>
      </c>
      <c r="B44" s="37" t="s">
        <v>80</v>
      </c>
      <c r="C44" s="6" t="s">
        <v>17</v>
      </c>
      <c r="D44" s="6">
        <v>1</v>
      </c>
      <c r="E44" s="8">
        <f>248*8*(A44/1979)</f>
        <v>252.63668519454271</v>
      </c>
      <c r="F44" s="30">
        <f>E44/A44</f>
        <v>1.0025265285497726</v>
      </c>
      <c r="G44" s="41">
        <f>D44/E44*F44</f>
        <v>3.968253968253968E-3</v>
      </c>
      <c r="H44" s="7">
        <v>8100</v>
      </c>
      <c r="I44" s="84">
        <f>H44*G44</f>
        <v>32.142857142857139</v>
      </c>
      <c r="K44" s="3"/>
    </row>
    <row r="45" spans="1:11" s="1" customFormat="1">
      <c r="A45" s="101"/>
      <c r="B45" s="6" t="s">
        <v>81</v>
      </c>
      <c r="C45" s="6" t="s">
        <v>17</v>
      </c>
      <c r="D45" s="6">
        <v>1</v>
      </c>
      <c r="E45" s="8">
        <f>248*8*(A44/1979)</f>
        <v>252.63668519454271</v>
      </c>
      <c r="F45" s="30">
        <f>E45/A44</f>
        <v>1.0025265285497726</v>
      </c>
      <c r="G45" s="41">
        <f>D45/E45*F45</f>
        <v>3.968253968253968E-3</v>
      </c>
      <c r="H45" s="7">
        <v>54540</v>
      </c>
      <c r="I45" s="84">
        <f>H45*G45</f>
        <v>216.42857142857142</v>
      </c>
      <c r="K45" s="3"/>
    </row>
    <row r="46" spans="1:11" s="1" customFormat="1" ht="15.75" thickBot="1">
      <c r="A46" s="103"/>
      <c r="B46" s="19"/>
      <c r="C46" s="19"/>
      <c r="D46" s="19"/>
      <c r="E46" s="19"/>
      <c r="F46" s="19"/>
      <c r="G46" s="22"/>
      <c r="H46" s="43"/>
      <c r="I46" s="81">
        <f>SUM(I43:I45)</f>
        <v>427.14285714285711</v>
      </c>
      <c r="J46" s="3"/>
      <c r="K46" s="3"/>
    </row>
    <row r="47" spans="1:11" s="1" customFormat="1" ht="15.75" thickBot="1">
      <c r="A47" s="114"/>
      <c r="B47" s="64"/>
      <c r="C47" s="64"/>
      <c r="D47" s="64"/>
      <c r="E47" s="64"/>
      <c r="F47" s="64"/>
      <c r="G47" s="58" t="s">
        <v>79</v>
      </c>
      <c r="H47" s="65"/>
      <c r="I47" s="86">
        <v>0</v>
      </c>
      <c r="K47" s="3">
        <f>I47*A44</f>
        <v>0</v>
      </c>
    </row>
    <row r="48" spans="1:11" s="1" customFormat="1" ht="15.75" thickBot="1">
      <c r="A48" s="114"/>
      <c r="B48" s="64"/>
      <c r="C48" s="64"/>
      <c r="D48" s="64"/>
      <c r="E48" s="64"/>
      <c r="F48" s="64"/>
      <c r="G48" s="58" t="s">
        <v>77</v>
      </c>
      <c r="H48" s="65"/>
      <c r="I48" s="86">
        <f>I46-I47</f>
        <v>427.14285714285711</v>
      </c>
      <c r="J48" s="117">
        <v>107640</v>
      </c>
      <c r="K48" s="117">
        <f>I48*A44</f>
        <v>107639.99999999999</v>
      </c>
    </row>
    <row r="49" spans="1:11">
      <c r="A49" s="100" t="s">
        <v>97</v>
      </c>
      <c r="B49" s="14" t="s">
        <v>56</v>
      </c>
      <c r="C49" s="6" t="s">
        <v>17</v>
      </c>
      <c r="D49" s="6">
        <v>1</v>
      </c>
      <c r="E49" s="16">
        <f>248*8*(A50/1979)</f>
        <v>130.32844871147046</v>
      </c>
      <c r="F49" s="29">
        <f>E49/A50</f>
        <v>1.0025265285497726</v>
      </c>
      <c r="G49" s="42">
        <f>D49/E49*F49</f>
        <v>7.6923076923076919E-3</v>
      </c>
      <c r="H49" s="15">
        <f>25000</f>
        <v>25000</v>
      </c>
      <c r="I49" s="82">
        <f>H49*G49</f>
        <v>192.30769230769229</v>
      </c>
      <c r="J49" s="3"/>
      <c r="K49" s="3"/>
    </row>
    <row r="50" spans="1:11" s="1" customFormat="1" ht="14.45" customHeight="1">
      <c r="A50" s="101">
        <f>ком.усл!A45</f>
        <v>130</v>
      </c>
      <c r="B50" s="37" t="s">
        <v>80</v>
      </c>
      <c r="C50" s="6" t="s">
        <v>17</v>
      </c>
      <c r="D50" s="6">
        <v>1</v>
      </c>
      <c r="E50" s="8">
        <f>248*8*(A50/1979)</f>
        <v>130.32844871147046</v>
      </c>
      <c r="F50" s="30">
        <f>E50/A50</f>
        <v>1.0025265285497726</v>
      </c>
      <c r="G50" s="41">
        <f>D50/E50*F50</f>
        <v>7.6923076923076919E-3</v>
      </c>
      <c r="H50" s="7">
        <v>3600</v>
      </c>
      <c r="I50" s="84">
        <f>H50*G50</f>
        <v>27.69230769230769</v>
      </c>
      <c r="K50" s="3"/>
    </row>
    <row r="51" spans="1:11" s="1" customFormat="1">
      <c r="A51" s="101"/>
      <c r="B51" s="6" t="s">
        <v>81</v>
      </c>
      <c r="C51" s="6" t="s">
        <v>17</v>
      </c>
      <c r="D51" s="6">
        <v>1</v>
      </c>
      <c r="E51" s="8">
        <f>248*8*(A50/1979)</f>
        <v>130.32844871147046</v>
      </c>
      <c r="F51" s="30">
        <f>E51/A50</f>
        <v>1.0025265285497726</v>
      </c>
      <c r="G51" s="41">
        <f>D51/E51*F51</f>
        <v>7.6923076923076919E-3</v>
      </c>
      <c r="H51" s="7">
        <v>18560</v>
      </c>
      <c r="I51" s="84">
        <f>H51*G51</f>
        <v>142.76923076923077</v>
      </c>
      <c r="K51" s="3"/>
    </row>
    <row r="52" spans="1:11" s="1" customFormat="1" ht="15.75" thickBot="1">
      <c r="A52" s="103"/>
      <c r="B52" s="19"/>
      <c r="C52" s="19"/>
      <c r="D52" s="19"/>
      <c r="E52" s="19"/>
      <c r="F52" s="19"/>
      <c r="G52" s="22"/>
      <c r="H52" s="43"/>
      <c r="I52" s="81">
        <f>SUM(I49:I51)</f>
        <v>362.76923076923072</v>
      </c>
      <c r="J52" s="3"/>
      <c r="K52" s="3"/>
    </row>
    <row r="53" spans="1:11" s="1" customFormat="1" ht="15.75" thickBot="1">
      <c r="A53" s="114"/>
      <c r="B53" s="64"/>
      <c r="C53" s="64"/>
      <c r="D53" s="64"/>
      <c r="E53" s="64"/>
      <c r="F53" s="64"/>
      <c r="G53" s="58" t="s">
        <v>79</v>
      </c>
      <c r="H53" s="65"/>
      <c r="I53" s="86">
        <v>0</v>
      </c>
      <c r="K53" s="3">
        <f>I53*A50</f>
        <v>0</v>
      </c>
    </row>
    <row r="54" spans="1:11" s="1" customFormat="1" ht="15.75" thickBot="1">
      <c r="A54" s="114"/>
      <c r="B54" s="64"/>
      <c r="C54" s="64"/>
      <c r="D54" s="64"/>
      <c r="E54" s="64"/>
      <c r="F54" s="64"/>
      <c r="G54" s="58" t="s">
        <v>77</v>
      </c>
      <c r="H54" s="65"/>
      <c r="I54" s="86">
        <f>I52-I53</f>
        <v>362.76923076923072</v>
      </c>
      <c r="J54" s="117">
        <v>47160</v>
      </c>
      <c r="K54" s="117">
        <f>I54*A50</f>
        <v>47159.999999999993</v>
      </c>
    </row>
    <row r="55" spans="1:11">
      <c r="A55" s="100" t="s">
        <v>66</v>
      </c>
      <c r="B55" s="14" t="s">
        <v>56</v>
      </c>
      <c r="C55" s="6" t="s">
        <v>17</v>
      </c>
      <c r="D55" s="6">
        <v>1</v>
      </c>
      <c r="E55" s="16">
        <f>248*8*(A56/1979)</f>
        <v>125.31581606872159</v>
      </c>
      <c r="F55" s="29">
        <f>E55/A56</f>
        <v>1.0025265285497726</v>
      </c>
      <c r="G55" s="42">
        <f>D55/E55*F55</f>
        <v>8.0000000000000002E-3</v>
      </c>
      <c r="H55" s="15">
        <v>25000</v>
      </c>
      <c r="I55" s="82">
        <f>H55*G55</f>
        <v>200</v>
      </c>
      <c r="J55" s="3"/>
      <c r="K55" s="3"/>
    </row>
    <row r="56" spans="1:11" s="1" customFormat="1" ht="16.350000000000001" customHeight="1">
      <c r="A56" s="101">
        <f>ком.усл!A50</f>
        <v>125</v>
      </c>
      <c r="B56" s="37" t="s">
        <v>80</v>
      </c>
      <c r="C56" s="6" t="s">
        <v>17</v>
      </c>
      <c r="D56" s="6">
        <v>1</v>
      </c>
      <c r="E56" s="8">
        <f>248*8*(A56/1979)</f>
        <v>125.31581606872159</v>
      </c>
      <c r="F56" s="30">
        <f>E56/A56</f>
        <v>1.0025265285497726</v>
      </c>
      <c r="G56" s="41">
        <f>D56/E56*F56</f>
        <v>8.0000000000000002E-3</v>
      </c>
      <c r="H56" s="7">
        <v>6300</v>
      </c>
      <c r="I56" s="84">
        <f>H56*G56</f>
        <v>50.4</v>
      </c>
      <c r="K56" s="3"/>
    </row>
    <row r="57" spans="1:11" s="1" customFormat="1">
      <c r="A57" s="101"/>
      <c r="B57" s="6" t="s">
        <v>81</v>
      </c>
      <c r="C57" s="6" t="s">
        <v>17</v>
      </c>
      <c r="D57" s="6">
        <v>1</v>
      </c>
      <c r="E57" s="8">
        <f>248*8*(A56/1979)</f>
        <v>125.31581606872159</v>
      </c>
      <c r="F57" s="30">
        <f>E57/A56</f>
        <v>1.0025265285497726</v>
      </c>
      <c r="G57" s="41">
        <f>D57/E57*F57</f>
        <v>8.0000000000000002E-3</v>
      </c>
      <c r="H57" s="7">
        <v>32681.040000000001</v>
      </c>
      <c r="I57" s="84">
        <f>H57*G57</f>
        <v>261.44832000000002</v>
      </c>
      <c r="K57" s="3"/>
    </row>
    <row r="58" spans="1:11" s="1" customFormat="1" ht="15.75" thickBot="1">
      <c r="A58" s="103"/>
      <c r="B58" s="19"/>
      <c r="C58" s="19"/>
      <c r="D58" s="19"/>
      <c r="E58" s="19"/>
      <c r="F58" s="19"/>
      <c r="G58" s="22"/>
      <c r="H58" s="43"/>
      <c r="I58" s="81">
        <f>SUM(I55:I57)</f>
        <v>511.84832000000006</v>
      </c>
      <c r="J58" s="3"/>
      <c r="K58" s="3"/>
    </row>
    <row r="59" spans="1:11" s="1" customFormat="1" ht="15.75" thickBot="1">
      <c r="A59" s="114"/>
      <c r="B59" s="64"/>
      <c r="C59" s="64"/>
      <c r="D59" s="64"/>
      <c r="E59" s="64"/>
      <c r="F59" s="64"/>
      <c r="G59" s="58" t="s">
        <v>79</v>
      </c>
      <c r="H59" s="65"/>
      <c r="I59" s="86">
        <v>0</v>
      </c>
      <c r="K59" s="3">
        <f>I59*A56</f>
        <v>0</v>
      </c>
    </row>
    <row r="60" spans="1:11" s="1" customFormat="1" ht="15.75" thickBot="1">
      <c r="A60" s="114"/>
      <c r="B60" s="64"/>
      <c r="C60" s="64"/>
      <c r="D60" s="64"/>
      <c r="E60" s="64"/>
      <c r="F60" s="64"/>
      <c r="G60" s="58" t="s">
        <v>77</v>
      </c>
      <c r="H60" s="65"/>
      <c r="I60" s="86">
        <f>I58-I59</f>
        <v>511.84832000000006</v>
      </c>
      <c r="J60" s="117">
        <v>63981.04</v>
      </c>
      <c r="K60" s="117">
        <f>I60*A56</f>
        <v>63981.040000000008</v>
      </c>
    </row>
    <row r="61" spans="1:11" ht="15.75" thickBot="1">
      <c r="I61" s="77"/>
    </row>
    <row r="62" spans="1:11">
      <c r="A62" s="100" t="s">
        <v>68</v>
      </c>
      <c r="B62" s="14" t="s">
        <v>56</v>
      </c>
      <c r="C62" s="6" t="s">
        <v>17</v>
      </c>
      <c r="D62" s="6">
        <v>1</v>
      </c>
      <c r="E62" s="16">
        <f>248*8*(A63/1979)</f>
        <v>191.48256695300657</v>
      </c>
      <c r="F62" s="29">
        <f>E62/A63</f>
        <v>1.0025265285497726</v>
      </c>
      <c r="G62" s="42">
        <f>D62/E62*F62</f>
        <v>5.235602094240838E-3</v>
      </c>
      <c r="H62" s="15">
        <v>45000</v>
      </c>
      <c r="I62" s="82">
        <f>H62*G62</f>
        <v>235.60209424083772</v>
      </c>
      <c r="J62" s="3"/>
      <c r="K62" s="3"/>
    </row>
    <row r="63" spans="1:11" s="1" customFormat="1" ht="14.45" customHeight="1">
      <c r="A63" s="101">
        <f>ком.усл!A60</f>
        <v>191</v>
      </c>
      <c r="B63" s="37" t="s">
        <v>80</v>
      </c>
      <c r="C63" s="6" t="s">
        <v>17</v>
      </c>
      <c r="D63" s="6">
        <v>1</v>
      </c>
      <c r="E63" s="8">
        <f>248*8*(A63/1979)</f>
        <v>191.48256695300657</v>
      </c>
      <c r="F63" s="30">
        <f>E63/A63</f>
        <v>1.0025265285497726</v>
      </c>
      <c r="G63" s="41">
        <f>D63/E63*F63</f>
        <v>5.235602094240838E-3</v>
      </c>
      <c r="H63" s="7">
        <v>8550</v>
      </c>
      <c r="I63" s="84">
        <f>H63*G63</f>
        <v>44.764397905759168</v>
      </c>
      <c r="K63" s="3"/>
    </row>
    <row r="64" spans="1:11" s="1" customFormat="1">
      <c r="A64" s="101"/>
      <c r="B64" s="6" t="s">
        <v>81</v>
      </c>
      <c r="C64" s="6" t="s">
        <v>17</v>
      </c>
      <c r="D64" s="6">
        <v>1</v>
      </c>
      <c r="E64" s="8">
        <f>248*8*(A63/1979)</f>
        <v>191.48256695300657</v>
      </c>
      <c r="F64" s="30">
        <f>E64/A63</f>
        <v>1.0025265285497726</v>
      </c>
      <c r="G64" s="41">
        <f>D64/E64*F64</f>
        <v>5.235602094240838E-3</v>
      </c>
      <c r="H64" s="7">
        <v>47581</v>
      </c>
      <c r="I64" s="84">
        <f>H64*G64</f>
        <v>249.11518324607331</v>
      </c>
      <c r="K64" s="3"/>
    </row>
    <row r="65" spans="1:11" s="1" customFormat="1" ht="15.75" thickBot="1">
      <c r="A65" s="103"/>
      <c r="B65" s="19"/>
      <c r="C65" s="19"/>
      <c r="D65" s="19"/>
      <c r="E65" s="19"/>
      <c r="F65" s="19"/>
      <c r="G65" s="22"/>
      <c r="H65" s="43"/>
      <c r="I65" s="81">
        <f>SUM(I62:I64)</f>
        <v>529.48167539267024</v>
      </c>
      <c r="J65" s="3"/>
      <c r="K65" s="3"/>
    </row>
    <row r="66" spans="1:11" s="1" customFormat="1" ht="15.75" thickBot="1">
      <c r="A66" s="114"/>
      <c r="B66" s="64"/>
      <c r="C66" s="64"/>
      <c r="D66" s="64"/>
      <c r="E66" s="64"/>
      <c r="F66" s="64"/>
      <c r="G66" s="58" t="s">
        <v>79</v>
      </c>
      <c r="H66" s="65"/>
      <c r="I66" s="86">
        <v>0</v>
      </c>
      <c r="K66" s="3">
        <f>I66*A63</f>
        <v>0</v>
      </c>
    </row>
    <row r="67" spans="1:11" s="1" customFormat="1" ht="15.75" thickBot="1">
      <c r="A67" s="114"/>
      <c r="B67" s="64"/>
      <c r="C67" s="64"/>
      <c r="D67" s="64"/>
      <c r="E67" s="64"/>
      <c r="F67" s="64"/>
      <c r="G67" s="58" t="s">
        <v>77</v>
      </c>
      <c r="H67" s="65"/>
      <c r="I67" s="86">
        <f>I65-I66</f>
        <v>529.48167539267024</v>
      </c>
      <c r="J67" s="117">
        <v>101131</v>
      </c>
      <c r="K67" s="117">
        <f>I67*A63</f>
        <v>101131.00000000001</v>
      </c>
    </row>
    <row r="68" spans="1:11">
      <c r="A68" s="100" t="s">
        <v>67</v>
      </c>
      <c r="B68" s="14" t="s">
        <v>56</v>
      </c>
      <c r="C68" s="6" t="s">
        <v>17</v>
      </c>
      <c r="D68" s="6">
        <v>1</v>
      </c>
      <c r="E68" s="16">
        <f>248*8*(A69/1979)</f>
        <v>257.64931783729156</v>
      </c>
      <c r="F68" s="29">
        <f>E68/A69</f>
        <v>1.0025265285497726</v>
      </c>
      <c r="G68" s="42">
        <f>D68/E68*F68</f>
        <v>3.8910505836575876E-3</v>
      </c>
      <c r="H68" s="15">
        <v>45000</v>
      </c>
      <c r="I68" s="82">
        <f>H68*G68</f>
        <v>175.09727626459144</v>
      </c>
      <c r="J68" s="3"/>
      <c r="K68" s="3"/>
    </row>
    <row r="69" spans="1:11" s="1" customFormat="1" ht="13.7" customHeight="1">
      <c r="A69" s="101">
        <f>ком.усл!A55</f>
        <v>257</v>
      </c>
      <c r="B69" s="37" t="s">
        <v>80</v>
      </c>
      <c r="C69" s="6" t="s">
        <v>17</v>
      </c>
      <c r="D69" s="6">
        <v>1</v>
      </c>
      <c r="E69" s="8">
        <f>248*8*(A69/1979)</f>
        <v>257.64931783729156</v>
      </c>
      <c r="F69" s="30">
        <f>E69/A69</f>
        <v>1.0025265285497726</v>
      </c>
      <c r="G69" s="41">
        <f>D69/E69*F69</f>
        <v>3.8910505836575876E-3</v>
      </c>
      <c r="H69" s="7">
        <v>9000</v>
      </c>
      <c r="I69" s="84">
        <f>H69*G69</f>
        <v>35.019455252918291</v>
      </c>
      <c r="K69" s="3"/>
    </row>
    <row r="70" spans="1:11" s="1" customFormat="1">
      <c r="A70" s="101"/>
      <c r="B70" s="6" t="s">
        <v>81</v>
      </c>
      <c r="C70" s="6" t="s">
        <v>17</v>
      </c>
      <c r="D70" s="6">
        <v>1</v>
      </c>
      <c r="E70" s="8">
        <f>248*8*(A69/1979)</f>
        <v>257.64931783729156</v>
      </c>
      <c r="F70" s="30">
        <f>E70/A69</f>
        <v>1.0025265285497726</v>
      </c>
      <c r="G70" s="41">
        <f>D70/E70*F70</f>
        <v>3.8910505836575876E-3</v>
      </c>
      <c r="H70" s="7">
        <v>58580.2</v>
      </c>
      <c r="I70" s="84">
        <f>H70*G70</f>
        <v>227.9385214007782</v>
      </c>
      <c r="K70" s="3"/>
    </row>
    <row r="71" spans="1:11" s="1" customFormat="1" ht="15.75" thickBot="1">
      <c r="A71" s="103"/>
      <c r="B71" s="19"/>
      <c r="C71" s="19"/>
      <c r="D71" s="19"/>
      <c r="E71" s="19"/>
      <c r="F71" s="19"/>
      <c r="G71" s="22"/>
      <c r="H71" s="43"/>
      <c r="I71" s="81">
        <f>SUM(I68:I70)</f>
        <v>438.05525291828792</v>
      </c>
      <c r="J71" s="3"/>
      <c r="K71" s="3"/>
    </row>
    <row r="72" spans="1:11" s="1" customFormat="1" ht="15.75" thickBot="1">
      <c r="A72" s="114"/>
      <c r="B72" s="64"/>
      <c r="C72" s="64"/>
      <c r="D72" s="64"/>
      <c r="E72" s="64"/>
      <c r="F72" s="64"/>
      <c r="G72" s="58" t="s">
        <v>79</v>
      </c>
      <c r="H72" s="65"/>
      <c r="I72" s="86">
        <v>0</v>
      </c>
      <c r="K72" s="3">
        <f>I72*A69</f>
        <v>0</v>
      </c>
    </row>
    <row r="73" spans="1:11" s="1" customFormat="1" ht="15.75" thickBot="1">
      <c r="A73" s="114"/>
      <c r="B73" s="64"/>
      <c r="C73" s="64"/>
      <c r="D73" s="64"/>
      <c r="E73" s="64"/>
      <c r="F73" s="64"/>
      <c r="G73" s="58" t="s">
        <v>77</v>
      </c>
      <c r="H73" s="65"/>
      <c r="I73" s="86">
        <f>I71-I72</f>
        <v>438.05525291828792</v>
      </c>
      <c r="J73" s="117">
        <v>112580.2</v>
      </c>
      <c r="K73" s="117">
        <f>I73*A69</f>
        <v>112580.2</v>
      </c>
    </row>
    <row r="74" spans="1:11" ht="15.75" thickBot="1">
      <c r="E74" s="53"/>
      <c r="I74" s="77"/>
    </row>
    <row r="75" spans="1:11">
      <c r="A75" s="100" t="s">
        <v>69</v>
      </c>
      <c r="B75" s="14" t="s">
        <v>56</v>
      </c>
      <c r="C75" s="6" t="s">
        <v>17</v>
      </c>
      <c r="D75" s="6">
        <v>1</v>
      </c>
      <c r="E75" s="16">
        <f>248*8*(A76/1979)</f>
        <v>317.80090955027794</v>
      </c>
      <c r="F75" s="29">
        <f>E75/A76</f>
        <v>1.0025265285497726</v>
      </c>
      <c r="G75" s="42">
        <f>D75/E75*F75</f>
        <v>3.1545741324921135E-3</v>
      </c>
      <c r="H75" s="15">
        <v>30000</v>
      </c>
      <c r="I75" s="82">
        <f>H75*G75</f>
        <v>94.637223974763401</v>
      </c>
      <c r="J75" s="3"/>
      <c r="K75" s="3"/>
    </row>
    <row r="76" spans="1:11" s="1" customFormat="1" ht="33" customHeight="1">
      <c r="A76" s="101">
        <f>ком.усл!A66</f>
        <v>317</v>
      </c>
      <c r="B76" s="37" t="s">
        <v>57</v>
      </c>
      <c r="C76" s="6" t="s">
        <v>17</v>
      </c>
      <c r="D76" s="6">
        <v>1</v>
      </c>
      <c r="E76" s="8">
        <f>248*8*(A76/1979)</f>
        <v>317.80090955027794</v>
      </c>
      <c r="F76" s="30">
        <f>E76/A76</f>
        <v>1.0025265285497726</v>
      </c>
      <c r="G76" s="41">
        <f>D76/E76*F76</f>
        <v>3.1545741324921135E-3</v>
      </c>
      <c r="H76" s="7">
        <v>30000</v>
      </c>
      <c r="I76" s="84">
        <f>H76*G76</f>
        <v>94.637223974763401</v>
      </c>
      <c r="K76" s="3"/>
    </row>
    <row r="77" spans="1:11" s="1" customFormat="1">
      <c r="A77" s="101"/>
      <c r="B77" s="6" t="s">
        <v>80</v>
      </c>
      <c r="C77" s="6" t="s">
        <v>17</v>
      </c>
      <c r="D77" s="6">
        <v>1</v>
      </c>
      <c r="E77" s="8">
        <f>248*8*(A76/1979)</f>
        <v>317.80090955027794</v>
      </c>
      <c r="F77" s="30">
        <f>E77/A76</f>
        <v>1.0025265285497726</v>
      </c>
      <c r="G77" s="41">
        <f>D77/E77*F77</f>
        <v>3.1545741324921135E-3</v>
      </c>
      <c r="H77" s="7">
        <v>11700</v>
      </c>
      <c r="I77" s="84">
        <f>H77*G77</f>
        <v>36.90851735015773</v>
      </c>
      <c r="K77" s="3"/>
    </row>
    <row r="78" spans="1:11" s="1" customFormat="1">
      <c r="A78" s="101"/>
      <c r="B78" s="6" t="s">
        <v>81</v>
      </c>
      <c r="C78" s="6" t="s">
        <v>17</v>
      </c>
      <c r="D78" s="6">
        <v>1</v>
      </c>
      <c r="E78" s="8">
        <f>248*8*(A76/1979)</f>
        <v>317.80090955027794</v>
      </c>
      <c r="F78" s="30">
        <f>E78/A76</f>
        <v>1.0025265285497726</v>
      </c>
      <c r="G78" s="41">
        <f>D78/E78*F78</f>
        <v>3.1545741324921135E-3</v>
      </c>
      <c r="H78" s="7">
        <v>72222.8</v>
      </c>
      <c r="I78" s="84">
        <f>H78*G78</f>
        <v>227.83217665615143</v>
      </c>
      <c r="K78" s="3"/>
    </row>
    <row r="79" spans="1:11" s="1" customFormat="1" ht="15.75" thickBot="1">
      <c r="A79" s="103"/>
      <c r="B79" s="19"/>
      <c r="C79" s="19"/>
      <c r="D79" s="19"/>
      <c r="E79" s="19"/>
      <c r="F79" s="19"/>
      <c r="G79" s="22"/>
      <c r="H79" s="43"/>
      <c r="I79" s="81">
        <f>SUM(I75:I78)</f>
        <v>454.01514195583593</v>
      </c>
      <c r="J79" s="3"/>
      <c r="K79" s="3"/>
    </row>
    <row r="80" spans="1:11" s="1" customFormat="1" ht="15.75" thickBot="1">
      <c r="A80" s="114"/>
      <c r="B80" s="64"/>
      <c r="C80" s="64"/>
      <c r="D80" s="64"/>
      <c r="E80" s="64"/>
      <c r="F80" s="64"/>
      <c r="G80" s="58" t="s">
        <v>79</v>
      </c>
      <c r="H80" s="65"/>
      <c r="I80" s="86">
        <v>0</v>
      </c>
      <c r="K80" s="3">
        <f>I80*A76</f>
        <v>0</v>
      </c>
    </row>
    <row r="81" spans="1:11" s="1" customFormat="1" ht="15.75" thickBot="1">
      <c r="A81" s="114"/>
      <c r="B81" s="64"/>
      <c r="C81" s="64"/>
      <c r="D81" s="64"/>
      <c r="E81" s="64"/>
      <c r="F81" s="64"/>
      <c r="G81" s="58" t="s">
        <v>77</v>
      </c>
      <c r="H81" s="65"/>
      <c r="I81" s="86">
        <f>I79-I80</f>
        <v>454.01514195583593</v>
      </c>
      <c r="J81" s="117">
        <v>143922.79999999999</v>
      </c>
      <c r="K81" s="117">
        <f>I81*A76</f>
        <v>143922.79999999999</v>
      </c>
    </row>
    <row r="82" spans="1:11">
      <c r="A82" s="100" t="s">
        <v>70</v>
      </c>
      <c r="B82" s="14" t="s">
        <v>56</v>
      </c>
      <c r="C82" s="6" t="s">
        <v>17</v>
      </c>
      <c r="D82" s="6">
        <v>1</v>
      </c>
      <c r="E82" s="16">
        <f>248*8*(A83/1979)</f>
        <v>402.01313794845879</v>
      </c>
      <c r="F82" s="29">
        <f>E82/A83</f>
        <v>1.0025265285497726</v>
      </c>
      <c r="G82" s="42">
        <f>D82/E82*F82</f>
        <v>2.4937655860349127E-3</v>
      </c>
      <c r="H82" s="15">
        <v>30000</v>
      </c>
      <c r="I82" s="82">
        <f>H82*G82</f>
        <v>74.812967581047374</v>
      </c>
      <c r="J82" s="3"/>
      <c r="K82" s="3"/>
    </row>
    <row r="83" spans="1:11" s="1" customFormat="1" ht="33" customHeight="1">
      <c r="A83" s="101">
        <f>ком.усл!A71</f>
        <v>401</v>
      </c>
      <c r="B83" s="37" t="s">
        <v>57</v>
      </c>
      <c r="C83" s="6" t="s">
        <v>17</v>
      </c>
      <c r="D83" s="6">
        <v>1</v>
      </c>
      <c r="E83" s="8">
        <f>248*8*(A83/1979)</f>
        <v>402.01313794845879</v>
      </c>
      <c r="F83" s="30">
        <f>E83/A83</f>
        <v>1.0025265285497726</v>
      </c>
      <c r="G83" s="41">
        <f>D83/E83*F83</f>
        <v>2.4937655860349127E-3</v>
      </c>
      <c r="H83" s="7">
        <v>90000</v>
      </c>
      <c r="I83" s="84">
        <f>H83*G83</f>
        <v>224.43890274314214</v>
      </c>
      <c r="K83" s="3"/>
    </row>
    <row r="84" spans="1:11" s="1" customFormat="1">
      <c r="A84" s="101"/>
      <c r="B84" s="6" t="s">
        <v>80</v>
      </c>
      <c r="C84" s="6" t="s">
        <v>17</v>
      </c>
      <c r="D84" s="6">
        <v>1</v>
      </c>
      <c r="E84" s="8">
        <f>248*8*(A83/1979)</f>
        <v>402.01313794845879</v>
      </c>
      <c r="F84" s="30">
        <f>E84/A83</f>
        <v>1.0025265285497726</v>
      </c>
      <c r="G84" s="41">
        <f>D84/E84*F84</f>
        <v>2.4937655860349127E-3</v>
      </c>
      <c r="H84" s="7">
        <v>12600</v>
      </c>
      <c r="I84" s="84">
        <f>H84*G84</f>
        <v>31.4214463840399</v>
      </c>
      <c r="K84" s="3"/>
    </row>
    <row r="85" spans="1:11" s="1" customFormat="1">
      <c r="A85" s="101"/>
      <c r="B85" s="6" t="s">
        <v>81</v>
      </c>
      <c r="C85" s="6" t="s">
        <v>17</v>
      </c>
      <c r="D85" s="6">
        <v>1</v>
      </c>
      <c r="E85" s="8">
        <f>248*8*(A83/1979)</f>
        <v>402.01313794845879</v>
      </c>
      <c r="F85" s="30">
        <f>E85/A83</f>
        <v>1.0025265285497726</v>
      </c>
      <c r="G85" s="41">
        <f>D85/E85*F85</f>
        <v>2.4937655860349127E-3</v>
      </c>
      <c r="H85" s="7">
        <v>129566.32</v>
      </c>
      <c r="I85" s="84">
        <f>H85*G85</f>
        <v>323.10802992518705</v>
      </c>
      <c r="K85" s="3"/>
    </row>
    <row r="86" spans="1:11" s="1" customFormat="1" ht="15.75" thickBot="1">
      <c r="A86" s="103"/>
      <c r="B86" s="19"/>
      <c r="C86" s="19"/>
      <c r="D86" s="19"/>
      <c r="E86" s="19"/>
      <c r="F86" s="19"/>
      <c r="G86" s="22"/>
      <c r="H86" s="43"/>
      <c r="I86" s="81">
        <f>SUM(I82:I85)</f>
        <v>653.78134663341643</v>
      </c>
      <c r="J86" s="3"/>
      <c r="K86" s="3"/>
    </row>
    <row r="87" spans="1:11" s="1" customFormat="1" ht="15.75" thickBot="1">
      <c r="A87" s="114"/>
      <c r="B87" s="64"/>
      <c r="C87" s="64"/>
      <c r="D87" s="64"/>
      <c r="E87" s="64"/>
      <c r="F87" s="64"/>
      <c r="G87" s="58" t="s">
        <v>79</v>
      </c>
      <c r="H87" s="65"/>
      <c r="I87" s="86">
        <v>0</v>
      </c>
      <c r="K87" s="3">
        <f>I87*A83</f>
        <v>0</v>
      </c>
    </row>
    <row r="88" spans="1:11" s="1" customFormat="1" ht="15.75" thickBot="1">
      <c r="A88" s="114"/>
      <c r="B88" s="64"/>
      <c r="C88" s="64"/>
      <c r="D88" s="64"/>
      <c r="E88" s="64"/>
      <c r="F88" s="64"/>
      <c r="G88" s="58" t="s">
        <v>77</v>
      </c>
      <c r="H88" s="65"/>
      <c r="I88" s="86">
        <f>I86-I87</f>
        <v>653.78134663341643</v>
      </c>
      <c r="J88" s="117">
        <v>262166.32</v>
      </c>
      <c r="K88" s="117">
        <f>I88*A83</f>
        <v>262166.32</v>
      </c>
    </row>
  </sheetData>
  <mergeCells count="1">
    <mergeCell ref="A3:H3"/>
  </mergeCells>
  <pageMargins left="0.31496062992125984" right="0" top="0.15748031496062992" bottom="0" header="0.31496062992125984" footer="0.31496062992125984"/>
  <pageSetup paperSize="9" scale="9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ком.усл</vt:lpstr>
      <vt:lpstr>сод.недв.им.</vt:lpstr>
      <vt:lpstr>сод.ОЦДИ</vt:lpstr>
      <vt:lpstr>з.пл.</vt:lpstr>
      <vt:lpstr>прочие общ.х.н</vt:lpstr>
      <vt:lpstr>з.пл.!Заголовки_для_печати</vt:lpstr>
      <vt:lpstr>ком.усл!Заголовки_для_печати</vt:lpstr>
      <vt:lpstr>'прочие общ.х.н'!Заголовки_для_печати</vt:lpstr>
      <vt:lpstr>сод.недв.им.!Заголовки_для_печати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2021-01-12T05:04:58Z</dcterms:modified>
</cp:coreProperties>
</file>