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59" activeTab="1"/>
  </bookViews>
  <sheets>
    <sheet name="СВОД" sheetId="12" r:id="rId1"/>
    <sheet name="Услуга №1" sheetId="8" r:id="rId2"/>
    <sheet name="Услуга №2 " sheetId="4" r:id="rId3"/>
    <sheet name="Услуга №3" sheetId="14" r:id="rId4"/>
  </sheets>
  <calcPr calcId="162913"/>
</workbook>
</file>

<file path=xl/calcChain.xml><?xml version="1.0" encoding="utf-8"?>
<calcChain xmlns="http://schemas.openxmlformats.org/spreadsheetml/2006/main">
  <c r="B2" i="12" l="1"/>
  <c r="A2" i="12"/>
  <c r="I58" i="8"/>
  <c r="I69" i="8"/>
  <c r="I50" i="8"/>
  <c r="I68" i="8" l="1"/>
  <c r="I67" i="8"/>
  <c r="I66" i="8"/>
  <c r="I65" i="8"/>
  <c r="I64" i="8"/>
  <c r="I63" i="8"/>
  <c r="I77" i="8"/>
  <c r="I76" i="8"/>
  <c r="I75" i="8"/>
  <c r="I74" i="8"/>
  <c r="I95" i="8"/>
  <c r="I94" i="8"/>
  <c r="I106" i="8"/>
  <c r="I112" i="8"/>
  <c r="A134" i="14"/>
  <c r="F131" i="14"/>
  <c r="I123" i="14"/>
  <c r="I122" i="14"/>
  <c r="I124" i="14" s="1"/>
  <c r="I117" i="14"/>
  <c r="J116" i="14"/>
  <c r="J118" i="14" s="1"/>
  <c r="I116" i="14"/>
  <c r="K116" i="14" s="1"/>
  <c r="J111" i="14"/>
  <c r="I111" i="14"/>
  <c r="K110" i="14"/>
  <c r="I105" i="14"/>
  <c r="I104" i="14"/>
  <c r="I100" i="14"/>
  <c r="F99" i="14"/>
  <c r="F98" i="14"/>
  <c r="F97" i="14"/>
  <c r="I92" i="14"/>
  <c r="H92" i="14"/>
  <c r="I91" i="14"/>
  <c r="A91" i="14"/>
  <c r="I90" i="14"/>
  <c r="H90" i="14"/>
  <c r="A90" i="14"/>
  <c r="I89" i="14"/>
  <c r="H89" i="14"/>
  <c r="I85" i="14"/>
  <c r="I84" i="14"/>
  <c r="I79" i="14"/>
  <c r="I78" i="14"/>
  <c r="I77" i="14"/>
  <c r="I76" i="14"/>
  <c r="I75" i="14"/>
  <c r="I74" i="14"/>
  <c r="I80" i="14" s="1"/>
  <c r="I73" i="14"/>
  <c r="I68" i="14"/>
  <c r="I67" i="14"/>
  <c r="I66" i="14"/>
  <c r="I65" i="14"/>
  <c r="I64" i="14"/>
  <c r="I69" i="14" s="1"/>
  <c r="I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J42" i="14"/>
  <c r="J43" i="14" s="1"/>
  <c r="J44" i="14" s="1"/>
  <c r="J45" i="14" s="1"/>
  <c r="J46" i="14" s="1"/>
  <c r="J47" i="14" s="1"/>
  <c r="J48" i="14" s="1"/>
  <c r="J49" i="14" s="1"/>
  <c r="J50" i="14" s="1"/>
  <c r="J51" i="14" s="1"/>
  <c r="J52" i="14" s="1"/>
  <c r="J53" i="14" s="1"/>
  <c r="J54" i="14" s="1"/>
  <c r="J55" i="14" s="1"/>
  <c r="J56" i="14" s="1"/>
  <c r="J57" i="14" s="1"/>
  <c r="J58" i="14" s="1"/>
  <c r="J59" i="14" s="1"/>
  <c r="F42" i="14"/>
  <c r="F37" i="14"/>
  <c r="G59" i="14" s="1"/>
  <c r="F36" i="14"/>
  <c r="G58" i="14" s="1"/>
  <c r="F35" i="14"/>
  <c r="G57" i="14" s="1"/>
  <c r="F34" i="14"/>
  <c r="G56" i="14" s="1"/>
  <c r="F33" i="14"/>
  <c r="G55" i="14" s="1"/>
  <c r="F32" i="14"/>
  <c r="G54" i="14" s="1"/>
  <c r="F31" i="14"/>
  <c r="G53" i="14" s="1"/>
  <c r="F30" i="14"/>
  <c r="G52" i="14" s="1"/>
  <c r="F29" i="14"/>
  <c r="G51" i="14" s="1"/>
  <c r="F28" i="14"/>
  <c r="G50" i="14" s="1"/>
  <c r="F27" i="14"/>
  <c r="G49" i="14" s="1"/>
  <c r="F26" i="14"/>
  <c r="G48" i="14" s="1"/>
  <c r="F25" i="14"/>
  <c r="G47" i="14" s="1"/>
  <c r="F24" i="14"/>
  <c r="G46" i="14" s="1"/>
  <c r="F23" i="14"/>
  <c r="G45" i="14" s="1"/>
  <c r="L22" i="14"/>
  <c r="G99" i="14" s="1"/>
  <c r="F22" i="14"/>
  <c r="G44" i="14" s="1"/>
  <c r="L21" i="14"/>
  <c r="G98" i="14" s="1"/>
  <c r="H98" i="14" s="1"/>
  <c r="I98" i="14" s="1"/>
  <c r="F21" i="14"/>
  <c r="G43" i="14" s="1"/>
  <c r="L20" i="14"/>
  <c r="G97" i="14" s="1"/>
  <c r="G100" i="14" s="1"/>
  <c r="F20" i="14"/>
  <c r="G42" i="14" s="1"/>
  <c r="J125" i="4"/>
  <c r="J119" i="4"/>
  <c r="J117" i="4"/>
  <c r="I123" i="4"/>
  <c r="I117" i="4"/>
  <c r="I107" i="4"/>
  <c r="I106" i="4"/>
  <c r="I105" i="4"/>
  <c r="I92" i="4"/>
  <c r="I91" i="4"/>
  <c r="I90" i="4"/>
  <c r="I89" i="4"/>
  <c r="I79" i="4"/>
  <c r="I78" i="4"/>
  <c r="I77" i="4"/>
  <c r="K111" i="14" l="1"/>
  <c r="I112" i="14"/>
  <c r="J117" i="14"/>
  <c r="H97" i="14"/>
  <c r="I97" i="14" s="1"/>
  <c r="H99" i="14"/>
  <c r="I99" i="14" s="1"/>
  <c r="K117" i="14"/>
  <c r="K118" i="14" s="1"/>
  <c r="I118" i="14"/>
  <c r="J122" i="14"/>
  <c r="G60" i="14"/>
  <c r="F38" i="14"/>
  <c r="H42" i="14"/>
  <c r="I42" i="14" s="1"/>
  <c r="K42" i="14" s="1"/>
  <c r="I106" i="14"/>
  <c r="L38" i="14"/>
  <c r="J64" i="14"/>
  <c r="J65" i="14" s="1"/>
  <c r="J60" i="14"/>
  <c r="K60" i="14" s="1"/>
  <c r="A129" i="14" s="1"/>
  <c r="H43" i="14"/>
  <c r="I43" i="14" s="1"/>
  <c r="K43" i="14" s="1"/>
  <c r="H44" i="14"/>
  <c r="I44" i="14" s="1"/>
  <c r="K44" i="14" s="1"/>
  <c r="H45" i="14"/>
  <c r="I45" i="14" s="1"/>
  <c r="K45" i="14" s="1"/>
  <c r="H46" i="14"/>
  <c r="I46" i="14" s="1"/>
  <c r="K46" i="14" s="1"/>
  <c r="H47" i="14"/>
  <c r="I47" i="14" s="1"/>
  <c r="K47" i="14" s="1"/>
  <c r="H48" i="14"/>
  <c r="I48" i="14" s="1"/>
  <c r="K48" i="14" s="1"/>
  <c r="H49" i="14"/>
  <c r="I49" i="14" s="1"/>
  <c r="K49" i="14" s="1"/>
  <c r="H50" i="14"/>
  <c r="I50" i="14" s="1"/>
  <c r="K50" i="14" s="1"/>
  <c r="H51" i="14"/>
  <c r="I51" i="14" s="1"/>
  <c r="K51" i="14" s="1"/>
  <c r="H52" i="14"/>
  <c r="I52" i="14" s="1"/>
  <c r="K52" i="14" s="1"/>
  <c r="H53" i="14"/>
  <c r="I53" i="14" s="1"/>
  <c r="K53" i="14" s="1"/>
  <c r="H54" i="14"/>
  <c r="I54" i="14" s="1"/>
  <c r="K54" i="14" s="1"/>
  <c r="H55" i="14"/>
  <c r="I55" i="14" s="1"/>
  <c r="K55" i="14" s="1"/>
  <c r="H56" i="14"/>
  <c r="I56" i="14" s="1"/>
  <c r="K56" i="14" s="1"/>
  <c r="H57" i="14"/>
  <c r="I57" i="14" s="1"/>
  <c r="K57" i="14" s="1"/>
  <c r="H58" i="14"/>
  <c r="I58" i="14" s="1"/>
  <c r="K58" i="14" s="1"/>
  <c r="H59" i="14"/>
  <c r="I59" i="14" s="1"/>
  <c r="K59" i="14" s="1"/>
  <c r="K64" i="14"/>
  <c r="I93" i="14"/>
  <c r="K112" i="14"/>
  <c r="K122" i="14"/>
  <c r="I76" i="4"/>
  <c r="I75" i="4"/>
  <c r="I74" i="4"/>
  <c r="I73" i="4"/>
  <c r="I68" i="4"/>
  <c r="I67" i="4"/>
  <c r="I66" i="4"/>
  <c r="I65" i="4"/>
  <c r="I64" i="4"/>
  <c r="I57" i="8"/>
  <c r="I56" i="8"/>
  <c r="I55" i="8"/>
  <c r="I54" i="8"/>
  <c r="I90" i="8"/>
  <c r="M50" i="8" s="1"/>
  <c r="N50" i="8" s="1"/>
  <c r="J123" i="14" l="1"/>
  <c r="K123" i="14" s="1"/>
  <c r="K124" i="14" s="1"/>
  <c r="J129" i="14" s="1"/>
  <c r="J124" i="14"/>
  <c r="J67" i="14"/>
  <c r="J66" i="14"/>
  <c r="K65" i="14"/>
  <c r="I132" i="14"/>
  <c r="F25" i="4"/>
  <c r="J69" i="14" l="1"/>
  <c r="K69" i="14" s="1"/>
  <c r="D129" i="14" s="1"/>
  <c r="J73" i="14"/>
  <c r="K67" i="14"/>
  <c r="J68" i="14"/>
  <c r="K68" i="14" s="1"/>
  <c r="K66" i="14"/>
  <c r="F27" i="4"/>
  <c r="L23" i="8"/>
  <c r="F30" i="4"/>
  <c r="L24" i="8"/>
  <c r="F28" i="4"/>
  <c r="F26" i="4"/>
  <c r="L21" i="4"/>
  <c r="L22" i="4"/>
  <c r="L20" i="4"/>
  <c r="F21" i="4"/>
  <c r="F22" i="4"/>
  <c r="F23" i="4"/>
  <c r="F24" i="4"/>
  <c r="F29" i="4"/>
  <c r="F31" i="4"/>
  <c r="F32" i="4"/>
  <c r="F33" i="4"/>
  <c r="F34" i="4"/>
  <c r="F35" i="4"/>
  <c r="F36" i="4"/>
  <c r="F37" i="4"/>
  <c r="F20" i="4"/>
  <c r="F24" i="8"/>
  <c r="F23" i="8"/>
  <c r="F22" i="8"/>
  <c r="L20" i="8"/>
  <c r="L21" i="8"/>
  <c r="L22" i="8"/>
  <c r="L25" i="8"/>
  <c r="L19" i="8"/>
  <c r="F20" i="8"/>
  <c r="F21" i="8"/>
  <c r="F25" i="8"/>
  <c r="F26" i="8"/>
  <c r="F27" i="8"/>
  <c r="F28" i="8"/>
  <c r="F29" i="8"/>
  <c r="F30" i="8"/>
  <c r="F31" i="8"/>
  <c r="F19" i="8"/>
  <c r="F32" i="8" s="1"/>
  <c r="G50" i="8" s="1"/>
  <c r="J74" i="14" l="1"/>
  <c r="K73" i="14"/>
  <c r="I59" i="8"/>
  <c r="M59" i="8" s="1"/>
  <c r="J75" i="14" l="1"/>
  <c r="K74" i="14"/>
  <c r="F132" i="4"/>
  <c r="I125" i="4"/>
  <c r="I124" i="4"/>
  <c r="I118" i="4"/>
  <c r="I119" i="4" s="1"/>
  <c r="J123" i="4"/>
  <c r="J112" i="4"/>
  <c r="I112" i="4"/>
  <c r="I113" i="4" s="1"/>
  <c r="K111" i="4"/>
  <c r="I113" i="8"/>
  <c r="I107" i="8"/>
  <c r="I108" i="8" s="1"/>
  <c r="M108" i="8" s="1"/>
  <c r="I101" i="8"/>
  <c r="I102" i="8" s="1"/>
  <c r="I69" i="4"/>
  <c r="J78" i="14" l="1"/>
  <c r="J76" i="14"/>
  <c r="J77" i="14"/>
  <c r="K75" i="14"/>
  <c r="M102" i="8"/>
  <c r="J124" i="4"/>
  <c r="K123" i="4"/>
  <c r="K125" i="4" s="1"/>
  <c r="K124" i="4"/>
  <c r="K117" i="4"/>
  <c r="K119" i="4" s="1"/>
  <c r="J118" i="4"/>
  <c r="K118" i="4" s="1"/>
  <c r="K112" i="4"/>
  <c r="K113" i="4" s="1"/>
  <c r="J130" i="4" s="1"/>
  <c r="I114" i="8"/>
  <c r="M114" i="8" s="1"/>
  <c r="I80" i="4"/>
  <c r="A135" i="4"/>
  <c r="H90" i="4"/>
  <c r="H92" i="4"/>
  <c r="H89" i="4"/>
  <c r="J74" i="8"/>
  <c r="J75" i="8" s="1"/>
  <c r="J76" i="8" s="1"/>
  <c r="A91" i="4"/>
  <c r="A90" i="4"/>
  <c r="G99" i="4"/>
  <c r="G100" i="4"/>
  <c r="G98" i="4"/>
  <c r="G101" i="4" s="1"/>
  <c r="I101" i="4" s="1"/>
  <c r="G84" i="8"/>
  <c r="G85" i="8"/>
  <c r="G86" i="8"/>
  <c r="G87" i="8"/>
  <c r="G88" i="8"/>
  <c r="G89" i="8"/>
  <c r="G83" i="8"/>
  <c r="G43" i="4"/>
  <c r="G46" i="4"/>
  <c r="G47" i="4"/>
  <c r="G48" i="4"/>
  <c r="G50" i="4"/>
  <c r="G51" i="4"/>
  <c r="G53" i="4"/>
  <c r="G54" i="4"/>
  <c r="G55" i="4"/>
  <c r="G56" i="4"/>
  <c r="G57" i="4"/>
  <c r="G58" i="4"/>
  <c r="G59" i="4"/>
  <c r="G42" i="4"/>
  <c r="G37" i="8"/>
  <c r="G38" i="8"/>
  <c r="G39" i="8"/>
  <c r="G40" i="8"/>
  <c r="G41" i="8"/>
  <c r="G42" i="8"/>
  <c r="G43" i="8"/>
  <c r="G44" i="8"/>
  <c r="G45" i="8"/>
  <c r="G46" i="8"/>
  <c r="G47" i="8"/>
  <c r="G48" i="8"/>
  <c r="G49" i="8"/>
  <c r="G36" i="8"/>
  <c r="F38" i="4"/>
  <c r="G45" i="4"/>
  <c r="G52" i="4"/>
  <c r="G49" i="4"/>
  <c r="L38" i="4"/>
  <c r="L32" i="8"/>
  <c r="J79" i="14" l="1"/>
  <c r="K79" i="14" s="1"/>
  <c r="K76" i="14"/>
  <c r="J80" i="14"/>
  <c r="K80" i="14" s="1"/>
  <c r="E129" i="14" s="1"/>
  <c r="K77" i="14"/>
  <c r="J84" i="14"/>
  <c r="K78" i="14"/>
  <c r="G90" i="8"/>
  <c r="H84" i="8"/>
  <c r="G44" i="4"/>
  <c r="G60" i="4" s="1"/>
  <c r="I60" i="4" s="1"/>
  <c r="K76" i="8"/>
  <c r="J77" i="8"/>
  <c r="J78" i="8" s="1"/>
  <c r="K75" i="8"/>
  <c r="I93" i="4"/>
  <c r="I78" i="8"/>
  <c r="M78" i="8" s="1"/>
  <c r="F100" i="4"/>
  <c r="F99" i="4"/>
  <c r="F98" i="4"/>
  <c r="F59" i="4"/>
  <c r="F56" i="4"/>
  <c r="F57" i="4"/>
  <c r="F58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J89" i="14" l="1"/>
  <c r="K84" i="14"/>
  <c r="K85" i="14" s="1"/>
  <c r="K78" i="8"/>
  <c r="J92" i="14" l="1"/>
  <c r="J90" i="14"/>
  <c r="K89" i="14"/>
  <c r="H49" i="8"/>
  <c r="H59" i="4"/>
  <c r="I59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42" i="4"/>
  <c r="I42" i="4" s="1"/>
  <c r="J42" i="4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H100" i="4"/>
  <c r="I100" i="4" s="1"/>
  <c r="H99" i="4"/>
  <c r="I99" i="4" s="1"/>
  <c r="H98" i="4"/>
  <c r="I84" i="4"/>
  <c r="J36" i="8"/>
  <c r="J37" i="8" s="1"/>
  <c r="J97" i="14" l="1"/>
  <c r="K92" i="14"/>
  <c r="J91" i="14"/>
  <c r="K91" i="14" s="1"/>
  <c r="J93" i="14"/>
  <c r="K93" i="14" s="1"/>
  <c r="G129" i="14" s="1"/>
  <c r="K90" i="14"/>
  <c r="I98" i="4"/>
  <c r="J60" i="4"/>
  <c r="K60" i="4" s="1"/>
  <c r="J64" i="4"/>
  <c r="I70" i="8"/>
  <c r="M70" i="8" s="1"/>
  <c r="I133" i="4"/>
  <c r="K57" i="4"/>
  <c r="K53" i="4"/>
  <c r="K49" i="4"/>
  <c r="K45" i="4"/>
  <c r="K54" i="4"/>
  <c r="K50" i="4"/>
  <c r="K46" i="4"/>
  <c r="K58" i="4"/>
  <c r="K55" i="4"/>
  <c r="K51" i="4"/>
  <c r="K47" i="4"/>
  <c r="K43" i="4"/>
  <c r="K42" i="4"/>
  <c r="K56" i="4"/>
  <c r="K52" i="4"/>
  <c r="K48" i="4"/>
  <c r="K44" i="4"/>
  <c r="K59" i="4"/>
  <c r="I85" i="4"/>
  <c r="J98" i="14" l="1"/>
  <c r="K97" i="14"/>
  <c r="J65" i="4"/>
  <c r="K64" i="4"/>
  <c r="J99" i="14" l="1"/>
  <c r="K98" i="14"/>
  <c r="J66" i="4"/>
  <c r="J67" i="4"/>
  <c r="J73" i="4" s="1"/>
  <c r="K65" i="4"/>
  <c r="A130" i="4"/>
  <c r="J104" i="14" l="1"/>
  <c r="J100" i="14"/>
  <c r="K100" i="14" s="1"/>
  <c r="I129" i="14" s="1"/>
  <c r="K99" i="14"/>
  <c r="J74" i="4"/>
  <c r="K73" i="4"/>
  <c r="K67" i="4"/>
  <c r="J69" i="4"/>
  <c r="K69" i="4" s="1"/>
  <c r="K66" i="4"/>
  <c r="J68" i="4"/>
  <c r="K68" i="4" s="1"/>
  <c r="J105" i="14" l="1"/>
  <c r="K105" i="14" s="1"/>
  <c r="K104" i="14"/>
  <c r="J75" i="4"/>
  <c r="K74" i="4"/>
  <c r="K106" i="14" l="1"/>
  <c r="H129" i="14" s="1"/>
  <c r="K129" i="14" s="1"/>
  <c r="K132" i="14" s="1"/>
  <c r="J76" i="4"/>
  <c r="J77" i="4"/>
  <c r="J78" i="4"/>
  <c r="K78" i="4" s="1"/>
  <c r="K75" i="4"/>
  <c r="K77" i="4" l="1"/>
  <c r="J80" i="4"/>
  <c r="K80" i="4" s="1"/>
  <c r="J79" i="4"/>
  <c r="K79" i="4" s="1"/>
  <c r="K76" i="4"/>
  <c r="H46" i="8" l="1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H37" i="8"/>
  <c r="I37" i="8" s="1"/>
  <c r="J38" i="8"/>
  <c r="J39" i="8" s="1"/>
  <c r="J40" i="8" s="1"/>
  <c r="J41" i="8" s="1"/>
  <c r="J42" i="8" s="1"/>
  <c r="J43" i="8" s="1"/>
  <c r="H36" i="8"/>
  <c r="I36" i="8" s="1"/>
  <c r="K39" i="8" l="1"/>
  <c r="K37" i="8"/>
  <c r="K43" i="8"/>
  <c r="K36" i="8"/>
  <c r="K41" i="8"/>
  <c r="J44" i="8"/>
  <c r="J46" i="8" s="1"/>
  <c r="J45" i="8"/>
  <c r="K38" i="8"/>
  <c r="K40" i="8"/>
  <c r="K42" i="8"/>
  <c r="I96" i="8"/>
  <c r="M96" i="8" s="1"/>
  <c r="H89" i="8"/>
  <c r="I89" i="8" s="1"/>
  <c r="H88" i="8"/>
  <c r="I88" i="8" s="1"/>
  <c r="H87" i="8"/>
  <c r="I87" i="8" s="1"/>
  <c r="H86" i="8"/>
  <c r="I86" i="8" s="1"/>
  <c r="H85" i="8"/>
  <c r="I85" i="8" s="1"/>
  <c r="I84" i="8"/>
  <c r="H83" i="8"/>
  <c r="I49" i="8"/>
  <c r="H48" i="8"/>
  <c r="I48" i="8" s="1"/>
  <c r="J47" i="8"/>
  <c r="J48" i="8" s="1"/>
  <c r="J49" i="8" s="1"/>
  <c r="H47" i="8"/>
  <c r="I47" i="8" s="1"/>
  <c r="I122" i="8" l="1"/>
  <c r="I83" i="8"/>
  <c r="J54" i="8"/>
  <c r="J55" i="8" s="1"/>
  <c r="J50" i="8"/>
  <c r="K50" i="8" s="1"/>
  <c r="K46" i="8"/>
  <c r="K44" i="8"/>
  <c r="K45" i="8"/>
  <c r="K49" i="8"/>
  <c r="K48" i="8"/>
  <c r="K47" i="8"/>
  <c r="K54" i="8" l="1"/>
  <c r="A119" i="8"/>
  <c r="J56" i="8"/>
  <c r="K55" i="8"/>
  <c r="J57" i="8"/>
  <c r="J59" i="8" s="1"/>
  <c r="K59" i="8" s="1"/>
  <c r="K56" i="8" l="1"/>
  <c r="J58" i="8"/>
  <c r="K58" i="8" s="1"/>
  <c r="J63" i="8"/>
  <c r="K57" i="8"/>
  <c r="D119" i="8" s="1"/>
  <c r="J64" i="8" l="1"/>
  <c r="K63" i="8"/>
  <c r="J65" i="8" l="1"/>
  <c r="K64" i="8"/>
  <c r="J68" i="8" l="1"/>
  <c r="J67" i="8"/>
  <c r="J70" i="8" s="1"/>
  <c r="K70" i="8" s="1"/>
  <c r="J66" i="8"/>
  <c r="K65" i="8"/>
  <c r="K66" i="8" l="1"/>
  <c r="J69" i="8"/>
  <c r="K69" i="8" s="1"/>
  <c r="K68" i="8"/>
  <c r="K67" i="8"/>
  <c r="E119" i="8" l="1"/>
  <c r="K74" i="8" l="1"/>
  <c r="K77" i="8" l="1"/>
  <c r="G119" i="8" s="1"/>
  <c r="J83" i="8"/>
  <c r="J84" i="8" l="1"/>
  <c r="K83" i="8"/>
  <c r="J86" i="8" l="1"/>
  <c r="J85" i="8"/>
  <c r="K84" i="8"/>
  <c r="J88" i="8" l="1"/>
  <c r="J90" i="8" s="1"/>
  <c r="K90" i="8" s="1"/>
  <c r="K86" i="8"/>
  <c r="J87" i="8"/>
  <c r="K85" i="8"/>
  <c r="K88" i="8" l="1"/>
  <c r="J89" i="8"/>
  <c r="J94" i="8" s="1"/>
  <c r="K94" i="8" s="1"/>
  <c r="K87" i="8"/>
  <c r="J95" i="8" l="1"/>
  <c r="J100" i="8"/>
  <c r="J106" i="8" s="1"/>
  <c r="J108" i="8" s="1"/>
  <c r="K89" i="8"/>
  <c r="I119" i="8" s="1"/>
  <c r="K95" i="8" l="1"/>
  <c r="K96" i="8" s="1"/>
  <c r="J96" i="8"/>
  <c r="J107" i="8"/>
  <c r="K107" i="8" s="1"/>
  <c r="J112" i="8"/>
  <c r="J114" i="8" s="1"/>
  <c r="K106" i="8"/>
  <c r="K108" i="8" s="1"/>
  <c r="J101" i="8"/>
  <c r="K101" i="8" s="1"/>
  <c r="K100" i="8"/>
  <c r="H119" i="8" l="1"/>
  <c r="J113" i="8"/>
  <c r="K113" i="8" s="1"/>
  <c r="K112" i="8"/>
  <c r="K102" i="8"/>
  <c r="K114" i="8" l="1"/>
  <c r="J119" i="8" s="1"/>
  <c r="K119" i="8" s="1"/>
  <c r="K122" i="8" s="1"/>
  <c r="D130" i="4"/>
  <c r="J84" i="4" l="1"/>
  <c r="J89" i="4" s="1"/>
  <c r="K84" i="4" l="1"/>
  <c r="K85" i="4" s="1"/>
  <c r="J90" i="4"/>
  <c r="J93" i="4" s="1"/>
  <c r="K93" i="4" s="1"/>
  <c r="E130" i="4"/>
  <c r="J91" i="4" l="1"/>
  <c r="K91" i="4" s="1"/>
  <c r="K90" i="4"/>
  <c r="J92" i="4"/>
  <c r="K89" i="4"/>
  <c r="J98" i="4" l="1"/>
  <c r="K92" i="4"/>
  <c r="G130" i="4" s="1"/>
  <c r="J99" i="4" l="1"/>
  <c r="K98" i="4"/>
  <c r="K99" i="4" l="1"/>
  <c r="J100" i="4"/>
  <c r="J101" i="4" l="1"/>
  <c r="K101" i="4" s="1"/>
  <c r="J105" i="4"/>
  <c r="K100" i="4"/>
  <c r="I130" i="4" s="1"/>
  <c r="K105" i="4" l="1"/>
  <c r="J106" i="4"/>
  <c r="K106" i="4" s="1"/>
  <c r="K107" i="4" l="1"/>
  <c r="H130" i="4" s="1"/>
  <c r="K130" i="4" s="1"/>
  <c r="K133" i="4" l="1"/>
</calcChain>
</file>

<file path=xl/sharedStrings.xml><?xml version="1.0" encoding="utf-8"?>
<sst xmlns="http://schemas.openxmlformats.org/spreadsheetml/2006/main" count="625" uniqueCount="130">
  <si>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</si>
  <si>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</si>
  <si>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</si>
  <si>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</si>
  <si>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</si>
  <si>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</si>
  <si>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</si>
  <si>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</si>
  <si>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</si>
  <si>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</si>
  <si>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</si>
  <si>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</si>
  <si>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</si>
  <si>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</si>
  <si>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</si>
  <si>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</si>
  <si>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</si>
  <si>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</si>
  <si>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</si>
  <si>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</si>
  <si>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</si>
  <si>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</si>
  <si>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</si>
  <si>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</si>
  <si>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</si>
  <si>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</si>
  <si>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</si>
  <si>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</si>
  <si>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</si>
  <si>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</si>
  <si>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</si>
  <si>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</si>
  <si>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</si>
  <si>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</si>
  <si>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</si>
  <si>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</si>
  <si>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</si>
  <si>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</si>
  <si>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</si>
  <si>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</si>
  <si>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</si>
  <si>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</si>
  <si>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</si>
  <si>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Администратор</t>
  </si>
  <si>
    <t>Руководитель кружка</t>
  </si>
  <si>
    <t>Художник-декоратор</t>
  </si>
  <si>
    <t>Художник по свету</t>
  </si>
  <si>
    <t>Звукооператор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</si>
  <si>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</si>
  <si>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</si>
  <si>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</si>
  <si>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</si>
  <si>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</si>
  <si>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Зам.директора по основной деятельности</t>
  </si>
  <si>
    <t>Режиссер</t>
  </si>
  <si>
    <t>Механик по обслуживанию звуковой техники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</si>
  <si>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</si>
  <si>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ТО узла тепловой энергии</t>
  </si>
  <si>
    <t>Вывоз мусора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</si>
  <si>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</si>
  <si>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</si>
  <si>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</si>
  <si>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</si>
  <si>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</si>
  <si>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>"______" _________________20____ г.</t>
  </si>
  <si>
    <t xml:space="preserve">Директор МБУК "КДО "Энергетик"                                                                             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</si>
  <si>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</si>
  <si>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</si>
  <si>
    <t>Балетмейстер-постановщик</t>
  </si>
  <si>
    <t xml:space="preserve">Нормативный объем </t>
  </si>
  <si>
    <t xml:space="preserve">Тариф (цена), рублей </t>
  </si>
  <si>
    <t xml:space="preserve">БАЗОВОГО НОРМАТИВА ЗАТРАТ НА ОКАЗАНИЕ МУНИЦИПАЛЬНЫХ УСЛУГ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</si>
  <si>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</si>
  <si>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</si>
  <si>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</si>
  <si>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</si>
  <si>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Кассир билетный</t>
  </si>
  <si>
    <t>Контролер билетов</t>
  </si>
  <si>
    <t>Заведующий художественно-постановочной частью</t>
  </si>
  <si>
    <t>Итого работники,  связанные с оказанием услуг</t>
  </si>
  <si>
    <t>Сумма в год</t>
  </si>
  <si>
    <t>кВт час</t>
  </si>
  <si>
    <t>ТО установок пожарной сигнализации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</si>
  <si>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</si>
  <si>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</si>
  <si>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</si>
  <si>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</si>
  <si>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</si>
  <si>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</si>
  <si>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Прочие затраты</t>
  </si>
  <si>
    <t>Итого прочие расходы</t>
  </si>
  <si>
    <t>Заведующий отделом по досуго-массовой работе</t>
  </si>
  <si>
    <t>Заведующий отделом  (по финансово-хозяйственной деятельности)</t>
  </si>
  <si>
    <t>Заведующий отделом по работе с детьми</t>
  </si>
  <si>
    <t>Охрана клуба по месту жительства "Мир"</t>
  </si>
  <si>
    <t>ТО и ремонт автоматическй установки водяного пожаротушения</t>
  </si>
  <si>
    <t>Обучение сотрудников</t>
  </si>
  <si>
    <t>Бензин АИ-8</t>
  </si>
  <si>
    <t>СВОД (рубли)</t>
  </si>
  <si>
    <t>СВОД (норматив)</t>
  </si>
  <si>
    <t>Абонентская связь (дополнительно)</t>
  </si>
  <si>
    <t>Услуги междугородней связи</t>
  </si>
  <si>
    <t>ТО видеонаблюдения</t>
  </si>
  <si>
    <t>ТО дымоудаления</t>
  </si>
  <si>
    <t xml:space="preserve">ТО внутреннего пожарного водопровода </t>
  </si>
  <si>
    <t>Реагирование на срабатывание средств тревожной сигнализации</t>
  </si>
  <si>
    <t>Социальные пособия и компенсация персоналу в денежной форме</t>
  </si>
  <si>
    <t xml:space="preserve">Итого соц.пособия </t>
  </si>
  <si>
    <t>Компенс.выпл.раб.по уходу за ребенком до 3-х лет</t>
  </si>
  <si>
    <t xml:space="preserve">Увеличение стоимости прочих оборотных активов </t>
  </si>
  <si>
    <t>Мероприятия</t>
  </si>
  <si>
    <t xml:space="preserve">Увеличение стоимости материальных запасов однократного применеия </t>
  </si>
  <si>
    <t xml:space="preserve">Призовая продукция </t>
  </si>
  <si>
    <t>Итого активов</t>
  </si>
  <si>
    <t>Итого запасов</t>
  </si>
  <si>
    <t>Лонская Клавдия Алексеевна</t>
  </si>
  <si>
    <t xml:space="preserve">          О.Е. Федичкина</t>
  </si>
  <si>
    <t>Содержание услуги: Культурно-массовых (иной деятельности, в результате которой сохраняются, создаются, распространяются и осваиваются культурные ценности)</t>
  </si>
  <si>
    <t xml:space="preserve"> НА 2021 г. </t>
  </si>
  <si>
    <t xml:space="preserve"> НА 2021г. 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</si>
  <si>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</si>
  <si>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</si>
  <si>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r>
      <t xml:space="preserve">Содержание услуги: </t>
    </r>
    <r>
      <rPr>
        <sz val="11"/>
        <rFont val="Times New Roman"/>
        <family val="1"/>
        <charset val="204"/>
      </rPr>
      <t>Жанры (формы) спектаклей (театральных постановок)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</si>
  <si>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</t>
    </r>
  </si>
  <si>
    <r>
      <t xml:space="preserve">Наименование показателя объема: 1503 </t>
    </r>
    <r>
      <rPr>
        <sz val="11"/>
        <rFont val="Times New Roman"/>
        <family val="1"/>
        <charset val="204"/>
      </rPr>
      <t>человека</t>
    </r>
  </si>
  <si>
    <r>
      <t xml:space="preserve">Штатное расписание: 29,5 </t>
    </r>
    <r>
      <rPr>
        <sz val="11"/>
        <rFont val="Times New Roman"/>
        <family val="1"/>
        <charset val="204"/>
      </rPr>
      <t>человек</t>
    </r>
  </si>
  <si>
    <r>
      <t xml:space="preserve">Услуга: </t>
    </r>
    <r>
      <rPr>
        <sz val="11"/>
        <rFont val="Times New Roman"/>
        <family val="1"/>
        <charset val="204"/>
      </rPr>
      <t>Организация и проведение мероприятий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</si>
  <si>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Стационар, на выезде, на гастролях</t>
    </r>
  </si>
  <si>
    <r>
      <t>Наименование показателя объема: 1300</t>
    </r>
    <r>
      <rPr>
        <sz val="11"/>
        <rFont val="Times New Roman"/>
        <family val="1"/>
        <charset val="204"/>
      </rPr>
      <t xml:space="preserve"> человек.</t>
    </r>
  </si>
  <si>
    <t>ПР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</si>
</sst>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2" fontId="3" fillId="0" borderId="1" xfId="0" applyNumberFormat="1" applyFont="1" applyBorder="1"/>
    <xf numFmtId="0" fontId="8" fillId="0" borderId="0" xfId="0" applyFont="1"/>
    <xf numFmtId="0" fontId="3" fillId="0" borderId="1" xfId="0" applyFont="1" applyBorder="1" applyAlignment="1">
      <alignment horizontal="center" wrapText="1"/>
    </xf>
    <xf numFmtId="0" fontId="0" fillId="0" borderId="0" xfId="0" applyFont="1"/>
    <xf numFmtId="0" fontId="4" fillId="0" borderId="0" xfId="0" applyFont="1" applyAlignment="1"/>
    <xf numFmtId="0" fontId="4" fillId="0" borderId="0" xfId="0" applyFont="1"/>
    <xf numFmtId="0" fontId="0" fillId="0" borderId="0" xfId="0" applyFont="1" applyBorder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4" fontId="3" fillId="0" borderId="1" xfId="0" applyNumberFormat="1" applyFont="1" applyBorder="1"/>
    <xf numFmtId="4" fontId="3" fillId="0" borderId="0" xfId="0" applyNumberFormat="1" applyFont="1"/>
    <xf numFmtId="4" fontId="0" fillId="0" borderId="0" xfId="0" applyNumberFormat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3" fillId="0" borderId="1" xfId="0" applyNumberFormat="1" applyFont="1" applyFill="1" applyBorder="1"/>
    <xf numFmtId="0" fontId="1" fillId="0" borderId="0" xfId="0" applyFont="1"/>
    <xf numFmtId="4" fontId="2" fillId="0" borderId="0" xfId="0" applyNumberFormat="1" applyFont="1"/>
    <xf numFmtId="0" fontId="3" fillId="0" borderId="0" xfId="0" applyFont="1" applyFill="1"/>
    <xf numFmtId="164" fontId="2" fillId="0" borderId="0" xfId="0" applyNumberFormat="1" applyFont="1"/>
    <xf numFmtId="4" fontId="2" fillId="0" borderId="6" xfId="0" applyNumberFormat="1" applyFont="1" applyBorder="1" applyAlignment="1"/>
    <xf numFmtId="4" fontId="3" fillId="0" borderId="0" xfId="0" applyNumberFormat="1" applyFont="1" applyBorder="1"/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5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4" fontId="3" fillId="0" borderId="5" xfId="0" applyNumberFormat="1" applyFont="1" applyBorder="1"/>
    <xf numFmtId="4" fontId="3" fillId="0" borderId="2" xfId="0" applyNumberFormat="1" applyFont="1" applyBorder="1"/>
    <xf numFmtId="4" fontId="3" fillId="0" borderId="1" xfId="0" applyNumberFormat="1" applyFont="1" applyFill="1" applyBorder="1"/>
    <xf numFmtId="4" fontId="3" fillId="0" borderId="2" xfId="0" applyNumberFormat="1" applyFont="1" applyFill="1" applyBorder="1"/>
    <xf numFmtId="4" fontId="3" fillId="0" borderId="5" xfId="0" applyNumberFormat="1" applyFont="1" applyFill="1" applyBorder="1"/>
    <xf numFmtId="4" fontId="3" fillId="0" borderId="0" xfId="0" applyNumberFormat="1" applyFont="1" applyFill="1"/>
    <xf numFmtId="4" fontId="2" fillId="0" borderId="0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2" fillId="0" borderId="0" xfId="0" applyNumberFormat="1" applyFont="1" applyBorder="1"/>
    <xf numFmtId="4" fontId="4" fillId="0" borderId="1" xfId="0" applyNumberFormat="1" applyFont="1" applyBorder="1"/>
    <xf numFmtId="4" fontId="2" fillId="0" borderId="0" xfId="0" applyNumberFormat="1" applyFont="1" applyAlignment="1">
      <alignment horizontal="center"/>
    </xf>
    <xf numFmtId="4" fontId="2" fillId="0" borderId="6" xfId="0" applyNumberFormat="1" applyFont="1" applyBorder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4" fontId="2" fillId="0" borderId="1" xfId="0" applyNumberFormat="1" applyFont="1" applyBorder="1"/>
    <xf numFmtId="4" fontId="8" fillId="0" borderId="0" xfId="0" applyNumberFormat="1" applyFont="1"/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2" xfId="0" applyNumberFormat="1" applyFont="1" applyBorder="1"/>
    <xf numFmtId="0" fontId="11" fillId="0" borderId="0" xfId="0" applyFont="1"/>
    <xf numFmtId="0" fontId="9" fillId="0" borderId="0" xfId="0" applyFont="1"/>
    <xf numFmtId="2" fontId="4" fillId="0" borderId="1" xfId="0" applyNumberFormat="1" applyFont="1" applyBorder="1"/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4" fontId="3" fillId="0" borderId="2" xfId="0" applyNumberFormat="1" applyFont="1" applyBorder="1"/>
    <xf numFmtId="4" fontId="3" fillId="0" borderId="1" xfId="0" applyNumberFormat="1" applyFont="1" applyBorder="1" applyAlignment="1">
      <alignment horizontal="center" wrapText="1"/>
    </xf>
    <xf numFmtId="0" fontId="4" fillId="0" borderId="0" xfId="0" applyFont="1" applyAlignment="1"/>
    <xf numFmtId="2" fontId="10" fillId="0" borderId="0" xfId="0" applyNumberFormat="1" applyFont="1"/>
    <xf numFmtId="4" fontId="3" fillId="0" borderId="2" xfId="0" applyNumberFormat="1" applyFont="1" applyBorder="1"/>
    <xf numFmtId="4" fontId="2" fillId="3" borderId="0" xfId="0" applyNumberFormat="1" applyFont="1" applyFill="1"/>
    <xf numFmtId="4" fontId="4" fillId="0" borderId="1" xfId="0" applyNumberFormat="1" applyFont="1" applyBorder="1" applyAlignment="1">
      <alignment wrapText="1"/>
    </xf>
    <xf numFmtId="4" fontId="4" fillId="0" borderId="3" xfId="0" applyNumberFormat="1" applyFont="1" applyBorder="1"/>
    <xf numFmtId="4" fontId="4" fillId="0" borderId="1" xfId="0" applyNumberFormat="1" applyFont="1" applyFill="1" applyBorder="1"/>
    <xf numFmtId="4" fontId="2" fillId="0" borderId="2" xfId="0" applyNumberFormat="1" applyFont="1" applyBorder="1" applyAlignment="1">
      <alignment horizontal="right"/>
    </xf>
    <xf numFmtId="4" fontId="3" fillId="0" borderId="8" xfId="0" applyNumberFormat="1" applyFont="1" applyBorder="1"/>
    <xf numFmtId="4" fontId="2" fillId="0" borderId="7" xfId="0" applyNumberFormat="1" applyFont="1" applyBorder="1" applyAlignment="1">
      <alignment horizontal="right"/>
    </xf>
    <xf numFmtId="4" fontId="2" fillId="0" borderId="3" xfId="0" applyNumberFormat="1" applyFont="1" applyBorder="1"/>
    <xf numFmtId="4" fontId="3" fillId="0" borderId="9" xfId="0" applyNumberFormat="1" applyFont="1" applyBorder="1" applyAlignment="1">
      <alignment horizontal="center" wrapText="1"/>
    </xf>
    <xf numFmtId="0" fontId="2" fillId="0" borderId="7" xfId="0" applyFont="1" applyBorder="1"/>
    <xf numFmtId="4" fontId="3" fillId="0" borderId="8" xfId="0" applyNumberFormat="1" applyFont="1" applyBorder="1" applyAlignment="1">
      <alignment wrapText="1"/>
    </xf>
    <xf numFmtId="4" fontId="3" fillId="0" borderId="10" xfId="0" applyNumberFormat="1" applyFont="1" applyBorder="1" applyAlignment="1">
      <alignment wrapText="1"/>
    </xf>
    <xf numFmtId="4" fontId="3" fillId="0" borderId="10" xfId="0" applyNumberFormat="1" applyFont="1" applyBorder="1"/>
    <xf numFmtId="4" fontId="2" fillId="0" borderId="7" xfId="0" applyNumberFormat="1" applyFont="1" applyBorder="1" applyAlignment="1"/>
    <xf numFmtId="4" fontId="2" fillId="0" borderId="3" xfId="0" applyNumberFormat="1" applyFont="1" applyBorder="1" applyAlignment="1">
      <alignment horizontal="right"/>
    </xf>
    <xf numFmtId="4" fontId="3" fillId="0" borderId="8" xfId="0" applyNumberFormat="1" applyFont="1" applyBorder="1" applyAlignment="1">
      <alignment horizontal="right"/>
    </xf>
    <xf numFmtId="4" fontId="2" fillId="0" borderId="3" xfId="0" applyNumberFormat="1" applyFont="1" applyBorder="1" applyAlignment="1"/>
    <xf numFmtId="4" fontId="2" fillId="2" borderId="7" xfId="0" applyNumberFormat="1" applyFont="1" applyFill="1" applyBorder="1" applyAlignment="1"/>
    <xf numFmtId="2" fontId="4" fillId="0" borderId="8" xfId="0" applyNumberFormat="1" applyFont="1" applyBorder="1"/>
    <xf numFmtId="2" fontId="2" fillId="0" borderId="7" xfId="0" applyNumberFormat="1" applyFont="1" applyBorder="1"/>
    <xf numFmtId="2" fontId="3" fillId="0" borderId="8" xfId="0" applyNumberFormat="1" applyFont="1" applyFill="1" applyBorder="1"/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 wrapText="1"/>
    </xf>
    <xf numFmtId="0" fontId="4" fillId="0" borderId="3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4" fontId="3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4" fontId="3" fillId="0" borderId="11" xfId="0" applyNumberFormat="1" applyFont="1" applyBorder="1"/>
    <xf numFmtId="4" fontId="3" fillId="0" borderId="12" xfId="0" applyNumberFormat="1" applyFont="1" applyBorder="1"/>
    <xf numFmtId="4" fontId="6" fillId="0" borderId="0" xfId="0" applyNumberFormat="1" applyFont="1" applyAlignment="1"/>
    <xf numFmtId="4" fontId="0" fillId="0" borderId="0" xfId="0" applyNumberFormat="1" applyAlignment="1"/>
    <xf numFmtId="0" fontId="9" fillId="0" borderId="0" xfId="0" applyFont="1" applyAlignment="1">
      <alignment horizontal="center"/>
    </xf>
    <xf numFmtId="4" fontId="2" fillId="3" borderId="6" xfId="0" applyNumberFormat="1" applyFont="1" applyFill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3" fillId="0" borderId="8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3" borderId="0" xfId="0" applyNumberFormat="1" applyFont="1" applyFill="1" applyAlignment="1">
      <alignment horizontal="center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2" fillId="3" borderId="0" xfId="0" applyNumberFormat="1" applyFont="1" applyFill="1" applyBorder="1" applyAlignment="1">
      <alignment horizontal="center"/>
    </xf>
    <xf numFmtId="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2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4" fontId="2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3" sqref="B3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8" t="s">
        <v>98</v>
      </c>
      <c r="B1" s="18" t="s">
        <v>99</v>
      </c>
    </row>
    <row r="2" spans="1:2" ht="42" customHeight="1" x14ac:dyDescent="0.25">
      <c r="A2" s="19">
        <f>'Услуга №1'!I122+'Услуга №2 '!I133+'Услуга №3'!I132+0.01</f>
        <v>12494472.872940002</v>
      </c>
      <c r="B2" s="19">
        <f>'Услуга №1'!K122+'Услуга №2 '!K133+'Услуга №3'!K132+0.01</f>
        <v>12494472.87294</v>
      </c>
    </row>
    <row r="3" spans="1:2" x14ac:dyDescent="0.25">
      <c r="A3" s="17">
        <v>12494472.869999999</v>
      </c>
      <c r="B3" s="17"/>
    </row>
    <row r="4" spans="1:2" x14ac:dyDescent="0.25">
      <c r="A4" s="17"/>
      <c r="B4" s="17"/>
    </row>
    <row r="5" spans="1:2" x14ac:dyDescent="0.25">
      <c r="A5" s="17"/>
    </row>
    <row r="7" spans="1:2" x14ac:dyDescent="0.25">
      <c r="A7" s="17"/>
    </row>
    <row r="8" spans="1:2" x14ac:dyDescent="0.25">
      <c r="B8" s="17"/>
    </row>
    <row r="9" spans="1:2" x14ac:dyDescent="0.25">
      <c r="A9" s="17"/>
    </row>
    <row r="11" spans="1:2" x14ac:dyDescent="0.25">
      <c r="A11" s="17"/>
    </row>
    <row r="13" spans="1:2" x14ac:dyDescent="0.25">
      <c r="A13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topLeftCell="A2" zoomScale="90" zoomScaleNormal="90" workbookViewId="0">
      <selection activeCell="H50" sqref="H50"/>
    </sheetView>
  </sheetViews>
  <sheetFormatPr defaultRowHeight="15" x14ac:dyDescent="0.25"/>
  <cols>
    <col min="1" max="1" width="9.140625" style="7"/>
    <col min="2" max="2" width="11" style="7" customWidth="1"/>
    <col min="3" max="4" width="9.140625" style="7"/>
    <col min="5" max="5" width="8.85546875" style="7" customWidth="1"/>
    <col min="6" max="6" width="11.5703125" style="7" customWidth="1"/>
    <col min="7" max="7" width="13.7109375" style="7" customWidth="1"/>
    <col min="8" max="8" width="12.85546875" style="7" customWidth="1"/>
    <col min="9" max="11" width="13.7109375" style="7" customWidth="1"/>
    <col min="12" max="12" width="11" style="7" customWidth="1"/>
    <col min="13" max="13" width="13.85546875" style="7" hidden="1" customWidth="1"/>
    <col min="14" max="14" width="0" style="7" hidden="1" customWidth="1"/>
    <col min="15" max="16384" width="9.140625" style="7"/>
  </cols>
  <sheetData>
    <row r="1" spans="1:13" hidden="1" x14ac:dyDescent="0.25"/>
    <row r="2" spans="1:13" x14ac:dyDescent="0.25">
      <c r="A2" s="92" t="s">
        <v>61</v>
      </c>
      <c r="B2" s="92"/>
      <c r="C2" s="92"/>
      <c r="D2" s="92"/>
    </row>
    <row r="3" spans="1:13" x14ac:dyDescent="0.25">
      <c r="A3" s="92" t="s">
        <v>62</v>
      </c>
      <c r="B3" s="92"/>
      <c r="C3" s="94"/>
      <c r="D3" s="94"/>
      <c r="E3" s="94"/>
      <c r="F3" s="94"/>
    </row>
    <row r="4" spans="1:13" x14ac:dyDescent="0.25">
      <c r="A4" s="93" t="s">
        <v>63</v>
      </c>
      <c r="B4" s="93"/>
      <c r="C4" s="93"/>
      <c r="D4" s="94"/>
      <c r="E4" s="94"/>
      <c r="F4" s="94"/>
    </row>
    <row r="5" spans="1:13" x14ac:dyDescent="0.25">
      <c r="A5" s="8"/>
      <c r="B5" s="8"/>
      <c r="C5" s="8"/>
      <c r="D5" s="9"/>
    </row>
    <row r="6" spans="1:13" x14ac:dyDescent="0.25">
      <c r="A6" s="93" t="s">
        <v>64</v>
      </c>
      <c r="B6" s="93"/>
      <c r="C6" s="93"/>
      <c r="D6" s="94"/>
      <c r="E6" s="94"/>
      <c r="F6" s="94"/>
    </row>
    <row r="7" spans="1:13" ht="7.5" customHeight="1" x14ac:dyDescent="0.25"/>
    <row r="8" spans="1:13" x14ac:dyDescent="0.25">
      <c r="A8" s="106" t="s">
        <v>60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</row>
    <row r="9" spans="1:13" x14ac:dyDescent="0.25">
      <c r="A9" s="106" t="s">
        <v>71</v>
      </c>
      <c r="B9" s="106"/>
      <c r="C9" s="106"/>
      <c r="D9" s="106"/>
      <c r="E9" s="106"/>
      <c r="F9" s="106"/>
      <c r="G9" s="106"/>
      <c r="H9" s="106"/>
      <c r="I9" s="106"/>
      <c r="J9" s="106"/>
      <c r="K9" s="106"/>
      <c r="L9" s="106"/>
      <c r="M9" s="106"/>
    </row>
    <row r="10" spans="1:13" x14ac:dyDescent="0.25">
      <c r="A10" s="106" t="s">
        <v>118</v>
      </c>
      <c r="B10" s="106"/>
      <c r="C10" s="106"/>
      <c r="D10" s="106"/>
      <c r="E10" s="106"/>
      <c r="F10" s="106"/>
      <c r="G10" s="106"/>
      <c r="H10" s="106"/>
      <c r="I10" s="106"/>
      <c r="J10" s="106"/>
      <c r="K10" s="106"/>
      <c r="L10" s="106"/>
      <c r="M10" s="106"/>
    </row>
    <row r="11" spans="1:13" ht="12" customHeight="1" x14ac:dyDescent="0.25"/>
    <row r="12" spans="1:13" s="2" customFormat="1" x14ac:dyDescent="0.25">
      <c r="A12" s="57" t="s">
        <v>120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56"/>
    </row>
    <row r="13" spans="1:13" s="2" customFormat="1" x14ac:dyDescent="0.25">
      <c r="A13" s="57" t="s">
        <v>121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56"/>
    </row>
    <row r="14" spans="1:13" s="2" customFormat="1" hidden="1" x14ac:dyDescent="0.25">
      <c r="A14" s="57" t="s">
        <v>122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56"/>
    </row>
    <row r="15" spans="1:13" s="2" customFormat="1" x14ac:dyDescent="0.25">
      <c r="A15" s="57" t="s">
        <v>123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56"/>
    </row>
    <row r="16" spans="1:13" s="2" customFormat="1" x14ac:dyDescent="0.25">
      <c r="A16" s="57" t="s">
        <v>124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56"/>
    </row>
    <row r="17" spans="1:14" s="2" customFormat="1" x14ac:dyDescent="0.25">
      <c r="A17" s="57" t="s">
        <v>125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56"/>
    </row>
    <row r="18" spans="1:14" s="2" customFormat="1" ht="33" customHeight="1" x14ac:dyDescent="0.25">
      <c r="A18" s="111" t="s">
        <v>0</v>
      </c>
      <c r="B18" s="111"/>
      <c r="C18" s="111"/>
      <c r="D18" s="111"/>
      <c r="E18" s="111"/>
      <c r="F18" s="6" t="s">
        <v>1</v>
      </c>
      <c r="G18" s="111" t="s">
        <v>2</v>
      </c>
      <c r="H18" s="111"/>
      <c r="I18" s="111"/>
      <c r="J18" s="111"/>
      <c r="K18" s="111"/>
      <c r="L18" s="6" t="s">
        <v>1</v>
      </c>
    </row>
    <row r="19" spans="1:14" s="2" customFormat="1" x14ac:dyDescent="0.25">
      <c r="A19" s="88" t="s">
        <v>53</v>
      </c>
      <c r="B19" s="88"/>
      <c r="C19" s="88"/>
      <c r="D19" s="88"/>
      <c r="E19" s="88"/>
      <c r="F19" s="58">
        <f>1*36.64%</f>
        <v>0.3664</v>
      </c>
      <c r="G19" s="88" t="s">
        <v>3</v>
      </c>
      <c r="H19" s="88"/>
      <c r="I19" s="88"/>
      <c r="J19" s="88"/>
      <c r="K19" s="88"/>
      <c r="L19" s="4">
        <f>1*36.64%</f>
        <v>0.3664</v>
      </c>
    </row>
    <row r="20" spans="1:14" s="2" customFormat="1" x14ac:dyDescent="0.25">
      <c r="A20" s="89" t="s">
        <v>91</v>
      </c>
      <c r="B20" s="90"/>
      <c r="C20" s="90"/>
      <c r="D20" s="90"/>
      <c r="E20" s="91"/>
      <c r="F20" s="58">
        <f t="shared" ref="F20:F31" si="0">1*36.64%</f>
        <v>0.3664</v>
      </c>
      <c r="G20" s="88" t="s">
        <v>92</v>
      </c>
      <c r="H20" s="88"/>
      <c r="I20" s="88"/>
      <c r="J20" s="88"/>
      <c r="K20" s="88"/>
      <c r="L20" s="4">
        <f t="shared" ref="L20:L25" si="1">1*36.64%</f>
        <v>0.3664</v>
      </c>
    </row>
    <row r="21" spans="1:14" s="2" customFormat="1" x14ac:dyDescent="0.25">
      <c r="A21" s="88" t="s">
        <v>43</v>
      </c>
      <c r="B21" s="88"/>
      <c r="C21" s="88"/>
      <c r="D21" s="88"/>
      <c r="E21" s="88"/>
      <c r="F21" s="58">
        <f t="shared" si="0"/>
        <v>0.3664</v>
      </c>
      <c r="G21" s="88" t="s">
        <v>93</v>
      </c>
      <c r="H21" s="88"/>
      <c r="I21" s="88"/>
      <c r="J21" s="88"/>
      <c r="K21" s="88"/>
      <c r="L21" s="4">
        <f t="shared" si="1"/>
        <v>0.3664</v>
      </c>
    </row>
    <row r="22" spans="1:14" s="2" customFormat="1" ht="15" customHeight="1" x14ac:dyDescent="0.25">
      <c r="A22" s="88" t="s">
        <v>45</v>
      </c>
      <c r="B22" s="88"/>
      <c r="C22" s="88"/>
      <c r="D22" s="88"/>
      <c r="E22" s="88"/>
      <c r="F22" s="58">
        <f>1.5*36.64%</f>
        <v>0.54959999999999998</v>
      </c>
      <c r="G22" s="88" t="s">
        <v>68</v>
      </c>
      <c r="H22" s="88"/>
      <c r="I22" s="88"/>
      <c r="J22" s="88"/>
      <c r="K22" s="88"/>
      <c r="L22" s="4">
        <f t="shared" si="1"/>
        <v>0.3664</v>
      </c>
    </row>
    <row r="23" spans="1:14" s="2" customFormat="1" ht="14.25" customHeight="1" x14ac:dyDescent="0.25">
      <c r="A23" s="88" t="s">
        <v>44</v>
      </c>
      <c r="B23" s="88"/>
      <c r="C23" s="88"/>
      <c r="D23" s="88"/>
      <c r="E23" s="88"/>
      <c r="F23" s="58">
        <f>6.5*36.64%</f>
        <v>2.3816000000000002</v>
      </c>
      <c r="G23" s="88" t="s">
        <v>50</v>
      </c>
      <c r="H23" s="88"/>
      <c r="I23" s="88"/>
      <c r="J23" s="88"/>
      <c r="K23" s="88"/>
      <c r="L23" s="4">
        <f>2*36.64%</f>
        <v>0.73280000000000001</v>
      </c>
    </row>
    <row r="24" spans="1:14" s="2" customFormat="1" x14ac:dyDescent="0.25">
      <c r="A24" s="88" t="s">
        <v>77</v>
      </c>
      <c r="B24" s="88"/>
      <c r="C24" s="88"/>
      <c r="D24" s="88"/>
      <c r="E24" s="88"/>
      <c r="F24" s="58">
        <f>0.5*36.64%</f>
        <v>0.1832</v>
      </c>
      <c r="G24" s="88" t="s">
        <v>48</v>
      </c>
      <c r="H24" s="88"/>
      <c r="I24" s="88"/>
      <c r="J24" s="88"/>
      <c r="K24" s="88"/>
      <c r="L24" s="4">
        <f>3*36.64%</f>
        <v>1.0992</v>
      </c>
    </row>
    <row r="25" spans="1:14" s="2" customFormat="1" ht="15" customHeight="1" x14ac:dyDescent="0.25">
      <c r="A25" s="88" t="s">
        <v>76</v>
      </c>
      <c r="B25" s="88"/>
      <c r="C25" s="88"/>
      <c r="D25" s="88"/>
      <c r="E25" s="88"/>
      <c r="F25" s="58">
        <f t="shared" si="0"/>
        <v>0.3664</v>
      </c>
      <c r="G25" s="89" t="s">
        <v>55</v>
      </c>
      <c r="H25" s="90"/>
      <c r="I25" s="90"/>
      <c r="J25" s="90"/>
      <c r="K25" s="91"/>
      <c r="L25" s="4">
        <f t="shared" si="1"/>
        <v>0.3664</v>
      </c>
    </row>
    <row r="26" spans="1:14" s="2" customFormat="1" x14ac:dyDescent="0.25">
      <c r="A26" s="99" t="s">
        <v>52</v>
      </c>
      <c r="B26" s="99"/>
      <c r="C26" s="99"/>
      <c r="D26" s="99"/>
      <c r="E26" s="99"/>
      <c r="F26" s="58">
        <f t="shared" si="0"/>
        <v>0.3664</v>
      </c>
      <c r="G26" s="88" t="s">
        <v>46</v>
      </c>
      <c r="H26" s="88"/>
      <c r="I26" s="88"/>
      <c r="J26" s="88"/>
      <c r="K26" s="88"/>
      <c r="L26" s="20"/>
    </row>
    <row r="27" spans="1:14" s="2" customFormat="1" ht="19.5" customHeight="1" x14ac:dyDescent="0.25">
      <c r="A27" s="88" t="s">
        <v>47</v>
      </c>
      <c r="B27" s="88"/>
      <c r="C27" s="88"/>
      <c r="D27" s="88"/>
      <c r="E27" s="88"/>
      <c r="F27" s="58">
        <f t="shared" si="0"/>
        <v>0.3664</v>
      </c>
      <c r="G27" s="89"/>
      <c r="H27" s="90"/>
      <c r="I27" s="90"/>
      <c r="J27" s="90"/>
      <c r="K27" s="91"/>
      <c r="L27" s="20"/>
    </row>
    <row r="28" spans="1:14" s="2" customFormat="1" x14ac:dyDescent="0.25">
      <c r="A28" s="88" t="s">
        <v>51</v>
      </c>
      <c r="B28" s="88"/>
      <c r="C28" s="88"/>
      <c r="D28" s="88"/>
      <c r="E28" s="88"/>
      <c r="F28" s="58">
        <f t="shared" si="0"/>
        <v>0.3664</v>
      </c>
      <c r="G28" s="99"/>
      <c r="H28" s="99"/>
      <c r="I28" s="99"/>
      <c r="J28" s="99"/>
      <c r="K28" s="99"/>
      <c r="L28" s="20"/>
    </row>
    <row r="29" spans="1:14" s="2" customFormat="1" ht="15" customHeight="1" x14ac:dyDescent="0.25">
      <c r="A29" s="99" t="s">
        <v>49</v>
      </c>
      <c r="B29" s="99"/>
      <c r="C29" s="99"/>
      <c r="D29" s="99"/>
      <c r="E29" s="99"/>
      <c r="F29" s="58">
        <f t="shared" si="0"/>
        <v>0.3664</v>
      </c>
      <c r="G29" s="89"/>
      <c r="H29" s="90"/>
      <c r="I29" s="90"/>
      <c r="J29" s="90"/>
      <c r="K29" s="91"/>
      <c r="L29" s="20"/>
    </row>
    <row r="30" spans="1:14" s="2" customFormat="1" x14ac:dyDescent="0.25">
      <c r="A30" s="88" t="s">
        <v>54</v>
      </c>
      <c r="B30" s="88"/>
      <c r="C30" s="88"/>
      <c r="D30" s="88"/>
      <c r="E30" s="88"/>
      <c r="F30" s="58">
        <f t="shared" si="0"/>
        <v>0.3664</v>
      </c>
      <c r="G30" s="99"/>
      <c r="H30" s="99"/>
      <c r="I30" s="99"/>
      <c r="J30" s="99"/>
      <c r="K30" s="99"/>
      <c r="L30" s="20"/>
    </row>
    <row r="31" spans="1:14" s="2" customFormat="1" ht="15.75" thickBot="1" x14ac:dyDescent="0.3">
      <c r="A31" s="88" t="s">
        <v>78</v>
      </c>
      <c r="B31" s="88"/>
      <c r="C31" s="88"/>
      <c r="D31" s="88"/>
      <c r="E31" s="88"/>
      <c r="F31" s="85">
        <f t="shared" si="0"/>
        <v>0.3664</v>
      </c>
      <c r="G31" s="99"/>
      <c r="H31" s="99"/>
      <c r="I31" s="99"/>
      <c r="J31" s="99"/>
      <c r="K31" s="99"/>
      <c r="L31" s="87"/>
    </row>
    <row r="32" spans="1:14" s="1" customFormat="1" thickBot="1" x14ac:dyDescent="0.25">
      <c r="A32" s="100" t="s">
        <v>4</v>
      </c>
      <c r="B32" s="100"/>
      <c r="C32" s="100"/>
      <c r="D32" s="100"/>
      <c r="E32" s="101"/>
      <c r="F32" s="86">
        <f>SUM(F19:F31)</f>
        <v>6.7783999999999978</v>
      </c>
      <c r="G32" s="110" t="s">
        <v>4</v>
      </c>
      <c r="H32" s="100"/>
      <c r="I32" s="100"/>
      <c r="J32" s="100"/>
      <c r="K32" s="101"/>
      <c r="L32" s="86">
        <f>SUM(L19:L31)</f>
        <v>3.6640000000000001</v>
      </c>
      <c r="M32" s="65"/>
      <c r="N32" s="24"/>
    </row>
    <row r="33" spans="1:13" ht="12" customHeight="1" thickBot="1" x14ac:dyDescent="0.3"/>
    <row r="34" spans="1:13" s="2" customFormat="1" ht="15.75" thickBot="1" x14ac:dyDescent="0.3">
      <c r="A34" s="1" t="s">
        <v>56</v>
      </c>
      <c r="F34" s="76">
        <v>1503</v>
      </c>
    </row>
    <row r="35" spans="1:13" s="2" customFormat="1" ht="75.75" thickBot="1" x14ac:dyDescent="0.3">
      <c r="A35" s="96" t="s">
        <v>5</v>
      </c>
      <c r="B35" s="97"/>
      <c r="C35" s="97"/>
      <c r="D35" s="97"/>
      <c r="E35" s="98"/>
      <c r="F35" s="75" t="s">
        <v>6</v>
      </c>
      <c r="G35" s="27" t="s">
        <v>1</v>
      </c>
      <c r="H35" s="27" t="s">
        <v>72</v>
      </c>
      <c r="I35" s="27" t="s">
        <v>73</v>
      </c>
      <c r="J35" s="27" t="s">
        <v>74</v>
      </c>
      <c r="K35" s="28" t="s">
        <v>75</v>
      </c>
      <c r="L35" s="43"/>
      <c r="M35" s="16"/>
    </row>
    <row r="36" spans="1:13" s="2" customFormat="1" ht="15" hidden="1" customHeight="1" x14ac:dyDescent="0.25">
      <c r="A36" s="95" t="s">
        <v>53</v>
      </c>
      <c r="B36" s="95"/>
      <c r="C36" s="95"/>
      <c r="D36" s="95"/>
      <c r="E36" s="95"/>
      <c r="F36" s="15">
        <v>13850</v>
      </c>
      <c r="G36" s="15">
        <f t="shared" ref="G36:G45" si="2">F19</f>
        <v>0.3664</v>
      </c>
      <c r="H36" s="15">
        <f>F36*G36*12</f>
        <v>60895.680000000008</v>
      </c>
      <c r="I36" s="15">
        <f>H36*1.302</f>
        <v>79286.175360000008</v>
      </c>
      <c r="J36" s="15">
        <f>F34</f>
        <v>1503</v>
      </c>
      <c r="K36" s="15">
        <f>I36/J36</f>
        <v>52.751946347305392</v>
      </c>
      <c r="L36" s="26"/>
      <c r="M36" s="16"/>
    </row>
    <row r="37" spans="1:13" s="2" customFormat="1" ht="15" hidden="1" customHeight="1" x14ac:dyDescent="0.25">
      <c r="A37" s="95" t="s">
        <v>91</v>
      </c>
      <c r="B37" s="95"/>
      <c r="C37" s="95"/>
      <c r="D37" s="95"/>
      <c r="E37" s="95"/>
      <c r="F37" s="15">
        <v>11538</v>
      </c>
      <c r="G37" s="15">
        <f t="shared" si="2"/>
        <v>0.3664</v>
      </c>
      <c r="H37" s="15">
        <f t="shared" ref="H37:H46" si="3">F37*G37*12</f>
        <v>50730.278399999996</v>
      </c>
      <c r="I37" s="15">
        <f t="shared" ref="I37:I46" si="4">H37*1.302</f>
        <v>66050.822476799993</v>
      </c>
      <c r="J37" s="15">
        <f>J36</f>
        <v>1503</v>
      </c>
      <c r="K37" s="15">
        <f t="shared" ref="K37:K46" si="5">I37/J37</f>
        <v>43.945989671856282</v>
      </c>
      <c r="L37" s="26"/>
      <c r="M37" s="16"/>
    </row>
    <row r="38" spans="1:13" s="2" customFormat="1" ht="15" hidden="1" customHeight="1" x14ac:dyDescent="0.25">
      <c r="A38" s="95" t="s">
        <v>43</v>
      </c>
      <c r="B38" s="95"/>
      <c r="C38" s="95"/>
      <c r="D38" s="95"/>
      <c r="E38" s="95"/>
      <c r="F38" s="15">
        <v>8837</v>
      </c>
      <c r="G38" s="15">
        <f t="shared" si="2"/>
        <v>0.3664</v>
      </c>
      <c r="H38" s="15">
        <f t="shared" si="3"/>
        <v>38854.5216</v>
      </c>
      <c r="I38" s="15">
        <f t="shared" si="4"/>
        <v>50588.587123199999</v>
      </c>
      <c r="J38" s="15">
        <f t="shared" ref="J38:J44" si="6">J37</f>
        <v>1503</v>
      </c>
      <c r="K38" s="15">
        <f t="shared" si="5"/>
        <v>33.658407932934132</v>
      </c>
      <c r="L38" s="26"/>
      <c r="M38" s="16"/>
    </row>
    <row r="39" spans="1:13" s="2" customFormat="1" ht="15" hidden="1" customHeight="1" x14ac:dyDescent="0.25">
      <c r="A39" s="95" t="s">
        <v>45</v>
      </c>
      <c r="B39" s="95"/>
      <c r="C39" s="95"/>
      <c r="D39" s="95"/>
      <c r="E39" s="95"/>
      <c r="F39" s="15">
        <v>8837</v>
      </c>
      <c r="G39" s="15">
        <f t="shared" si="2"/>
        <v>0.54959999999999998</v>
      </c>
      <c r="H39" s="15">
        <f t="shared" si="3"/>
        <v>58281.782399999996</v>
      </c>
      <c r="I39" s="15">
        <f t="shared" si="4"/>
        <v>75882.880684799995</v>
      </c>
      <c r="J39" s="15">
        <f t="shared" si="6"/>
        <v>1503</v>
      </c>
      <c r="K39" s="15">
        <f t="shared" si="5"/>
        <v>50.487611899401195</v>
      </c>
      <c r="L39" s="26"/>
      <c r="M39" s="16"/>
    </row>
    <row r="40" spans="1:13" s="2" customFormat="1" ht="15" hidden="1" customHeight="1" x14ac:dyDescent="0.25">
      <c r="A40" s="95" t="s">
        <v>44</v>
      </c>
      <c r="B40" s="95"/>
      <c r="C40" s="95"/>
      <c r="D40" s="95"/>
      <c r="E40" s="95"/>
      <c r="F40" s="15">
        <v>6556</v>
      </c>
      <c r="G40" s="15">
        <f t="shared" si="2"/>
        <v>2.3816000000000002</v>
      </c>
      <c r="H40" s="15">
        <f t="shared" si="3"/>
        <v>187365.23520000002</v>
      </c>
      <c r="I40" s="15">
        <f t="shared" si="4"/>
        <v>243949.53623040003</v>
      </c>
      <c r="J40" s="15">
        <f t="shared" si="6"/>
        <v>1503</v>
      </c>
      <c r="K40" s="15">
        <f t="shared" si="5"/>
        <v>162.30840733892217</v>
      </c>
      <c r="L40" s="26"/>
      <c r="M40" s="16"/>
    </row>
    <row r="41" spans="1:13" s="2" customFormat="1" ht="15" hidden="1" customHeight="1" x14ac:dyDescent="0.25">
      <c r="A41" s="95" t="s">
        <v>77</v>
      </c>
      <c r="B41" s="95"/>
      <c r="C41" s="95"/>
      <c r="D41" s="95"/>
      <c r="E41" s="95"/>
      <c r="F41" s="15">
        <v>2248</v>
      </c>
      <c r="G41" s="15">
        <f t="shared" si="2"/>
        <v>0.1832</v>
      </c>
      <c r="H41" s="15">
        <f t="shared" si="3"/>
        <v>4942.0032000000001</v>
      </c>
      <c r="I41" s="15">
        <f t="shared" si="4"/>
        <v>6434.4881664000004</v>
      </c>
      <c r="J41" s="15">
        <f t="shared" si="6"/>
        <v>1503</v>
      </c>
      <c r="K41" s="15">
        <f t="shared" si="5"/>
        <v>4.2810965844311379</v>
      </c>
      <c r="L41" s="26"/>
      <c r="M41" s="16"/>
    </row>
    <row r="42" spans="1:13" s="2" customFormat="1" ht="15" hidden="1" customHeight="1" x14ac:dyDescent="0.25">
      <c r="A42" s="95" t="s">
        <v>76</v>
      </c>
      <c r="B42" s="95"/>
      <c r="C42" s="95"/>
      <c r="D42" s="95"/>
      <c r="E42" s="95"/>
      <c r="F42" s="15">
        <v>3993</v>
      </c>
      <c r="G42" s="15">
        <f t="shared" si="2"/>
        <v>0.3664</v>
      </c>
      <c r="H42" s="15">
        <f t="shared" si="3"/>
        <v>17556.422399999999</v>
      </c>
      <c r="I42" s="15">
        <f t="shared" si="4"/>
        <v>22858.461964800001</v>
      </c>
      <c r="J42" s="15">
        <f t="shared" si="6"/>
        <v>1503</v>
      </c>
      <c r="K42" s="15">
        <f t="shared" si="5"/>
        <v>15.208557528143713</v>
      </c>
      <c r="L42" s="26"/>
      <c r="M42" s="16"/>
    </row>
    <row r="43" spans="1:13" s="2" customFormat="1" ht="15" hidden="1" customHeight="1" x14ac:dyDescent="0.25">
      <c r="A43" s="95" t="s">
        <v>52</v>
      </c>
      <c r="B43" s="95"/>
      <c r="C43" s="95"/>
      <c r="D43" s="95"/>
      <c r="E43" s="95"/>
      <c r="F43" s="15">
        <v>8837</v>
      </c>
      <c r="G43" s="15">
        <f t="shared" si="2"/>
        <v>0.3664</v>
      </c>
      <c r="H43" s="15">
        <f t="shared" si="3"/>
        <v>38854.5216</v>
      </c>
      <c r="I43" s="15">
        <f t="shared" si="4"/>
        <v>50588.587123199999</v>
      </c>
      <c r="J43" s="15">
        <f t="shared" si="6"/>
        <v>1503</v>
      </c>
      <c r="K43" s="15">
        <f t="shared" si="5"/>
        <v>33.658407932934132</v>
      </c>
      <c r="L43" s="26"/>
      <c r="M43" s="16"/>
    </row>
    <row r="44" spans="1:13" s="2" customFormat="1" ht="15" hidden="1" customHeight="1" x14ac:dyDescent="0.25">
      <c r="A44" s="95" t="s">
        <v>47</v>
      </c>
      <c r="B44" s="95"/>
      <c r="C44" s="95"/>
      <c r="D44" s="95"/>
      <c r="E44" s="95"/>
      <c r="F44" s="15">
        <v>8837</v>
      </c>
      <c r="G44" s="15">
        <f t="shared" si="2"/>
        <v>0.3664</v>
      </c>
      <c r="H44" s="15">
        <f t="shared" si="3"/>
        <v>38854.5216</v>
      </c>
      <c r="I44" s="15">
        <f t="shared" si="4"/>
        <v>50588.587123199999</v>
      </c>
      <c r="J44" s="15">
        <f t="shared" si="6"/>
        <v>1503</v>
      </c>
      <c r="K44" s="15">
        <f t="shared" si="5"/>
        <v>33.658407932934132</v>
      </c>
      <c r="L44" s="26"/>
      <c r="M44" s="16"/>
    </row>
    <row r="45" spans="1:13" s="2" customFormat="1" ht="15" hidden="1" customHeight="1" x14ac:dyDescent="0.25">
      <c r="A45" s="95" t="s">
        <v>51</v>
      </c>
      <c r="B45" s="95"/>
      <c r="C45" s="95"/>
      <c r="D45" s="95"/>
      <c r="E45" s="95"/>
      <c r="F45" s="15">
        <v>4565</v>
      </c>
      <c r="G45" s="15">
        <f t="shared" si="2"/>
        <v>0.3664</v>
      </c>
      <c r="H45" s="15">
        <f t="shared" si="3"/>
        <v>20071.392</v>
      </c>
      <c r="I45" s="15">
        <f t="shared" si="4"/>
        <v>26132.952384</v>
      </c>
      <c r="J45" s="15">
        <f>J43</f>
        <v>1503</v>
      </c>
      <c r="K45" s="15">
        <f t="shared" si="5"/>
        <v>17.387193868263473</v>
      </c>
      <c r="L45" s="26"/>
      <c r="M45" s="16"/>
    </row>
    <row r="46" spans="1:13" s="2" customFormat="1" ht="15" hidden="1" customHeight="1" x14ac:dyDescent="0.25">
      <c r="A46" s="95" t="s">
        <v>46</v>
      </c>
      <c r="B46" s="95"/>
      <c r="C46" s="95"/>
      <c r="D46" s="95"/>
      <c r="E46" s="95"/>
      <c r="F46" s="15">
        <v>8837</v>
      </c>
      <c r="G46" s="15" t="e">
        <f>#REF!</f>
        <v>#REF!</v>
      </c>
      <c r="H46" s="15" t="e">
        <f t="shared" si="3"/>
        <v>#REF!</v>
      </c>
      <c r="I46" s="15" t="e">
        <f t="shared" si="4"/>
        <v>#REF!</v>
      </c>
      <c r="J46" s="15">
        <f>J44</f>
        <v>1503</v>
      </c>
      <c r="K46" s="15" t="e">
        <f t="shared" si="5"/>
        <v>#REF!</v>
      </c>
      <c r="L46" s="26"/>
      <c r="M46" s="16"/>
    </row>
    <row r="47" spans="1:13" s="2" customFormat="1" ht="15" hidden="1" customHeight="1" x14ac:dyDescent="0.25">
      <c r="A47" s="95" t="s">
        <v>49</v>
      </c>
      <c r="B47" s="95"/>
      <c r="C47" s="95"/>
      <c r="D47" s="95"/>
      <c r="E47" s="95"/>
      <c r="F47" s="15">
        <v>8837</v>
      </c>
      <c r="G47" s="15">
        <f t="shared" ref="G47:G49" si="7">F29</f>
        <v>0.3664</v>
      </c>
      <c r="H47" s="15">
        <f>F47*G47*12</f>
        <v>38854.5216</v>
      </c>
      <c r="I47" s="15">
        <f>H47*1.302</f>
        <v>50588.587123199999</v>
      </c>
      <c r="J47" s="15">
        <f>F34</f>
        <v>1503</v>
      </c>
      <c r="K47" s="15">
        <f>I47/J47</f>
        <v>33.658407932934132</v>
      </c>
      <c r="L47" s="26"/>
      <c r="M47" s="16"/>
    </row>
    <row r="48" spans="1:13" s="2" customFormat="1" ht="15" hidden="1" customHeight="1" x14ac:dyDescent="0.25">
      <c r="A48" s="95" t="s">
        <v>54</v>
      </c>
      <c r="B48" s="95"/>
      <c r="C48" s="95"/>
      <c r="D48" s="95"/>
      <c r="E48" s="95"/>
      <c r="F48" s="15">
        <v>11538</v>
      </c>
      <c r="G48" s="15">
        <f t="shared" si="7"/>
        <v>0.3664</v>
      </c>
      <c r="H48" s="15">
        <f t="shared" ref="H48" si="8">F48*G48*12</f>
        <v>50730.278399999996</v>
      </c>
      <c r="I48" s="15">
        <f t="shared" ref="I48:I49" si="9">H48*1.302</f>
        <v>66050.822476799993</v>
      </c>
      <c r="J48" s="15">
        <f t="shared" ref="J48:J50" si="10">J47</f>
        <v>1503</v>
      </c>
      <c r="K48" s="15">
        <f t="shared" ref="K48:K49" si="11">I48/J48</f>
        <v>43.945989671856282</v>
      </c>
      <c r="L48" s="26"/>
      <c r="M48" s="16"/>
    </row>
    <row r="49" spans="1:14" s="2" customFormat="1" ht="15" hidden="1" customHeight="1" x14ac:dyDescent="0.25">
      <c r="A49" s="95" t="s">
        <v>78</v>
      </c>
      <c r="B49" s="95"/>
      <c r="C49" s="95"/>
      <c r="D49" s="95"/>
      <c r="E49" s="95"/>
      <c r="F49" s="15">
        <v>11538</v>
      </c>
      <c r="G49" s="15">
        <f t="shared" si="7"/>
        <v>0.3664</v>
      </c>
      <c r="H49" s="15">
        <f>F49*G49*12</f>
        <v>50730.278399999996</v>
      </c>
      <c r="I49" s="72">
        <f t="shared" si="9"/>
        <v>66050.822476799993</v>
      </c>
      <c r="J49" s="15">
        <f t="shared" si="10"/>
        <v>1503</v>
      </c>
      <c r="K49" s="72">
        <f t="shared" si="11"/>
        <v>43.945989671856282</v>
      </c>
      <c r="L49" s="26"/>
      <c r="M49" s="16"/>
    </row>
    <row r="50" spans="1:14" customFormat="1" ht="15.75" customHeight="1" thickBot="1" x14ac:dyDescent="0.3">
      <c r="A50" s="30" t="s">
        <v>79</v>
      </c>
      <c r="B50" s="31"/>
      <c r="C50" s="31"/>
      <c r="D50" s="31"/>
      <c r="E50" s="31"/>
      <c r="F50" s="11">
        <v>28749.48</v>
      </c>
      <c r="G50" s="11">
        <f>F32</f>
        <v>6.7783999999999978</v>
      </c>
      <c r="H50" s="71">
        <v>2339057.69</v>
      </c>
      <c r="I50" s="73">
        <f>(H50*1.302)-0.28</f>
        <v>3045452.83238</v>
      </c>
      <c r="J50" s="74">
        <f t="shared" si="10"/>
        <v>1503</v>
      </c>
      <c r="K50" s="73">
        <f>I50/J50</f>
        <v>2026.2493894743845</v>
      </c>
      <c r="L50" s="26"/>
      <c r="M50" s="67">
        <f>I50+I90+'Услуга №2 '!I60+'Услуга №2 '!I101+'Услуга №3'!I60+'Услуга №3'!I100</f>
        <v>10259363.87294</v>
      </c>
      <c r="N50" s="17">
        <f>M50-10259363.87</f>
        <v>2.9400009661912918E-3</v>
      </c>
    </row>
    <row r="51" spans="1:14" s="2" customFormat="1" ht="13.5" customHeight="1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</row>
    <row r="52" spans="1:14" s="2" customFormat="1" ht="14.25" customHeight="1" x14ac:dyDescent="0.25">
      <c r="A52" s="115" t="s">
        <v>9</v>
      </c>
      <c r="B52" s="115"/>
      <c r="C52" s="115"/>
      <c r="D52" s="115"/>
      <c r="E52" s="115"/>
      <c r="F52" s="115"/>
      <c r="G52" s="115"/>
      <c r="H52" s="115"/>
      <c r="I52" s="115"/>
      <c r="J52" s="115"/>
      <c r="K52" s="115"/>
      <c r="L52" s="115"/>
      <c r="M52" s="16"/>
    </row>
    <row r="53" spans="1:14" s="2" customFormat="1" ht="45" x14ac:dyDescent="0.25">
      <c r="A53" s="121" t="s">
        <v>10</v>
      </c>
      <c r="B53" s="121"/>
      <c r="C53" s="121"/>
      <c r="D53" s="121"/>
      <c r="E53" s="121"/>
      <c r="F53" s="27" t="s">
        <v>8</v>
      </c>
      <c r="G53" s="27" t="s">
        <v>69</v>
      </c>
      <c r="H53" s="27" t="s">
        <v>70</v>
      </c>
      <c r="I53" s="27" t="s">
        <v>80</v>
      </c>
      <c r="J53" s="27" t="s">
        <v>74</v>
      </c>
      <c r="K53" s="32" t="s">
        <v>75</v>
      </c>
      <c r="L53" s="33"/>
      <c r="M53" s="16"/>
    </row>
    <row r="54" spans="1:14" s="2" customFormat="1" x14ac:dyDescent="0.25">
      <c r="A54" s="117" t="s">
        <v>11</v>
      </c>
      <c r="B54" s="118"/>
      <c r="C54" s="118"/>
      <c r="D54" s="118"/>
      <c r="E54" s="119"/>
      <c r="F54" s="29" t="s">
        <v>81</v>
      </c>
      <c r="G54" s="29">
        <v>72000</v>
      </c>
      <c r="H54" s="68">
        <v>5.0999999999999996</v>
      </c>
      <c r="I54" s="29">
        <f>392653.17*36.64%</f>
        <v>143868.121488</v>
      </c>
      <c r="J54" s="15">
        <f>J49</f>
        <v>1503</v>
      </c>
      <c r="K54" s="34">
        <f>I54/J54</f>
        <v>95.720639712574851</v>
      </c>
      <c r="L54" s="33"/>
      <c r="M54" s="16"/>
    </row>
    <row r="55" spans="1:14" s="2" customFormat="1" x14ac:dyDescent="0.25">
      <c r="A55" s="95" t="s">
        <v>12</v>
      </c>
      <c r="B55" s="95"/>
      <c r="C55" s="95"/>
      <c r="D55" s="95"/>
      <c r="E55" s="95"/>
      <c r="F55" s="15" t="s">
        <v>15</v>
      </c>
      <c r="G55" s="15">
        <v>810</v>
      </c>
      <c r="H55" s="46">
        <v>1711</v>
      </c>
      <c r="I55" s="29">
        <f>1457837.9*36.64%</f>
        <v>534151.80655999994</v>
      </c>
      <c r="J55" s="15">
        <f>J54</f>
        <v>1503</v>
      </c>
      <c r="K55" s="34">
        <f t="shared" ref="K55:K58" si="12">I55/J55</f>
        <v>355.39042352628076</v>
      </c>
      <c r="L55" s="35"/>
      <c r="M55" s="16"/>
    </row>
    <row r="56" spans="1:14" s="2" customFormat="1" x14ac:dyDescent="0.25">
      <c r="A56" s="95" t="s">
        <v>13</v>
      </c>
      <c r="B56" s="95"/>
      <c r="C56" s="95"/>
      <c r="D56" s="95"/>
      <c r="E56" s="95"/>
      <c r="F56" s="15" t="s">
        <v>16</v>
      </c>
      <c r="G56" s="15">
        <v>400</v>
      </c>
      <c r="H56" s="46">
        <v>42</v>
      </c>
      <c r="I56" s="29">
        <f>18546.28*36.64%</f>
        <v>6795.356992</v>
      </c>
      <c r="J56" s="15">
        <f>J55</f>
        <v>1503</v>
      </c>
      <c r="K56" s="34">
        <f t="shared" si="12"/>
        <v>4.5211956034597476</v>
      </c>
      <c r="L56" s="35"/>
      <c r="M56" s="16"/>
    </row>
    <row r="57" spans="1:14" s="2" customFormat="1" x14ac:dyDescent="0.25">
      <c r="A57" s="95" t="s">
        <v>14</v>
      </c>
      <c r="B57" s="95"/>
      <c r="C57" s="95"/>
      <c r="D57" s="95"/>
      <c r="E57" s="95"/>
      <c r="F57" s="15" t="s">
        <v>16</v>
      </c>
      <c r="G57" s="15">
        <v>400</v>
      </c>
      <c r="H57" s="46">
        <v>61</v>
      </c>
      <c r="I57" s="29">
        <f>27008.92*36.64%</f>
        <v>9896.0682879999986</v>
      </c>
      <c r="J57" s="15">
        <f>J55</f>
        <v>1503</v>
      </c>
      <c r="K57" s="34">
        <f t="shared" si="12"/>
        <v>6.5842104377910839</v>
      </c>
      <c r="L57" s="35"/>
      <c r="M57" s="16"/>
    </row>
    <row r="58" spans="1:14" s="2" customFormat="1" ht="15.75" thickBot="1" x14ac:dyDescent="0.3">
      <c r="A58" s="117" t="s">
        <v>58</v>
      </c>
      <c r="B58" s="120"/>
      <c r="C58" s="120"/>
      <c r="D58" s="120"/>
      <c r="E58" s="120"/>
      <c r="F58" s="15" t="s">
        <v>16</v>
      </c>
      <c r="G58" s="15">
        <v>12</v>
      </c>
      <c r="H58" s="69"/>
      <c r="I58" s="77">
        <f>5538.78*36.64%-0.01</f>
        <v>2029.3989919999999</v>
      </c>
      <c r="J58" s="15">
        <f t="shared" ref="J58:J59" si="13">J56</f>
        <v>1503</v>
      </c>
      <c r="K58" s="78">
        <f t="shared" si="12"/>
        <v>1.3502321969394544</v>
      </c>
      <c r="L58" s="35"/>
      <c r="M58" s="16"/>
    </row>
    <row r="59" spans="1:14" s="2" customFormat="1" ht="15.75" thickBot="1" x14ac:dyDescent="0.3">
      <c r="A59" s="113" t="s">
        <v>17</v>
      </c>
      <c r="B59" s="114"/>
      <c r="C59" s="114"/>
      <c r="D59" s="114"/>
      <c r="E59" s="114"/>
      <c r="F59" s="114"/>
      <c r="G59" s="114"/>
      <c r="H59" s="114"/>
      <c r="I59" s="73">
        <f>SUM(I54:I58)</f>
        <v>696740.75231999997</v>
      </c>
      <c r="J59" s="74">
        <f t="shared" si="13"/>
        <v>1503</v>
      </c>
      <c r="K59" s="73">
        <f>I59/J59</f>
        <v>463.56670147704591</v>
      </c>
      <c r="L59" s="26"/>
      <c r="M59" s="22">
        <f>I59+'Услуга №2 '!I69+'Услуга №3'!I69</f>
        <v>1901585.04</v>
      </c>
    </row>
    <row r="60" spans="1:14" s="2" customFormat="1" ht="12" customHeight="1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</row>
    <row r="61" spans="1:14" s="2" customFormat="1" x14ac:dyDescent="0.25">
      <c r="A61" s="115" t="s">
        <v>18</v>
      </c>
      <c r="B61" s="115"/>
      <c r="C61" s="115"/>
      <c r="D61" s="115"/>
      <c r="E61" s="115"/>
      <c r="F61" s="115"/>
      <c r="G61" s="115"/>
      <c r="H61" s="115"/>
      <c r="I61" s="115"/>
      <c r="J61" s="115"/>
      <c r="K61" s="115"/>
      <c r="L61" s="115"/>
      <c r="M61" s="16"/>
    </row>
    <row r="62" spans="1:14" s="2" customFormat="1" ht="45" x14ac:dyDescent="0.25">
      <c r="A62" s="96" t="s">
        <v>22</v>
      </c>
      <c r="B62" s="97"/>
      <c r="C62" s="97"/>
      <c r="D62" s="97"/>
      <c r="E62" s="98"/>
      <c r="F62" s="27" t="s">
        <v>8</v>
      </c>
      <c r="G62" s="27" t="s">
        <v>69</v>
      </c>
      <c r="H62" s="27" t="s">
        <v>70</v>
      </c>
      <c r="I62" s="27" t="s">
        <v>80</v>
      </c>
      <c r="J62" s="27" t="s">
        <v>74</v>
      </c>
      <c r="K62" s="32" t="s">
        <v>75</v>
      </c>
      <c r="L62" s="33"/>
      <c r="M62" s="16"/>
    </row>
    <row r="63" spans="1:14" s="2" customFormat="1" x14ac:dyDescent="0.25">
      <c r="A63" s="95" t="s">
        <v>82</v>
      </c>
      <c r="B63" s="95"/>
      <c r="C63" s="95"/>
      <c r="D63" s="95"/>
      <c r="E63" s="95"/>
      <c r="F63" s="15" t="s">
        <v>20</v>
      </c>
      <c r="G63" s="15">
        <v>12</v>
      </c>
      <c r="H63" s="15">
        <v>4000</v>
      </c>
      <c r="I63" s="15">
        <f>48000*36.64%</f>
        <v>17587.2</v>
      </c>
      <c r="J63" s="15">
        <f>J57</f>
        <v>1503</v>
      </c>
      <c r="K63" s="36">
        <f>I63/J63</f>
        <v>11.701397205588822</v>
      </c>
      <c r="L63" s="35"/>
      <c r="M63" s="16"/>
    </row>
    <row r="64" spans="1:14" s="2" customFormat="1" x14ac:dyDescent="0.25">
      <c r="A64" s="95" t="s">
        <v>19</v>
      </c>
      <c r="B64" s="95"/>
      <c r="C64" s="95"/>
      <c r="D64" s="95"/>
      <c r="E64" s="95"/>
      <c r="F64" s="15" t="s">
        <v>20</v>
      </c>
      <c r="G64" s="15">
        <v>12</v>
      </c>
      <c r="H64" s="15">
        <v>570</v>
      </c>
      <c r="I64" s="15">
        <f>6840*36.64%</f>
        <v>2506.1759999999999</v>
      </c>
      <c r="J64" s="15">
        <f>J63</f>
        <v>1503</v>
      </c>
      <c r="K64" s="36">
        <f t="shared" ref="K64:K68" si="14">I64/J64</f>
        <v>1.667449101796407</v>
      </c>
      <c r="L64" s="35"/>
      <c r="M64" s="16"/>
    </row>
    <row r="65" spans="1:13" s="23" customFormat="1" ht="16.5" customHeight="1" x14ac:dyDescent="0.25">
      <c r="A65" s="112" t="s">
        <v>57</v>
      </c>
      <c r="B65" s="112"/>
      <c r="C65" s="112"/>
      <c r="D65" s="112"/>
      <c r="E65" s="112"/>
      <c r="F65" s="37" t="s">
        <v>20</v>
      </c>
      <c r="G65" s="37">
        <v>12</v>
      </c>
      <c r="H65" s="37">
        <v>3000</v>
      </c>
      <c r="I65" s="37">
        <f>36000*36.64%</f>
        <v>13190.4</v>
      </c>
      <c r="J65" s="37">
        <f>J64</f>
        <v>1503</v>
      </c>
      <c r="K65" s="38">
        <f t="shared" si="14"/>
        <v>8.776047904191616</v>
      </c>
      <c r="L65" s="39"/>
      <c r="M65" s="40"/>
    </row>
    <row r="66" spans="1:13" s="23" customFormat="1" ht="33" customHeight="1" x14ac:dyDescent="0.25">
      <c r="A66" s="112" t="s">
        <v>95</v>
      </c>
      <c r="B66" s="112"/>
      <c r="C66" s="112"/>
      <c r="D66" s="112"/>
      <c r="E66" s="112"/>
      <c r="F66" s="37" t="s">
        <v>20</v>
      </c>
      <c r="G66" s="37">
        <v>12</v>
      </c>
      <c r="H66" s="37">
        <v>4000</v>
      </c>
      <c r="I66" s="37">
        <f>48000*36.64%</f>
        <v>17587.2</v>
      </c>
      <c r="J66" s="37">
        <f>J65</f>
        <v>1503</v>
      </c>
      <c r="K66" s="38">
        <f t="shared" si="14"/>
        <v>11.701397205588822</v>
      </c>
      <c r="L66" s="39"/>
      <c r="M66" s="40"/>
    </row>
    <row r="67" spans="1:13" s="2" customFormat="1" ht="16.5" customHeight="1" x14ac:dyDescent="0.25">
      <c r="A67" s="116" t="s">
        <v>102</v>
      </c>
      <c r="B67" s="116"/>
      <c r="C67" s="116"/>
      <c r="D67" s="116"/>
      <c r="E67" s="116"/>
      <c r="F67" s="15" t="s">
        <v>20</v>
      </c>
      <c r="G67" s="15">
        <v>12</v>
      </c>
      <c r="H67" s="15">
        <v>2500</v>
      </c>
      <c r="I67" s="15">
        <f>30000*36.64%</f>
        <v>10992</v>
      </c>
      <c r="J67" s="15">
        <f>J65</f>
        <v>1503</v>
      </c>
      <c r="K67" s="36">
        <f t="shared" si="14"/>
        <v>7.3133732534930136</v>
      </c>
      <c r="L67" s="35"/>
      <c r="M67" s="16"/>
    </row>
    <row r="68" spans="1:13" s="2" customFormat="1" ht="15" customHeight="1" x14ac:dyDescent="0.25">
      <c r="A68" s="116" t="s">
        <v>103</v>
      </c>
      <c r="B68" s="116"/>
      <c r="C68" s="116"/>
      <c r="D68" s="116"/>
      <c r="E68" s="116"/>
      <c r="F68" s="15" t="s">
        <v>20</v>
      </c>
      <c r="G68" s="15">
        <v>4</v>
      </c>
      <c r="H68" s="15">
        <v>1000</v>
      </c>
      <c r="I68" s="15">
        <f>4000*36.64%</f>
        <v>1465.6</v>
      </c>
      <c r="J68" s="15">
        <f>J65</f>
        <v>1503</v>
      </c>
      <c r="K68" s="36">
        <f t="shared" si="14"/>
        <v>0.97511643379906843</v>
      </c>
      <c r="L68" s="35"/>
      <c r="M68" s="16"/>
    </row>
    <row r="69" spans="1:13" s="2" customFormat="1" ht="15" customHeight="1" thickBot="1" x14ac:dyDescent="0.3">
      <c r="A69" s="116" t="s">
        <v>104</v>
      </c>
      <c r="B69" s="116"/>
      <c r="C69" s="116"/>
      <c r="D69" s="116"/>
      <c r="E69" s="116"/>
      <c r="F69" s="15" t="s">
        <v>20</v>
      </c>
      <c r="G69" s="15">
        <v>12</v>
      </c>
      <c r="H69" s="15">
        <v>3250</v>
      </c>
      <c r="I69" s="72">
        <f>6500*36.64%</f>
        <v>2381.6</v>
      </c>
      <c r="J69" s="15">
        <f>J66</f>
        <v>1503</v>
      </c>
      <c r="K69" s="79">
        <f t="shared" ref="K69" si="15">I69/J69</f>
        <v>1.5845642049234863</v>
      </c>
      <c r="L69" s="35"/>
      <c r="M69" s="16"/>
    </row>
    <row r="70" spans="1:13" customFormat="1" ht="18.75" customHeight="1" thickBot="1" x14ac:dyDescent="0.3">
      <c r="A70" s="113" t="s">
        <v>21</v>
      </c>
      <c r="B70" s="114"/>
      <c r="C70" s="114"/>
      <c r="D70" s="114"/>
      <c r="E70" s="114"/>
      <c r="F70" s="114"/>
      <c r="G70" s="114"/>
      <c r="H70" s="114"/>
      <c r="I70" s="73">
        <f>SUM(I63:I69)</f>
        <v>65710.175999999992</v>
      </c>
      <c r="J70" s="74">
        <f>J67</f>
        <v>1503</v>
      </c>
      <c r="K70" s="73">
        <f>I70/J70</f>
        <v>43.719345309381232</v>
      </c>
      <c r="L70" s="26"/>
      <c r="M70" s="22">
        <f>I70+'Услуга №2 '!I80+'Услуга №3'!I80</f>
        <v>179339.99999999997</v>
      </c>
    </row>
    <row r="71" spans="1:13" s="2" customFormat="1" ht="12.75" customHeight="1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</row>
    <row r="72" spans="1:13" s="2" customFormat="1" x14ac:dyDescent="0.25">
      <c r="A72" s="115" t="s">
        <v>85</v>
      </c>
      <c r="B72" s="115"/>
      <c r="C72" s="115"/>
      <c r="D72" s="115"/>
      <c r="E72" s="115"/>
      <c r="F72" s="115"/>
      <c r="G72" s="115"/>
      <c r="H72" s="115"/>
      <c r="I72" s="115"/>
      <c r="J72" s="115"/>
      <c r="K72" s="115"/>
      <c r="L72" s="115"/>
      <c r="M72" s="16"/>
    </row>
    <row r="73" spans="1:13" s="2" customFormat="1" ht="60" customHeight="1" x14ac:dyDescent="0.25">
      <c r="A73" s="96" t="s">
        <v>23</v>
      </c>
      <c r="B73" s="97"/>
      <c r="C73" s="97"/>
      <c r="D73" s="97"/>
      <c r="E73" s="98"/>
      <c r="F73" s="27" t="s">
        <v>8</v>
      </c>
      <c r="G73" s="27" t="s">
        <v>69</v>
      </c>
      <c r="H73" s="27" t="s">
        <v>70</v>
      </c>
      <c r="I73" s="27" t="s">
        <v>80</v>
      </c>
      <c r="J73" s="42" t="s">
        <v>74</v>
      </c>
      <c r="K73" s="28" t="s">
        <v>75</v>
      </c>
      <c r="L73" s="43"/>
      <c r="M73" s="43"/>
    </row>
    <row r="74" spans="1:13" s="2" customFormat="1" ht="42" customHeight="1" x14ac:dyDescent="0.25">
      <c r="A74" s="117" t="s">
        <v>24</v>
      </c>
      <c r="B74" s="118"/>
      <c r="C74" s="118"/>
      <c r="D74" s="118"/>
      <c r="E74" s="119"/>
      <c r="F74" s="44" t="s">
        <v>25</v>
      </c>
      <c r="G74" s="15">
        <v>4</v>
      </c>
      <c r="H74" s="46">
        <v>536.9</v>
      </c>
      <c r="I74" s="15">
        <f>25771.2*36.64%</f>
        <v>9442.5676800000001</v>
      </c>
      <c r="J74" s="36">
        <f>F34</f>
        <v>1503</v>
      </c>
      <c r="K74" s="15">
        <f>I74/J74</f>
        <v>6.282480159680639</v>
      </c>
      <c r="L74" s="26"/>
      <c r="M74" s="26"/>
    </row>
    <row r="75" spans="1:13" s="2" customFormat="1" ht="42" customHeight="1" x14ac:dyDescent="0.25">
      <c r="A75" s="117" t="s">
        <v>100</v>
      </c>
      <c r="B75" s="118"/>
      <c r="C75" s="118"/>
      <c r="D75" s="118"/>
      <c r="E75" s="119"/>
      <c r="F75" s="44" t="s">
        <v>25</v>
      </c>
      <c r="G75" s="15">
        <v>12</v>
      </c>
      <c r="H75" s="46">
        <v>76.7</v>
      </c>
      <c r="I75" s="15">
        <f>920.4*36.64%</f>
        <v>337.23455999999999</v>
      </c>
      <c r="J75" s="36">
        <f>J74</f>
        <v>1503</v>
      </c>
      <c r="K75" s="15">
        <f t="shared" ref="K75:K76" si="16">I75/J75</f>
        <v>0.22437429141716567</v>
      </c>
      <c r="L75" s="26"/>
      <c r="M75" s="26"/>
    </row>
    <row r="76" spans="1:13" s="2" customFormat="1" ht="40.5" customHeight="1" x14ac:dyDescent="0.25">
      <c r="A76" s="117" t="s">
        <v>101</v>
      </c>
      <c r="B76" s="118"/>
      <c r="C76" s="118"/>
      <c r="D76" s="118"/>
      <c r="E76" s="119"/>
      <c r="F76" s="44" t="s">
        <v>25</v>
      </c>
      <c r="G76" s="15"/>
      <c r="H76" s="46"/>
      <c r="I76" s="15">
        <f>2108.4*36.64%</f>
        <v>772.51776000000007</v>
      </c>
      <c r="J76" s="36">
        <f>J75</f>
        <v>1503</v>
      </c>
      <c r="K76" s="15">
        <f t="shared" si="16"/>
        <v>0.51398387225548903</v>
      </c>
      <c r="L76" s="26"/>
      <c r="M76" s="26"/>
    </row>
    <row r="77" spans="1:13" s="2" customFormat="1" ht="30.75" customHeight="1" thickBot="1" x14ac:dyDescent="0.3">
      <c r="A77" s="117" t="s">
        <v>86</v>
      </c>
      <c r="B77" s="118"/>
      <c r="C77" s="118"/>
      <c r="D77" s="118"/>
      <c r="E77" s="119"/>
      <c r="F77" s="44" t="s">
        <v>87</v>
      </c>
      <c r="G77" s="15">
        <v>12</v>
      </c>
      <c r="H77" s="46">
        <v>1000</v>
      </c>
      <c r="I77" s="72">
        <f>12000*36.64%</f>
        <v>4396.8</v>
      </c>
      <c r="J77" s="36">
        <f>J76</f>
        <v>1503</v>
      </c>
      <c r="K77" s="72">
        <f>I77/J77</f>
        <v>2.9253493013972056</v>
      </c>
      <c r="L77" s="26"/>
      <c r="M77" s="26"/>
    </row>
    <row r="78" spans="1:13" s="2" customFormat="1" ht="15.75" thickBot="1" x14ac:dyDescent="0.3">
      <c r="A78" s="113" t="s">
        <v>26</v>
      </c>
      <c r="B78" s="114"/>
      <c r="C78" s="114"/>
      <c r="D78" s="114"/>
      <c r="E78" s="114"/>
      <c r="F78" s="114"/>
      <c r="G78" s="114"/>
      <c r="H78" s="114"/>
      <c r="I78" s="80">
        <f>SUM(I74:I77)</f>
        <v>14949.120000000003</v>
      </c>
      <c r="J78" s="74">
        <f>J77</f>
        <v>1503</v>
      </c>
      <c r="K78" s="80">
        <f>I78/J78</f>
        <v>9.9461876247505003</v>
      </c>
      <c r="L78" s="14"/>
      <c r="M78" s="45">
        <f>I78+'Услуга №2 '!I93+'Услуга №3'!I93</f>
        <v>40800</v>
      </c>
    </row>
    <row r="79" spans="1:13" s="2" customFormat="1" x14ac:dyDescent="0.25">
      <c r="A79" s="41"/>
      <c r="B79" s="41"/>
      <c r="C79" s="41"/>
      <c r="D79" s="41"/>
      <c r="E79" s="41"/>
      <c r="F79" s="41"/>
      <c r="G79" s="41"/>
      <c r="H79" s="41"/>
      <c r="I79" s="14"/>
      <c r="J79" s="14"/>
      <c r="K79" s="14"/>
      <c r="L79" s="14"/>
      <c r="M79" s="26"/>
    </row>
    <row r="80" spans="1:13" s="2" customFormat="1" x14ac:dyDescent="0.25">
      <c r="A80" s="41"/>
      <c r="B80" s="41"/>
      <c r="C80" s="41"/>
      <c r="D80" s="41"/>
      <c r="E80" s="41"/>
      <c r="F80" s="41"/>
      <c r="G80" s="41"/>
      <c r="H80" s="41"/>
      <c r="I80" s="14"/>
      <c r="J80" s="14"/>
      <c r="K80" s="14"/>
      <c r="L80" s="14"/>
      <c r="M80" s="26"/>
    </row>
    <row r="81" spans="1:13" s="2" customFormat="1" x14ac:dyDescent="0.25">
      <c r="A81" s="115" t="s">
        <v>42</v>
      </c>
      <c r="B81" s="115"/>
      <c r="C81" s="115"/>
      <c r="D81" s="115"/>
      <c r="E81" s="115"/>
      <c r="F81" s="115"/>
      <c r="G81" s="115"/>
      <c r="H81" s="115"/>
      <c r="I81" s="115"/>
      <c r="J81" s="115"/>
      <c r="K81" s="115"/>
      <c r="L81" s="115"/>
      <c r="M81" s="16"/>
    </row>
    <row r="82" spans="1:13" s="2" customFormat="1" ht="75.75" thickBot="1" x14ac:dyDescent="0.3">
      <c r="A82" s="96" t="s">
        <v>5</v>
      </c>
      <c r="B82" s="97"/>
      <c r="C82" s="97"/>
      <c r="D82" s="97"/>
      <c r="E82" s="98"/>
      <c r="F82" s="27" t="s">
        <v>6</v>
      </c>
      <c r="G82" s="27" t="s">
        <v>1</v>
      </c>
      <c r="H82" s="27" t="s">
        <v>72</v>
      </c>
      <c r="I82" s="27" t="s">
        <v>73</v>
      </c>
      <c r="J82" s="27" t="s">
        <v>74</v>
      </c>
      <c r="K82" s="28" t="s">
        <v>75</v>
      </c>
      <c r="L82" s="43"/>
      <c r="M82" s="16"/>
    </row>
    <row r="83" spans="1:13" s="2" customFormat="1" ht="15" hidden="1" customHeight="1" x14ac:dyDescent="0.25">
      <c r="A83" s="95" t="s">
        <v>3</v>
      </c>
      <c r="B83" s="95"/>
      <c r="C83" s="95"/>
      <c r="D83" s="95"/>
      <c r="E83" s="95"/>
      <c r="F83" s="46">
        <v>15388</v>
      </c>
      <c r="G83" s="15">
        <f t="shared" ref="G83:G89" si="17">L19</f>
        <v>0.3664</v>
      </c>
      <c r="H83" s="12">
        <f>F83*12*G83</f>
        <v>67657.958400000003</v>
      </c>
      <c r="I83" s="15">
        <f>H83*1.302</f>
        <v>88090.661836800005</v>
      </c>
      <c r="J83" s="15">
        <f>J77</f>
        <v>1503</v>
      </c>
      <c r="K83" s="15">
        <f>I83/J83</f>
        <v>58.609888114970062</v>
      </c>
      <c r="L83" s="26"/>
      <c r="M83" s="16"/>
    </row>
    <row r="84" spans="1:13" s="2" customFormat="1" ht="15" hidden="1" customHeight="1" x14ac:dyDescent="0.25">
      <c r="A84" s="95" t="s">
        <v>92</v>
      </c>
      <c r="B84" s="95"/>
      <c r="C84" s="95"/>
      <c r="D84" s="95"/>
      <c r="E84" s="95"/>
      <c r="F84" s="15">
        <v>11538</v>
      </c>
      <c r="G84" s="15">
        <f t="shared" si="17"/>
        <v>0.3664</v>
      </c>
      <c r="H84" s="12">
        <f>F84*12*G84</f>
        <v>50730.278400000003</v>
      </c>
      <c r="I84" s="15">
        <f t="shared" ref="I84:I89" si="18">H84*1.302</f>
        <v>66050.822476800007</v>
      </c>
      <c r="J84" s="15">
        <f>J83</f>
        <v>1503</v>
      </c>
      <c r="K84" s="15">
        <f t="shared" ref="K84:K89" si="19">I84/J84</f>
        <v>43.945989671856289</v>
      </c>
      <c r="L84" s="26"/>
      <c r="M84" s="16"/>
    </row>
    <row r="85" spans="1:13" s="2" customFormat="1" ht="15" hidden="1" customHeight="1" x14ac:dyDescent="0.25">
      <c r="A85" s="95" t="s">
        <v>93</v>
      </c>
      <c r="B85" s="95"/>
      <c r="C85" s="95"/>
      <c r="D85" s="95"/>
      <c r="E85" s="95"/>
      <c r="F85" s="15">
        <v>11538</v>
      </c>
      <c r="G85" s="15">
        <f t="shared" si="17"/>
        <v>0.3664</v>
      </c>
      <c r="H85" s="12">
        <f t="shared" ref="H85:H89" si="20">F85*12*G85</f>
        <v>50730.278400000003</v>
      </c>
      <c r="I85" s="15">
        <f t="shared" si="18"/>
        <v>66050.822476800007</v>
      </c>
      <c r="J85" s="15">
        <f>J84</f>
        <v>1503</v>
      </c>
      <c r="K85" s="15">
        <f t="shared" si="19"/>
        <v>43.945989671856289</v>
      </c>
      <c r="L85" s="26"/>
      <c r="M85" s="16"/>
    </row>
    <row r="86" spans="1:13" s="2" customFormat="1" ht="15" hidden="1" customHeight="1" x14ac:dyDescent="0.25">
      <c r="A86" s="95" t="s">
        <v>68</v>
      </c>
      <c r="B86" s="95"/>
      <c r="C86" s="95"/>
      <c r="D86" s="95"/>
      <c r="E86" s="95"/>
      <c r="F86" s="15">
        <v>11538</v>
      </c>
      <c r="G86" s="15">
        <f t="shared" si="17"/>
        <v>0.3664</v>
      </c>
      <c r="H86" s="12">
        <f t="shared" si="20"/>
        <v>50730.278400000003</v>
      </c>
      <c r="I86" s="15">
        <f t="shared" si="18"/>
        <v>66050.822476800007</v>
      </c>
      <c r="J86" s="15">
        <f>J84</f>
        <v>1503</v>
      </c>
      <c r="K86" s="15">
        <f t="shared" si="19"/>
        <v>43.945989671856289</v>
      </c>
      <c r="L86" s="26"/>
      <c r="M86" s="16"/>
    </row>
    <row r="87" spans="1:13" s="2" customFormat="1" ht="15.75" hidden="1" customHeight="1" x14ac:dyDescent="0.25">
      <c r="A87" s="95" t="s">
        <v>50</v>
      </c>
      <c r="B87" s="95"/>
      <c r="C87" s="95"/>
      <c r="D87" s="95"/>
      <c r="E87" s="95"/>
      <c r="F87" s="15">
        <v>6556</v>
      </c>
      <c r="G87" s="15">
        <f t="shared" si="17"/>
        <v>0.73280000000000001</v>
      </c>
      <c r="H87" s="12">
        <f t="shared" si="20"/>
        <v>57650.8416</v>
      </c>
      <c r="I87" s="15">
        <f t="shared" si="18"/>
        <v>75061.395763200009</v>
      </c>
      <c r="J87" s="15">
        <f>J85</f>
        <v>1503</v>
      </c>
      <c r="K87" s="15">
        <f t="shared" si="19"/>
        <v>49.941048411976055</v>
      </c>
      <c r="L87" s="26"/>
      <c r="M87" s="16"/>
    </row>
    <row r="88" spans="1:13" s="2" customFormat="1" ht="14.25" hidden="1" customHeight="1" x14ac:dyDescent="0.25">
      <c r="A88" s="95" t="s">
        <v>48</v>
      </c>
      <c r="B88" s="95"/>
      <c r="C88" s="95"/>
      <c r="D88" s="95"/>
      <c r="E88" s="95"/>
      <c r="F88" s="46">
        <v>11538</v>
      </c>
      <c r="G88" s="15">
        <f t="shared" si="17"/>
        <v>1.0992</v>
      </c>
      <c r="H88" s="12">
        <f t="shared" si="20"/>
        <v>152190.8352</v>
      </c>
      <c r="I88" s="15">
        <f t="shared" si="18"/>
        <v>198152.46743040002</v>
      </c>
      <c r="J88" s="15">
        <f>J86</f>
        <v>1503</v>
      </c>
      <c r="K88" s="15">
        <f t="shared" si="19"/>
        <v>131.83796901556889</v>
      </c>
      <c r="L88" s="26"/>
      <c r="M88" s="16"/>
    </row>
    <row r="89" spans="1:13" s="2" customFormat="1" ht="15" hidden="1" customHeight="1" x14ac:dyDescent="0.25">
      <c r="A89" s="123" t="s">
        <v>55</v>
      </c>
      <c r="B89" s="124"/>
      <c r="C89" s="124"/>
      <c r="D89" s="124"/>
      <c r="E89" s="125"/>
      <c r="F89" s="46">
        <v>5669</v>
      </c>
      <c r="G89" s="15">
        <f t="shared" si="17"/>
        <v>0.3664</v>
      </c>
      <c r="H89" s="12">
        <f t="shared" si="20"/>
        <v>24925.459200000001</v>
      </c>
      <c r="I89" s="72">
        <f t="shared" si="18"/>
        <v>32452.947878400002</v>
      </c>
      <c r="J89" s="15">
        <f t="shared" ref="J89:J90" si="21">J87</f>
        <v>1503</v>
      </c>
      <c r="K89" s="72">
        <f t="shared" si="19"/>
        <v>21.592114356886228</v>
      </c>
      <c r="L89" s="26"/>
      <c r="M89" s="16"/>
    </row>
    <row r="90" spans="1:13" customFormat="1" ht="20.25" customHeight="1" thickBot="1" x14ac:dyDescent="0.3">
      <c r="A90" s="30" t="s">
        <v>27</v>
      </c>
      <c r="B90" s="31"/>
      <c r="C90" s="31"/>
      <c r="D90" s="31"/>
      <c r="E90" s="31"/>
      <c r="F90" s="11">
        <v>12478.69</v>
      </c>
      <c r="G90" s="11">
        <f>SUM(G83:G89)</f>
        <v>3.6640000000000001</v>
      </c>
      <c r="H90" s="71">
        <v>548064.06000000006</v>
      </c>
      <c r="I90" s="73">
        <f>H90*1.302</f>
        <v>713579.40612000006</v>
      </c>
      <c r="J90" s="81">
        <f t="shared" si="21"/>
        <v>1503</v>
      </c>
      <c r="K90" s="73">
        <f>I90/J90</f>
        <v>474.77006395209582</v>
      </c>
      <c r="L90" s="26"/>
      <c r="M90" s="16"/>
    </row>
    <row r="91" spans="1:13" s="2" customFormat="1" ht="12" customHeight="1" x14ac:dyDescent="0.25">
      <c r="A91" s="16"/>
      <c r="B91" s="16"/>
      <c r="C91" s="16"/>
      <c r="D91" s="16"/>
      <c r="E91" s="16"/>
      <c r="F91" s="47"/>
      <c r="G91" s="47"/>
      <c r="H91" s="47"/>
      <c r="I91" s="47"/>
      <c r="J91" s="47"/>
      <c r="K91" s="47"/>
      <c r="L91" s="47"/>
      <c r="M91" s="16"/>
    </row>
    <row r="92" spans="1:13" customFormat="1" x14ac:dyDescent="0.25">
      <c r="A92" s="107" t="s">
        <v>88</v>
      </c>
      <c r="B92" s="107"/>
      <c r="C92" s="107"/>
      <c r="D92" s="107"/>
      <c r="E92" s="107"/>
      <c r="F92" s="107"/>
      <c r="G92" s="107"/>
      <c r="H92" s="107"/>
      <c r="I92" s="107"/>
      <c r="J92" s="107"/>
      <c r="K92" s="107"/>
      <c r="L92" s="126"/>
      <c r="M92" s="16"/>
    </row>
    <row r="93" spans="1:13" customFormat="1" ht="45" x14ac:dyDescent="0.25">
      <c r="A93" s="121" t="s">
        <v>89</v>
      </c>
      <c r="B93" s="121"/>
      <c r="C93" s="121"/>
      <c r="D93" s="121"/>
      <c r="E93" s="121"/>
      <c r="F93" s="27" t="s">
        <v>8</v>
      </c>
      <c r="G93" s="27" t="s">
        <v>69</v>
      </c>
      <c r="H93" s="27" t="s">
        <v>70</v>
      </c>
      <c r="I93" s="27" t="s">
        <v>80</v>
      </c>
      <c r="J93" s="27" t="s">
        <v>74</v>
      </c>
      <c r="K93" s="32" t="s">
        <v>75</v>
      </c>
      <c r="L93" s="33"/>
      <c r="M93" s="16"/>
    </row>
    <row r="94" spans="1:13" customFormat="1" ht="30.75" customHeight="1" x14ac:dyDescent="0.25">
      <c r="A94" s="116" t="s">
        <v>105</v>
      </c>
      <c r="B94" s="116"/>
      <c r="C94" s="116"/>
      <c r="D94" s="116"/>
      <c r="E94" s="116"/>
      <c r="F94" s="15"/>
      <c r="G94" s="15"/>
      <c r="H94" s="12"/>
      <c r="I94" s="12">
        <f>27383.95*36.64%</f>
        <v>10033.47928</v>
      </c>
      <c r="J94" s="15">
        <f>J89</f>
        <v>1503</v>
      </c>
      <c r="K94" s="36">
        <f>I94/J94</f>
        <v>6.6756349168330003</v>
      </c>
      <c r="L94" s="35"/>
      <c r="M94" s="16"/>
    </row>
    <row r="95" spans="1:13" customFormat="1" ht="15.75" thickBot="1" x14ac:dyDescent="0.3">
      <c r="A95" s="95" t="s">
        <v>94</v>
      </c>
      <c r="B95" s="95"/>
      <c r="C95" s="95"/>
      <c r="D95" s="95"/>
      <c r="E95" s="95"/>
      <c r="F95" s="15"/>
      <c r="G95" s="15"/>
      <c r="H95" s="12"/>
      <c r="I95" s="82">
        <f>36000*36.64%</f>
        <v>13190.4</v>
      </c>
      <c r="J95" s="15">
        <f>J94</f>
        <v>1503</v>
      </c>
      <c r="K95" s="79">
        <f>I95/J95</f>
        <v>8.776047904191616</v>
      </c>
      <c r="L95" s="35"/>
      <c r="M95" s="16"/>
    </row>
    <row r="96" spans="1:13" customFormat="1" ht="15.75" thickBot="1" x14ac:dyDescent="0.3">
      <c r="A96" s="122" t="s">
        <v>90</v>
      </c>
      <c r="B96" s="122"/>
      <c r="C96" s="122"/>
      <c r="D96" s="122"/>
      <c r="E96" s="122"/>
      <c r="F96" s="122"/>
      <c r="G96" s="122"/>
      <c r="H96" s="113"/>
      <c r="I96" s="80">
        <f>SUM(I94:I95)</f>
        <v>23223.879280000001</v>
      </c>
      <c r="J96" s="83">
        <f>J95</f>
        <v>1503</v>
      </c>
      <c r="K96" s="80">
        <f>SUM(K94:K95)</f>
        <v>15.451682821024615</v>
      </c>
      <c r="L96" s="26"/>
      <c r="M96" s="22">
        <f>I96+'Услуга №2 '!I107+'Услуга №3'!I106</f>
        <v>63383.95</v>
      </c>
    </row>
    <row r="97" spans="1:13" customFormat="1" x14ac:dyDescent="0.25">
      <c r="A97" s="41"/>
      <c r="B97" s="41"/>
      <c r="C97" s="41"/>
      <c r="D97" s="41"/>
      <c r="E97" s="41"/>
      <c r="F97" s="41"/>
      <c r="G97" s="41"/>
      <c r="H97" s="41"/>
      <c r="I97" s="14"/>
      <c r="J97" s="14"/>
      <c r="K97" s="14"/>
      <c r="L97" s="26"/>
      <c r="M97" s="16"/>
    </row>
    <row r="98" spans="1:13" customFormat="1" hidden="1" x14ac:dyDescent="0.25">
      <c r="A98" s="127" t="s">
        <v>106</v>
      </c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6"/>
    </row>
    <row r="99" spans="1:13" customFormat="1" ht="45" hidden="1" x14ac:dyDescent="0.25">
      <c r="A99" s="121" t="s">
        <v>89</v>
      </c>
      <c r="B99" s="121"/>
      <c r="C99" s="121"/>
      <c r="D99" s="121"/>
      <c r="E99" s="121"/>
      <c r="F99" s="27" t="s">
        <v>8</v>
      </c>
      <c r="G99" s="27" t="s">
        <v>69</v>
      </c>
      <c r="H99" s="27" t="s">
        <v>70</v>
      </c>
      <c r="I99" s="27" t="s">
        <v>80</v>
      </c>
      <c r="J99" s="27" t="s">
        <v>74</v>
      </c>
      <c r="K99" s="28" t="s">
        <v>75</v>
      </c>
      <c r="L99" s="33"/>
      <c r="M99" s="16"/>
    </row>
    <row r="100" spans="1:13" customFormat="1" hidden="1" x14ac:dyDescent="0.25">
      <c r="A100" s="95" t="s">
        <v>108</v>
      </c>
      <c r="B100" s="95"/>
      <c r="C100" s="95"/>
      <c r="D100" s="95"/>
      <c r="E100" s="95"/>
      <c r="F100" s="15"/>
      <c r="G100" s="15"/>
      <c r="H100" s="12"/>
      <c r="I100" s="12">
        <v>0</v>
      </c>
      <c r="J100" s="15">
        <f>J94</f>
        <v>1503</v>
      </c>
      <c r="K100" s="36">
        <f>I100/J100</f>
        <v>0</v>
      </c>
      <c r="L100" s="35"/>
      <c r="M100" s="16"/>
    </row>
    <row r="101" spans="1:13" customFormat="1" hidden="1" x14ac:dyDescent="0.25">
      <c r="A101" s="95" t="s">
        <v>97</v>
      </c>
      <c r="B101" s="95"/>
      <c r="C101" s="95"/>
      <c r="D101" s="95"/>
      <c r="E101" s="95"/>
      <c r="F101" s="15" t="s">
        <v>28</v>
      </c>
      <c r="G101" s="15"/>
      <c r="H101" s="12"/>
      <c r="I101" s="12">
        <f>G101*H101</f>
        <v>0</v>
      </c>
      <c r="J101" s="15">
        <f>J100</f>
        <v>1503</v>
      </c>
      <c r="K101" s="36">
        <f>I101/J101</f>
        <v>0</v>
      </c>
      <c r="L101" s="35"/>
      <c r="M101" s="16"/>
    </row>
    <row r="102" spans="1:13" customFormat="1" hidden="1" x14ac:dyDescent="0.25">
      <c r="A102" s="113" t="s">
        <v>107</v>
      </c>
      <c r="B102" s="114"/>
      <c r="C102" s="114"/>
      <c r="D102" s="114"/>
      <c r="E102" s="114"/>
      <c r="F102" s="114"/>
      <c r="G102" s="114"/>
      <c r="H102" s="114"/>
      <c r="I102" s="13">
        <f>SUM(I100:I101)</f>
        <v>0</v>
      </c>
      <c r="J102" s="13">
        <v>6000</v>
      </c>
      <c r="K102" s="13">
        <f t="shared" ref="K102" si="22">SUM(K100:K101)</f>
        <v>0</v>
      </c>
      <c r="L102" s="35"/>
      <c r="M102" s="22" t="e">
        <f>I102+'Услуга №2 '!I113+#REF!+#REF!+#REF!</f>
        <v>#REF!</v>
      </c>
    </row>
    <row r="103" spans="1:13" s="2" customFormat="1" hidden="1" x14ac:dyDescent="0.25">
      <c r="A103" s="16"/>
      <c r="B103" s="16"/>
      <c r="C103" s="16"/>
      <c r="D103" s="16"/>
      <c r="E103" s="16"/>
      <c r="F103" s="47"/>
      <c r="G103" s="47"/>
      <c r="H103" s="47"/>
      <c r="I103" s="47"/>
      <c r="J103" s="47"/>
      <c r="K103" s="47"/>
      <c r="L103" s="47"/>
      <c r="M103" s="16"/>
    </row>
    <row r="104" spans="1:13" customFormat="1" x14ac:dyDescent="0.25">
      <c r="A104" s="107" t="s">
        <v>109</v>
      </c>
      <c r="B104" s="107"/>
      <c r="C104" s="107"/>
      <c r="D104" s="107"/>
      <c r="E104" s="107"/>
      <c r="F104" s="107"/>
      <c r="G104" s="107"/>
      <c r="H104" s="107"/>
      <c r="I104" s="107"/>
      <c r="J104" s="107"/>
      <c r="K104" s="107"/>
      <c r="L104" s="126"/>
      <c r="M104" s="16"/>
    </row>
    <row r="105" spans="1:13" customFormat="1" ht="45" x14ac:dyDescent="0.25">
      <c r="A105" s="121" t="s">
        <v>89</v>
      </c>
      <c r="B105" s="121"/>
      <c r="C105" s="121"/>
      <c r="D105" s="121"/>
      <c r="E105" s="121"/>
      <c r="F105" s="27" t="s">
        <v>8</v>
      </c>
      <c r="G105" s="27" t="s">
        <v>69</v>
      </c>
      <c r="H105" s="27" t="s">
        <v>70</v>
      </c>
      <c r="I105" s="27" t="s">
        <v>80</v>
      </c>
      <c r="J105" s="27" t="s">
        <v>74</v>
      </c>
      <c r="K105" s="32" t="s">
        <v>75</v>
      </c>
      <c r="L105" s="33"/>
      <c r="M105" s="16"/>
    </row>
    <row r="106" spans="1:13" customFormat="1" ht="15.75" thickBot="1" x14ac:dyDescent="0.3">
      <c r="A106" s="95" t="s">
        <v>110</v>
      </c>
      <c r="B106" s="95"/>
      <c r="C106" s="95"/>
      <c r="D106" s="95"/>
      <c r="E106" s="95"/>
      <c r="F106" s="15"/>
      <c r="G106" s="15"/>
      <c r="H106" s="12"/>
      <c r="I106" s="12">
        <f>30000*36.64%</f>
        <v>10992</v>
      </c>
      <c r="J106" s="15">
        <f>J100</f>
        <v>1503</v>
      </c>
      <c r="K106" s="36">
        <f>I106/J106</f>
        <v>7.3133732534930136</v>
      </c>
      <c r="L106" s="35"/>
      <c r="M106" s="16"/>
    </row>
    <row r="107" spans="1:13" customFormat="1" hidden="1" x14ac:dyDescent="0.25">
      <c r="A107" s="95" t="s">
        <v>97</v>
      </c>
      <c r="B107" s="95"/>
      <c r="C107" s="95"/>
      <c r="D107" s="95"/>
      <c r="E107" s="95"/>
      <c r="F107" s="15" t="s">
        <v>28</v>
      </c>
      <c r="G107" s="15"/>
      <c r="H107" s="12"/>
      <c r="I107" s="82">
        <f>G107*H107</f>
        <v>0</v>
      </c>
      <c r="J107" s="15">
        <f>J106</f>
        <v>1503</v>
      </c>
      <c r="K107" s="79">
        <f>I107/J107</f>
        <v>0</v>
      </c>
      <c r="L107" s="35"/>
      <c r="M107" s="16"/>
    </row>
    <row r="108" spans="1:13" customFormat="1" ht="15.75" thickBot="1" x14ac:dyDescent="0.3">
      <c r="A108" s="113" t="s">
        <v>113</v>
      </c>
      <c r="B108" s="114"/>
      <c r="C108" s="114"/>
      <c r="D108" s="114"/>
      <c r="E108" s="114"/>
      <c r="F108" s="114"/>
      <c r="G108" s="114"/>
      <c r="H108" s="114"/>
      <c r="I108" s="80">
        <f>SUM(I106:I107)</f>
        <v>10992</v>
      </c>
      <c r="J108" s="83">
        <f>J106</f>
        <v>1503</v>
      </c>
      <c r="K108" s="80">
        <f t="shared" ref="K108" si="23">SUM(K106:K107)</f>
        <v>7.3133732534930136</v>
      </c>
      <c r="L108" s="26"/>
      <c r="M108" s="22">
        <f>I108+'Услуга №2 '!I119+'Услуга №3'!I118</f>
        <v>30000</v>
      </c>
    </row>
    <row r="109" spans="1:13" customFormat="1" x14ac:dyDescent="0.25">
      <c r="A109" s="48"/>
      <c r="B109" s="48"/>
      <c r="C109" s="48"/>
      <c r="D109" s="48"/>
      <c r="E109" s="48"/>
      <c r="F109" s="48"/>
      <c r="G109" s="48"/>
      <c r="H109" s="48"/>
      <c r="I109" s="25"/>
      <c r="J109" s="25"/>
      <c r="K109" s="25"/>
      <c r="L109" s="26"/>
      <c r="M109" s="16"/>
    </row>
    <row r="110" spans="1:13" customFormat="1" x14ac:dyDescent="0.25">
      <c r="A110" s="107" t="s">
        <v>111</v>
      </c>
      <c r="B110" s="107"/>
      <c r="C110" s="107"/>
      <c r="D110" s="107"/>
      <c r="E110" s="107"/>
      <c r="F110" s="107"/>
      <c r="G110" s="107"/>
      <c r="H110" s="107"/>
      <c r="I110" s="107"/>
      <c r="J110" s="107"/>
      <c r="K110" s="107"/>
      <c r="L110" s="126"/>
      <c r="M110" s="16"/>
    </row>
    <row r="111" spans="1:13" customFormat="1" ht="45" x14ac:dyDescent="0.25">
      <c r="A111" s="121" t="s">
        <v>89</v>
      </c>
      <c r="B111" s="121"/>
      <c r="C111" s="121"/>
      <c r="D111" s="121"/>
      <c r="E111" s="121"/>
      <c r="F111" s="27" t="s">
        <v>8</v>
      </c>
      <c r="G111" s="27" t="s">
        <v>69</v>
      </c>
      <c r="H111" s="27" t="s">
        <v>70</v>
      </c>
      <c r="I111" s="27" t="s">
        <v>80</v>
      </c>
      <c r="J111" s="27" t="s">
        <v>74</v>
      </c>
      <c r="K111" s="32" t="s">
        <v>75</v>
      </c>
      <c r="L111" s="33"/>
      <c r="M111" s="16"/>
    </row>
    <row r="112" spans="1:13" customFormat="1" ht="15.75" thickBot="1" x14ac:dyDescent="0.3">
      <c r="A112" s="95" t="s">
        <v>112</v>
      </c>
      <c r="B112" s="95"/>
      <c r="C112" s="95"/>
      <c r="D112" s="95"/>
      <c r="E112" s="95"/>
      <c r="F112" s="15"/>
      <c r="G112" s="15"/>
      <c r="H112" s="12"/>
      <c r="I112" s="12">
        <f>20000*36.64%</f>
        <v>7328</v>
      </c>
      <c r="J112" s="15">
        <f>J106</f>
        <v>1503</v>
      </c>
      <c r="K112" s="36">
        <f>I112/J112</f>
        <v>4.8755821689953427</v>
      </c>
      <c r="L112" s="35"/>
      <c r="M112" s="16"/>
    </row>
    <row r="113" spans="1:14" customFormat="1" hidden="1" x14ac:dyDescent="0.25">
      <c r="A113" s="95" t="s">
        <v>97</v>
      </c>
      <c r="B113" s="95"/>
      <c r="C113" s="95"/>
      <c r="D113" s="95"/>
      <c r="E113" s="95"/>
      <c r="F113" s="15" t="s">
        <v>28</v>
      </c>
      <c r="G113" s="15"/>
      <c r="H113" s="12"/>
      <c r="I113" s="82">
        <f>G113*H113</f>
        <v>0</v>
      </c>
      <c r="J113" s="15">
        <f>J112</f>
        <v>1503</v>
      </c>
      <c r="K113" s="79">
        <f>I113/J113</f>
        <v>0</v>
      </c>
      <c r="L113" s="35"/>
      <c r="M113" s="16"/>
    </row>
    <row r="114" spans="1:14" customFormat="1" ht="15.75" thickBot="1" x14ac:dyDescent="0.3">
      <c r="A114" s="113" t="s">
        <v>114</v>
      </c>
      <c r="B114" s="114"/>
      <c r="C114" s="114"/>
      <c r="D114" s="114"/>
      <c r="E114" s="114"/>
      <c r="F114" s="114"/>
      <c r="G114" s="114"/>
      <c r="H114" s="114"/>
      <c r="I114" s="80">
        <f>SUM(I112:I113)</f>
        <v>7328</v>
      </c>
      <c r="J114" s="83">
        <f>J112</f>
        <v>1503</v>
      </c>
      <c r="K114" s="80">
        <f t="shared" ref="K114" si="24">SUM(K112:K113)</f>
        <v>4.8755821689953427</v>
      </c>
      <c r="L114" s="26"/>
      <c r="M114" s="22">
        <f>I114+'Услуга №2 '!I125+'Услуга №3'!I124</f>
        <v>20000</v>
      </c>
    </row>
    <row r="115" spans="1:14" customFormat="1" x14ac:dyDescent="0.25">
      <c r="A115" s="48"/>
      <c r="B115" s="48"/>
      <c r="C115" s="48"/>
      <c r="D115" s="48"/>
      <c r="E115" s="48"/>
      <c r="F115" s="48"/>
      <c r="G115" s="48"/>
      <c r="H115" s="48"/>
      <c r="I115" s="25"/>
      <c r="J115" s="25"/>
      <c r="K115" s="25"/>
      <c r="L115" s="26"/>
      <c r="M115" s="16"/>
    </row>
    <row r="116" spans="1:14" s="2" customFormat="1" ht="12.75" customHeight="1" x14ac:dyDescent="0.25">
      <c r="A116" s="107" t="s">
        <v>29</v>
      </c>
      <c r="B116" s="107"/>
      <c r="C116" s="107"/>
      <c r="D116" s="107"/>
      <c r="E116" s="107"/>
      <c r="F116" s="107"/>
      <c r="G116" s="107"/>
      <c r="H116" s="107"/>
      <c r="I116" s="107"/>
      <c r="J116" s="107"/>
      <c r="K116" s="107"/>
      <c r="L116" s="107"/>
      <c r="M116" s="16"/>
    </row>
    <row r="117" spans="1:14" s="2" customFormat="1" ht="15" customHeight="1" x14ac:dyDescent="0.25">
      <c r="A117" s="108" t="s">
        <v>30</v>
      </c>
      <c r="B117" s="108"/>
      <c r="C117" s="108"/>
      <c r="D117" s="96" t="s">
        <v>31</v>
      </c>
      <c r="E117" s="97"/>
      <c r="F117" s="97"/>
      <c r="G117" s="97"/>
      <c r="H117" s="97"/>
      <c r="I117" s="97"/>
      <c r="J117" s="98"/>
      <c r="K117" s="108" t="s">
        <v>41</v>
      </c>
      <c r="L117" s="108"/>
      <c r="M117" s="16"/>
    </row>
    <row r="118" spans="1:14" s="2" customFormat="1" ht="30.75" thickBot="1" x14ac:dyDescent="0.3">
      <c r="A118" s="15" t="s">
        <v>32</v>
      </c>
      <c r="B118" s="29" t="s">
        <v>33</v>
      </c>
      <c r="C118" s="15" t="s">
        <v>34</v>
      </c>
      <c r="D118" s="15" t="s">
        <v>35</v>
      </c>
      <c r="E118" s="15" t="s">
        <v>36</v>
      </c>
      <c r="F118" s="15" t="s">
        <v>37</v>
      </c>
      <c r="G118" s="15" t="s">
        <v>38</v>
      </c>
      <c r="H118" s="15" t="s">
        <v>129</v>
      </c>
      <c r="I118" s="15" t="s">
        <v>39</v>
      </c>
      <c r="J118" s="15" t="s">
        <v>40</v>
      </c>
      <c r="K118" s="109"/>
      <c r="L118" s="109"/>
      <c r="M118" s="16"/>
    </row>
    <row r="119" spans="1:14" s="2" customFormat="1" ht="15.75" thickBot="1" x14ac:dyDescent="0.3">
      <c r="A119" s="15">
        <f>K50</f>
        <v>2026.2493894743845</v>
      </c>
      <c r="B119" s="15"/>
      <c r="C119" s="15"/>
      <c r="D119" s="15">
        <f>K59</f>
        <v>463.56670147704591</v>
      </c>
      <c r="E119" s="15">
        <f>K70</f>
        <v>43.719345309381232</v>
      </c>
      <c r="F119" s="15"/>
      <c r="G119" s="15">
        <f>K78</f>
        <v>9.9461876247505003</v>
      </c>
      <c r="H119" s="15">
        <f>K96</f>
        <v>15.451682821024615</v>
      </c>
      <c r="I119" s="15">
        <f>K90</f>
        <v>474.77006395209582</v>
      </c>
      <c r="J119" s="66">
        <f>K102+K108+K114</f>
        <v>12.188955422488355</v>
      </c>
      <c r="K119" s="102">
        <f>SUM(A119:J119)</f>
        <v>3045.8923260811712</v>
      </c>
      <c r="L119" s="103"/>
      <c r="M119" s="16"/>
    </row>
    <row r="120" spans="1:14" s="2" customFormat="1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</row>
    <row r="121" spans="1:14" customFormat="1" ht="16.5" thickBot="1" x14ac:dyDescent="0.3">
      <c r="A121" s="49" t="s">
        <v>65</v>
      </c>
      <c r="B121" s="50"/>
      <c r="C121" s="50"/>
      <c r="D121" s="50"/>
      <c r="E121" s="50"/>
      <c r="F121" s="104" t="s">
        <v>116</v>
      </c>
      <c r="G121" s="105"/>
      <c r="H121" s="105"/>
      <c r="I121" s="16"/>
      <c r="J121" s="16"/>
      <c r="K121" s="16"/>
      <c r="L121" s="16"/>
      <c r="M121" s="16"/>
      <c r="N121" s="2"/>
    </row>
    <row r="122" spans="1:14" customFormat="1" ht="15.75" thickBot="1" x14ac:dyDescent="0.3">
      <c r="A122" s="16"/>
      <c r="B122" s="16"/>
      <c r="C122" s="16"/>
      <c r="D122" s="16"/>
      <c r="E122" s="16"/>
      <c r="F122" s="16"/>
      <c r="G122" s="16"/>
      <c r="H122" s="16"/>
      <c r="I122" s="84">
        <f>I50+I59+I70+I78+I90+I96+I102+I108+I114</f>
        <v>4577976.1661</v>
      </c>
      <c r="J122" s="16"/>
      <c r="K122" s="84">
        <f>K119*J95</f>
        <v>4577976.1661</v>
      </c>
      <c r="L122" s="16"/>
      <c r="M122" s="16"/>
      <c r="N122" s="2"/>
    </row>
    <row r="123" spans="1:14" customFormat="1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2"/>
    </row>
    <row r="124" spans="1:14" customFormat="1" x14ac:dyDescent="0.25">
      <c r="A124" s="5" t="s">
        <v>115</v>
      </c>
      <c r="C124" s="5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customFormat="1" x14ac:dyDescent="0.25">
      <c r="A125" s="5" t="s">
        <v>59</v>
      </c>
      <c r="C125" s="5"/>
      <c r="I125" s="17"/>
    </row>
    <row r="126" spans="1:14" x14ac:dyDescent="0.25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</row>
    <row r="127" spans="1:14" x14ac:dyDescent="0.25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</row>
    <row r="128" spans="1:14" x14ac:dyDescent="0.25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</row>
    <row r="129" spans="1:13" x14ac:dyDescent="0.25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</row>
    <row r="130" spans="1:13" x14ac:dyDescent="0.25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</row>
  </sheetData>
  <mergeCells count="112">
    <mergeCell ref="A70:H70"/>
    <mergeCell ref="A111:E111"/>
    <mergeCell ref="A112:E112"/>
    <mergeCell ref="A113:E113"/>
    <mergeCell ref="A114:H114"/>
    <mergeCell ref="A98:L98"/>
    <mergeCell ref="A99:E99"/>
    <mergeCell ref="A100:E100"/>
    <mergeCell ref="A101:E101"/>
    <mergeCell ref="A102:H102"/>
    <mergeCell ref="A104:L104"/>
    <mergeCell ref="A105:E105"/>
    <mergeCell ref="A106:E106"/>
    <mergeCell ref="A107:E107"/>
    <mergeCell ref="A108:H108"/>
    <mergeCell ref="A110:L110"/>
    <mergeCell ref="A53:E53"/>
    <mergeCell ref="A43:E43"/>
    <mergeCell ref="A81:L81"/>
    <mergeCell ref="A93:E93"/>
    <mergeCell ref="A96:H96"/>
    <mergeCell ref="A63:E63"/>
    <mergeCell ref="A64:E64"/>
    <mergeCell ref="A72:L72"/>
    <mergeCell ref="A74:E74"/>
    <mergeCell ref="A77:E77"/>
    <mergeCell ref="A78:H78"/>
    <mergeCell ref="A69:E69"/>
    <mergeCell ref="A68:E68"/>
    <mergeCell ref="A95:E95"/>
    <mergeCell ref="A82:E82"/>
    <mergeCell ref="A83:E83"/>
    <mergeCell ref="A84:E84"/>
    <mergeCell ref="A88:E88"/>
    <mergeCell ref="A89:E89"/>
    <mergeCell ref="A73:E73"/>
    <mergeCell ref="A92:L92"/>
    <mergeCell ref="A94:E94"/>
    <mergeCell ref="A75:E75"/>
    <mergeCell ref="A76:E76"/>
    <mergeCell ref="A66:E66"/>
    <mergeCell ref="G18:K18"/>
    <mergeCell ref="A59:H59"/>
    <mergeCell ref="A61:L61"/>
    <mergeCell ref="A67:E67"/>
    <mergeCell ref="A62:E62"/>
    <mergeCell ref="A36:E36"/>
    <mergeCell ref="A37:E37"/>
    <mergeCell ref="A38:E38"/>
    <mergeCell ref="A39:E39"/>
    <mergeCell ref="A40:E40"/>
    <mergeCell ref="A41:E41"/>
    <mergeCell ref="A42:E42"/>
    <mergeCell ref="A48:E48"/>
    <mergeCell ref="A49:E49"/>
    <mergeCell ref="A54:E54"/>
    <mergeCell ref="A55:E55"/>
    <mergeCell ref="A58:E58"/>
    <mergeCell ref="A56:E56"/>
    <mergeCell ref="A57:E57"/>
    <mergeCell ref="A47:E47"/>
    <mergeCell ref="A45:E45"/>
    <mergeCell ref="A46:E46"/>
    <mergeCell ref="A52:L52"/>
    <mergeCell ref="G31:K31"/>
    <mergeCell ref="A32:E32"/>
    <mergeCell ref="K119:L119"/>
    <mergeCell ref="F121:H121"/>
    <mergeCell ref="A8:M8"/>
    <mergeCell ref="A9:M9"/>
    <mergeCell ref="A10:M10"/>
    <mergeCell ref="A116:L116"/>
    <mergeCell ref="A117:C117"/>
    <mergeCell ref="D117:J117"/>
    <mergeCell ref="K117:L118"/>
    <mergeCell ref="A29:E29"/>
    <mergeCell ref="G29:K29"/>
    <mergeCell ref="A27:E27"/>
    <mergeCell ref="G27:K27"/>
    <mergeCell ref="A28:E28"/>
    <mergeCell ref="G28:K28"/>
    <mergeCell ref="G26:K26"/>
    <mergeCell ref="G32:K32"/>
    <mergeCell ref="A18:E18"/>
    <mergeCell ref="A85:E85"/>
    <mergeCell ref="A86:E86"/>
    <mergeCell ref="A87:E87"/>
    <mergeCell ref="A65:E65"/>
    <mergeCell ref="A19:E19"/>
    <mergeCell ref="G19:K19"/>
    <mergeCell ref="A20:E20"/>
    <mergeCell ref="G20:K20"/>
    <mergeCell ref="A2:D2"/>
    <mergeCell ref="A4:F4"/>
    <mergeCell ref="A6:F6"/>
    <mergeCell ref="A3:F3"/>
    <mergeCell ref="A44:E44"/>
    <mergeCell ref="A21:E21"/>
    <mergeCell ref="G21:K21"/>
    <mergeCell ref="A22:E22"/>
    <mergeCell ref="G22:K22"/>
    <mergeCell ref="A23:E23"/>
    <mergeCell ref="G23:K23"/>
    <mergeCell ref="A35:E35"/>
    <mergeCell ref="A26:E26"/>
    <mergeCell ref="A24:E24"/>
    <mergeCell ref="G24:K24"/>
    <mergeCell ref="A25:E25"/>
    <mergeCell ref="G25:K25"/>
    <mergeCell ref="A30:E30"/>
    <mergeCell ref="G30:K30"/>
    <mergeCell ref="A31:E31"/>
  </mergeCells>
  <pageMargins left="0.61" right="0.43" top="0.42" bottom="0.4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opLeftCell="A101" zoomScale="90" zoomScaleNormal="90" workbookViewId="0">
      <selection activeCell="I133" sqref="I133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3.8554687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92" t="s">
        <v>61</v>
      </c>
      <c r="B3" s="92"/>
      <c r="C3" s="92"/>
      <c r="D3" s="92"/>
      <c r="E3" s="7"/>
      <c r="F3" s="7"/>
    </row>
    <row r="4" spans="1:14" x14ac:dyDescent="0.25">
      <c r="A4" s="92" t="s">
        <v>62</v>
      </c>
      <c r="B4" s="92"/>
      <c r="C4" s="94"/>
      <c r="D4" s="94"/>
      <c r="E4" s="94"/>
      <c r="F4" s="94"/>
    </row>
    <row r="5" spans="1:14" x14ac:dyDescent="0.25">
      <c r="A5" s="93" t="s">
        <v>63</v>
      </c>
      <c r="B5" s="93"/>
      <c r="C5" s="93"/>
      <c r="D5" s="94"/>
      <c r="E5" s="94"/>
      <c r="F5" s="94"/>
    </row>
    <row r="6" spans="1:14" x14ac:dyDescent="0.25">
      <c r="A6" s="8"/>
      <c r="B6" s="8"/>
      <c r="C6" s="8"/>
      <c r="D6" s="9"/>
      <c r="E6" s="7"/>
      <c r="F6" s="7"/>
    </row>
    <row r="7" spans="1:14" x14ac:dyDescent="0.25">
      <c r="A7" s="93" t="s">
        <v>64</v>
      </c>
      <c r="B7" s="93"/>
      <c r="C7" s="93"/>
      <c r="D7" s="94"/>
      <c r="E7" s="94"/>
      <c r="F7" s="94"/>
    </row>
    <row r="8" spans="1:14" x14ac:dyDescent="0.25">
      <c r="A8" s="7"/>
      <c r="B8" s="7"/>
      <c r="C8" s="7"/>
      <c r="D8" s="7"/>
      <c r="E8" s="7"/>
      <c r="F8" s="7"/>
    </row>
    <row r="9" spans="1:14" ht="15.75" x14ac:dyDescent="0.25">
      <c r="A9" s="128" t="s">
        <v>67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</row>
    <row r="10" spans="1:14" ht="15.75" x14ac:dyDescent="0.25">
      <c r="A10" s="128" t="s">
        <v>66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</row>
    <row r="11" spans="1:14" ht="15.75" x14ac:dyDescent="0.25">
      <c r="A11" s="128" t="s">
        <v>119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</row>
    <row r="12" spans="1:14" ht="11.25" customHeight="1" x14ac:dyDescent="0.25"/>
    <row r="13" spans="1:14" x14ac:dyDescent="0.25">
      <c r="A13" s="57" t="s">
        <v>120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2"/>
      <c r="M13" s="2"/>
      <c r="N13" s="2"/>
    </row>
    <row r="14" spans="1:14" x14ac:dyDescent="0.25">
      <c r="A14" s="57" t="s">
        <v>126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2"/>
      <c r="M14" s="2"/>
      <c r="N14" s="2"/>
    </row>
    <row r="15" spans="1:14" hidden="1" x14ac:dyDescent="0.25">
      <c r="A15" s="57" t="s">
        <v>117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2"/>
      <c r="M15" s="2"/>
      <c r="N15" s="2"/>
    </row>
    <row r="16" spans="1:14" hidden="1" x14ac:dyDescent="0.25">
      <c r="A16" s="57" t="s">
        <v>127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2"/>
      <c r="M16" s="2"/>
      <c r="N16" s="2"/>
    </row>
    <row r="17" spans="1:14" x14ac:dyDescent="0.25">
      <c r="A17" s="57" t="s">
        <v>128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2"/>
      <c r="M17" s="2"/>
      <c r="N17" s="2"/>
    </row>
    <row r="18" spans="1:14" x14ac:dyDescent="0.25">
      <c r="A18" s="57" t="s">
        <v>125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2"/>
      <c r="M18" s="2"/>
      <c r="N18" s="2"/>
    </row>
    <row r="19" spans="1:14" ht="33" customHeight="1" x14ac:dyDescent="0.25">
      <c r="A19" s="111" t="s">
        <v>0</v>
      </c>
      <c r="B19" s="111"/>
      <c r="C19" s="111"/>
      <c r="D19" s="111"/>
      <c r="E19" s="111"/>
      <c r="F19" s="3" t="s">
        <v>1</v>
      </c>
      <c r="G19" s="111" t="s">
        <v>2</v>
      </c>
      <c r="H19" s="111"/>
      <c r="I19" s="111"/>
      <c r="J19" s="111"/>
      <c r="K19" s="111"/>
      <c r="L19" s="3" t="s">
        <v>1</v>
      </c>
      <c r="M19" s="2"/>
      <c r="N19" s="2"/>
    </row>
    <row r="20" spans="1:14" x14ac:dyDescent="0.25">
      <c r="A20" s="88" t="s">
        <v>53</v>
      </c>
      <c r="B20" s="88"/>
      <c r="C20" s="88"/>
      <c r="D20" s="88"/>
      <c r="E20" s="88"/>
      <c r="F20" s="58">
        <f>1*31.68%</f>
        <v>0.31679999999999997</v>
      </c>
      <c r="G20" s="88" t="s">
        <v>3</v>
      </c>
      <c r="H20" s="88"/>
      <c r="I20" s="88"/>
      <c r="J20" s="88"/>
      <c r="K20" s="88"/>
      <c r="L20" s="4">
        <f>1*31.68%</f>
        <v>0.31679999999999997</v>
      </c>
      <c r="M20" s="2"/>
      <c r="N20" s="2"/>
    </row>
    <row r="21" spans="1:14" ht="15" customHeight="1" x14ac:dyDescent="0.25">
      <c r="A21" s="89" t="s">
        <v>91</v>
      </c>
      <c r="B21" s="90"/>
      <c r="C21" s="90"/>
      <c r="D21" s="90"/>
      <c r="E21" s="91"/>
      <c r="F21" s="58">
        <f t="shared" ref="F21:F37" si="0">1*31.68%</f>
        <v>0.31679999999999997</v>
      </c>
      <c r="G21" s="88" t="s">
        <v>92</v>
      </c>
      <c r="H21" s="88"/>
      <c r="I21" s="88"/>
      <c r="J21" s="88"/>
      <c r="K21" s="88"/>
      <c r="L21" s="4">
        <f t="shared" ref="L21:L22" si="1">1*31.68%</f>
        <v>0.31679999999999997</v>
      </c>
      <c r="M21" s="2"/>
      <c r="N21" s="2"/>
    </row>
    <row r="22" spans="1:14" x14ac:dyDescent="0.25">
      <c r="A22" s="88" t="s">
        <v>93</v>
      </c>
      <c r="B22" s="88"/>
      <c r="C22" s="88"/>
      <c r="D22" s="88"/>
      <c r="E22" s="88"/>
      <c r="F22" s="58">
        <f t="shared" si="0"/>
        <v>0.31679999999999997</v>
      </c>
      <c r="G22" s="89" t="s">
        <v>55</v>
      </c>
      <c r="H22" s="90"/>
      <c r="I22" s="90"/>
      <c r="J22" s="90"/>
      <c r="K22" s="91"/>
      <c r="L22" s="4">
        <f t="shared" si="1"/>
        <v>0.31679999999999997</v>
      </c>
      <c r="M22" s="2"/>
      <c r="N22" s="2"/>
    </row>
    <row r="23" spans="1:14" ht="15" customHeight="1" x14ac:dyDescent="0.25">
      <c r="A23" s="88" t="s">
        <v>68</v>
      </c>
      <c r="B23" s="88"/>
      <c r="C23" s="88"/>
      <c r="D23" s="88"/>
      <c r="E23" s="88"/>
      <c r="F23" s="58">
        <f t="shared" si="0"/>
        <v>0.31679999999999997</v>
      </c>
      <c r="G23" s="88"/>
      <c r="H23" s="88"/>
      <c r="I23" s="88"/>
      <c r="J23" s="88"/>
      <c r="K23" s="88"/>
      <c r="L23" s="4"/>
      <c r="M23" s="2"/>
      <c r="N23" s="2"/>
    </row>
    <row r="24" spans="1:14" ht="14.25" customHeight="1" x14ac:dyDescent="0.25">
      <c r="A24" s="129" t="s">
        <v>43</v>
      </c>
      <c r="B24" s="130"/>
      <c r="C24" s="130"/>
      <c r="D24" s="130"/>
      <c r="E24" s="131"/>
      <c r="F24" s="58">
        <f t="shared" si="0"/>
        <v>0.31679999999999997</v>
      </c>
      <c r="G24" s="88"/>
      <c r="H24" s="88"/>
      <c r="I24" s="88"/>
      <c r="J24" s="88"/>
      <c r="K24" s="88"/>
      <c r="L24" s="4"/>
      <c r="M24" s="2"/>
      <c r="N24" s="2"/>
    </row>
    <row r="25" spans="1:14" x14ac:dyDescent="0.25">
      <c r="A25" s="88" t="s">
        <v>45</v>
      </c>
      <c r="B25" s="88"/>
      <c r="C25" s="88"/>
      <c r="D25" s="88"/>
      <c r="E25" s="88"/>
      <c r="F25" s="58">
        <f>1.5*31.68%+0.2</f>
        <v>0.67520000000000002</v>
      </c>
      <c r="G25" s="88"/>
      <c r="H25" s="88"/>
      <c r="I25" s="88"/>
      <c r="J25" s="88"/>
      <c r="K25" s="88"/>
      <c r="L25" s="4"/>
      <c r="M25" s="2"/>
      <c r="N25" s="2"/>
    </row>
    <row r="26" spans="1:14" ht="15" customHeight="1" x14ac:dyDescent="0.25">
      <c r="A26" s="88" t="s">
        <v>44</v>
      </c>
      <c r="B26" s="88"/>
      <c r="C26" s="88"/>
      <c r="D26" s="88"/>
      <c r="E26" s="88"/>
      <c r="F26" s="58">
        <f>6.5*31.68%</f>
        <v>2.0591999999999997</v>
      </c>
      <c r="G26" s="88"/>
      <c r="H26" s="88"/>
      <c r="I26" s="88"/>
      <c r="J26" s="88"/>
      <c r="K26" s="88"/>
      <c r="L26" s="4"/>
      <c r="M26" s="2"/>
      <c r="N26" s="2"/>
    </row>
    <row r="27" spans="1:14" x14ac:dyDescent="0.25">
      <c r="A27" s="88" t="s">
        <v>50</v>
      </c>
      <c r="B27" s="88"/>
      <c r="C27" s="88"/>
      <c r="D27" s="88"/>
      <c r="E27" s="88"/>
      <c r="F27" s="58">
        <f>2*31.68%</f>
        <v>0.63359999999999994</v>
      </c>
      <c r="G27" s="88"/>
      <c r="H27" s="88"/>
      <c r="I27" s="88"/>
      <c r="J27" s="88"/>
      <c r="K27" s="88"/>
      <c r="L27" s="20"/>
      <c r="M27" s="2"/>
      <c r="N27" s="2"/>
    </row>
    <row r="28" spans="1:14" x14ac:dyDescent="0.25">
      <c r="A28" s="88" t="s">
        <v>77</v>
      </c>
      <c r="B28" s="88"/>
      <c r="C28" s="88"/>
      <c r="D28" s="88"/>
      <c r="E28" s="88"/>
      <c r="F28" s="58">
        <f>0.5*31.68%</f>
        <v>0.15839999999999999</v>
      </c>
      <c r="G28" s="89"/>
      <c r="H28" s="90"/>
      <c r="I28" s="90"/>
      <c r="J28" s="90"/>
      <c r="K28" s="91"/>
      <c r="L28" s="20"/>
      <c r="M28" s="2"/>
      <c r="N28" s="2"/>
    </row>
    <row r="29" spans="1:14" x14ac:dyDescent="0.25">
      <c r="A29" s="88" t="s">
        <v>76</v>
      </c>
      <c r="B29" s="88"/>
      <c r="C29" s="88"/>
      <c r="D29" s="88"/>
      <c r="E29" s="88"/>
      <c r="F29" s="58">
        <f t="shared" si="0"/>
        <v>0.31679999999999997</v>
      </c>
      <c r="G29" s="99"/>
      <c r="H29" s="99"/>
      <c r="I29" s="99"/>
      <c r="J29" s="99"/>
      <c r="K29" s="99"/>
      <c r="L29" s="20"/>
      <c r="M29" s="2"/>
      <c r="N29" s="2"/>
    </row>
    <row r="30" spans="1:14" x14ac:dyDescent="0.25">
      <c r="A30" s="88" t="s">
        <v>48</v>
      </c>
      <c r="B30" s="88"/>
      <c r="C30" s="88"/>
      <c r="D30" s="88"/>
      <c r="E30" s="88"/>
      <c r="F30" s="58">
        <f>3*31.68%</f>
        <v>0.95039999999999991</v>
      </c>
      <c r="G30" s="99"/>
      <c r="H30" s="99"/>
      <c r="I30" s="99"/>
      <c r="J30" s="99"/>
      <c r="K30" s="99"/>
      <c r="L30" s="20"/>
      <c r="M30" s="2"/>
      <c r="N30" s="2"/>
    </row>
    <row r="31" spans="1:14" x14ac:dyDescent="0.25">
      <c r="A31" s="99" t="s">
        <v>52</v>
      </c>
      <c r="B31" s="99"/>
      <c r="C31" s="99"/>
      <c r="D31" s="99"/>
      <c r="E31" s="99"/>
      <c r="F31" s="58">
        <f t="shared" si="0"/>
        <v>0.31679999999999997</v>
      </c>
      <c r="G31" s="99"/>
      <c r="H31" s="99"/>
      <c r="I31" s="99"/>
      <c r="J31" s="99"/>
      <c r="K31" s="99"/>
      <c r="L31" s="20"/>
      <c r="M31" s="2"/>
      <c r="N31" s="2"/>
    </row>
    <row r="32" spans="1:14" x14ac:dyDescent="0.25">
      <c r="A32" s="88" t="s">
        <v>47</v>
      </c>
      <c r="B32" s="88"/>
      <c r="C32" s="88"/>
      <c r="D32" s="88"/>
      <c r="E32" s="88"/>
      <c r="F32" s="58">
        <f t="shared" si="0"/>
        <v>0.31679999999999997</v>
      </c>
      <c r="G32" s="99"/>
      <c r="H32" s="99"/>
      <c r="I32" s="99"/>
      <c r="J32" s="99"/>
      <c r="K32" s="99"/>
      <c r="L32" s="20"/>
      <c r="M32" s="2"/>
      <c r="N32" s="2"/>
    </row>
    <row r="33" spans="1:14" x14ac:dyDescent="0.25">
      <c r="A33" s="88" t="s">
        <v>51</v>
      </c>
      <c r="B33" s="88"/>
      <c r="C33" s="88"/>
      <c r="D33" s="88"/>
      <c r="E33" s="88"/>
      <c r="F33" s="58">
        <f t="shared" si="0"/>
        <v>0.31679999999999997</v>
      </c>
      <c r="G33" s="99"/>
      <c r="H33" s="99"/>
      <c r="I33" s="99"/>
      <c r="J33" s="99"/>
      <c r="K33" s="99"/>
      <c r="L33" s="20"/>
      <c r="M33" s="2"/>
      <c r="N33" s="2"/>
    </row>
    <row r="34" spans="1:14" x14ac:dyDescent="0.25">
      <c r="A34" s="88" t="s">
        <v>46</v>
      </c>
      <c r="B34" s="88"/>
      <c r="C34" s="88"/>
      <c r="D34" s="88"/>
      <c r="E34" s="88"/>
      <c r="F34" s="58">
        <f t="shared" si="0"/>
        <v>0.31679999999999997</v>
      </c>
      <c r="G34" s="99"/>
      <c r="H34" s="99"/>
      <c r="I34" s="99"/>
      <c r="J34" s="99"/>
      <c r="K34" s="99"/>
      <c r="L34" s="20"/>
      <c r="M34" s="2"/>
      <c r="N34" s="2"/>
    </row>
    <row r="35" spans="1:14" ht="14.25" customHeight="1" x14ac:dyDescent="0.25">
      <c r="A35" s="99" t="s">
        <v>49</v>
      </c>
      <c r="B35" s="99"/>
      <c r="C35" s="99"/>
      <c r="D35" s="99"/>
      <c r="E35" s="99"/>
      <c r="F35" s="58">
        <f t="shared" si="0"/>
        <v>0.31679999999999997</v>
      </c>
      <c r="G35" s="99"/>
      <c r="H35" s="99"/>
      <c r="I35" s="99"/>
      <c r="J35" s="99"/>
      <c r="K35" s="99"/>
      <c r="L35" s="20"/>
      <c r="M35" s="2"/>
      <c r="N35" s="2"/>
    </row>
    <row r="36" spans="1:14" x14ac:dyDescent="0.25">
      <c r="A36" s="88" t="s">
        <v>54</v>
      </c>
      <c r="B36" s="88"/>
      <c r="C36" s="88"/>
      <c r="D36" s="88"/>
      <c r="E36" s="88"/>
      <c r="F36" s="58">
        <f t="shared" si="0"/>
        <v>0.31679999999999997</v>
      </c>
      <c r="G36" s="99"/>
      <c r="H36" s="99"/>
      <c r="I36" s="99"/>
      <c r="J36" s="99"/>
      <c r="K36" s="99"/>
      <c r="L36" s="20"/>
      <c r="M36" s="2"/>
      <c r="N36" s="2"/>
    </row>
    <row r="37" spans="1:14" ht="15.75" thickBot="1" x14ac:dyDescent="0.3">
      <c r="A37" s="88" t="s">
        <v>78</v>
      </c>
      <c r="B37" s="88"/>
      <c r="C37" s="88"/>
      <c r="D37" s="88"/>
      <c r="E37" s="88"/>
      <c r="F37" s="85">
        <f t="shared" si="0"/>
        <v>0.31679999999999997</v>
      </c>
      <c r="G37" s="89"/>
      <c r="H37" s="90"/>
      <c r="I37" s="90"/>
      <c r="J37" s="90"/>
      <c r="K37" s="91"/>
      <c r="L37" s="87"/>
      <c r="M37" s="2"/>
      <c r="N37" s="2"/>
    </row>
    <row r="38" spans="1:14" s="21" customFormat="1" ht="15.75" thickBot="1" x14ac:dyDescent="0.3">
      <c r="A38" s="100" t="s">
        <v>4</v>
      </c>
      <c r="B38" s="100"/>
      <c r="C38" s="100"/>
      <c r="D38" s="100"/>
      <c r="E38" s="101"/>
      <c r="F38" s="86">
        <f>SUM(F20:F37)</f>
        <v>8.5952000000000002</v>
      </c>
      <c r="G38" s="110" t="s">
        <v>4</v>
      </c>
      <c r="H38" s="100"/>
      <c r="I38" s="100"/>
      <c r="J38" s="100"/>
      <c r="K38" s="101"/>
      <c r="L38" s="86">
        <f>SUM(L20:L37)</f>
        <v>0.95039999999999991</v>
      </c>
      <c r="M38" s="1"/>
      <c r="N38" s="1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1" t="s">
        <v>56</v>
      </c>
      <c r="B40" s="2"/>
      <c r="C40" s="2"/>
      <c r="D40" s="2"/>
      <c r="E40" s="2"/>
      <c r="F40" s="1">
        <v>1300</v>
      </c>
      <c r="G40" s="2"/>
      <c r="H40" s="2"/>
      <c r="I40" s="2"/>
      <c r="J40" s="2"/>
      <c r="K40" s="2"/>
      <c r="L40" s="2"/>
      <c r="M40" s="2"/>
      <c r="N40" s="2"/>
    </row>
    <row r="41" spans="1:14" ht="75.75" thickBot="1" x14ac:dyDescent="0.3">
      <c r="A41" s="96" t="s">
        <v>5</v>
      </c>
      <c r="B41" s="97"/>
      <c r="C41" s="97"/>
      <c r="D41" s="97"/>
      <c r="E41" s="98"/>
      <c r="F41" s="27" t="s">
        <v>6</v>
      </c>
      <c r="G41" s="27" t="s">
        <v>1</v>
      </c>
      <c r="H41" s="27" t="s">
        <v>72</v>
      </c>
      <c r="I41" s="27" t="s">
        <v>73</v>
      </c>
      <c r="J41" s="27" t="s">
        <v>74</v>
      </c>
      <c r="K41" s="28" t="s">
        <v>75</v>
      </c>
      <c r="L41" s="43"/>
      <c r="M41" s="16"/>
      <c r="N41" s="2"/>
    </row>
    <row r="42" spans="1:14" hidden="1" x14ac:dyDescent="0.25">
      <c r="A42" s="95" t="s">
        <v>53</v>
      </c>
      <c r="B42" s="95"/>
      <c r="C42" s="95"/>
      <c r="D42" s="95"/>
      <c r="E42" s="95"/>
      <c r="F42" s="15">
        <f>'Услуга №1'!F36</f>
        <v>13850</v>
      </c>
      <c r="G42" s="15">
        <f>F20</f>
        <v>0.31679999999999997</v>
      </c>
      <c r="H42" s="15">
        <f>F42*G42*12</f>
        <v>52652.159999999989</v>
      </c>
      <c r="I42" s="15">
        <f>H42*1.302</f>
        <v>68553.112319999986</v>
      </c>
      <c r="J42" s="15">
        <f>F40</f>
        <v>1300</v>
      </c>
      <c r="K42" s="15">
        <f>I42/J42</f>
        <v>52.733163323076909</v>
      </c>
      <c r="L42" s="26"/>
      <c r="M42" s="16"/>
      <c r="N42" s="2"/>
    </row>
    <row r="43" spans="1:14" ht="15" hidden="1" customHeight="1" x14ac:dyDescent="0.25">
      <c r="A43" s="123" t="s">
        <v>91</v>
      </c>
      <c r="B43" s="124"/>
      <c r="C43" s="124"/>
      <c r="D43" s="124"/>
      <c r="E43" s="125"/>
      <c r="F43" s="15">
        <f>'Услуга №1'!F37</f>
        <v>11538</v>
      </c>
      <c r="G43" s="15">
        <f t="shared" ref="G43:G59" si="2">F21</f>
        <v>0.31679999999999997</v>
      </c>
      <c r="H43" s="15">
        <f t="shared" ref="H43:H58" si="3">F43*G43*12</f>
        <v>43862.860799999995</v>
      </c>
      <c r="I43" s="15">
        <f t="shared" ref="I43:I59" si="4">H43*1.302</f>
        <v>57109.444761599996</v>
      </c>
      <c r="J43" s="15">
        <f>J42</f>
        <v>1300</v>
      </c>
      <c r="K43" s="15">
        <f t="shared" ref="K43:K59" si="5">I43/J43</f>
        <v>43.930342124307693</v>
      </c>
      <c r="L43" s="26"/>
      <c r="M43" s="16"/>
      <c r="N43" s="2"/>
    </row>
    <row r="44" spans="1:14" hidden="1" x14ac:dyDescent="0.25">
      <c r="A44" s="95" t="s">
        <v>93</v>
      </c>
      <c r="B44" s="95"/>
      <c r="C44" s="95"/>
      <c r="D44" s="95"/>
      <c r="E44" s="95"/>
      <c r="F44" s="15">
        <f>'Услуга №1'!F85</f>
        <v>11538</v>
      </c>
      <c r="G44" s="15">
        <f t="shared" si="2"/>
        <v>0.31679999999999997</v>
      </c>
      <c r="H44" s="15">
        <f t="shared" si="3"/>
        <v>43862.860799999995</v>
      </c>
      <c r="I44" s="15">
        <f t="shared" si="4"/>
        <v>57109.444761599996</v>
      </c>
      <c r="J44" s="15">
        <f>J43</f>
        <v>1300</v>
      </c>
      <c r="K44" s="15">
        <f t="shared" si="5"/>
        <v>43.930342124307693</v>
      </c>
      <c r="L44" s="26"/>
      <c r="M44" s="16"/>
      <c r="N44" s="2"/>
    </row>
    <row r="45" spans="1:14" hidden="1" x14ac:dyDescent="0.25">
      <c r="A45" s="95" t="s">
        <v>68</v>
      </c>
      <c r="B45" s="95"/>
      <c r="C45" s="95"/>
      <c r="D45" s="95"/>
      <c r="E45" s="95"/>
      <c r="F45" s="15">
        <f>'Услуга №1'!F86</f>
        <v>11538</v>
      </c>
      <c r="G45" s="15">
        <f t="shared" si="2"/>
        <v>0.31679999999999997</v>
      </c>
      <c r="H45" s="15">
        <f t="shared" si="3"/>
        <v>43862.860799999995</v>
      </c>
      <c r="I45" s="15">
        <f t="shared" si="4"/>
        <v>57109.444761599996</v>
      </c>
      <c r="J45" s="15">
        <f t="shared" ref="J45:J60" si="6">J44</f>
        <v>1300</v>
      </c>
      <c r="K45" s="15">
        <f t="shared" si="5"/>
        <v>43.930342124307693</v>
      </c>
      <c r="L45" s="26"/>
      <c r="M45" s="16"/>
      <c r="N45" s="2"/>
    </row>
    <row r="46" spans="1:14" hidden="1" x14ac:dyDescent="0.25">
      <c r="A46" s="117" t="s">
        <v>43</v>
      </c>
      <c r="B46" s="118"/>
      <c r="C46" s="118"/>
      <c r="D46" s="118"/>
      <c r="E46" s="119"/>
      <c r="F46" s="15">
        <f>'Услуга №1'!F38</f>
        <v>8837</v>
      </c>
      <c r="G46" s="15">
        <f t="shared" si="2"/>
        <v>0.31679999999999997</v>
      </c>
      <c r="H46" s="15">
        <f t="shared" si="3"/>
        <v>33594.739199999996</v>
      </c>
      <c r="I46" s="15">
        <f t="shared" si="4"/>
        <v>43740.350438399997</v>
      </c>
      <c r="J46" s="15">
        <f t="shared" si="6"/>
        <v>1300</v>
      </c>
      <c r="K46" s="15">
        <f t="shared" si="5"/>
        <v>33.646423414153844</v>
      </c>
      <c r="L46" s="26"/>
      <c r="M46" s="16"/>
      <c r="N46" s="2"/>
    </row>
    <row r="47" spans="1:14" hidden="1" x14ac:dyDescent="0.25">
      <c r="A47" s="95" t="s">
        <v>45</v>
      </c>
      <c r="B47" s="95"/>
      <c r="C47" s="95"/>
      <c r="D47" s="95"/>
      <c r="E47" s="95"/>
      <c r="F47" s="15">
        <f>'Услуга №1'!F39</f>
        <v>8837</v>
      </c>
      <c r="G47" s="15">
        <f t="shared" si="2"/>
        <v>0.67520000000000002</v>
      </c>
      <c r="H47" s="15">
        <f t="shared" si="3"/>
        <v>71600.908800000005</v>
      </c>
      <c r="I47" s="15">
        <f t="shared" si="4"/>
        <v>93224.383257600013</v>
      </c>
      <c r="J47" s="15">
        <f t="shared" si="6"/>
        <v>1300</v>
      </c>
      <c r="K47" s="15">
        <f t="shared" si="5"/>
        <v>71.711064044307705</v>
      </c>
      <c r="L47" s="26"/>
      <c r="M47" s="16"/>
      <c r="N47" s="2"/>
    </row>
    <row r="48" spans="1:14" ht="15" hidden="1" customHeight="1" x14ac:dyDescent="0.25">
      <c r="A48" s="95" t="s">
        <v>44</v>
      </c>
      <c r="B48" s="95"/>
      <c r="C48" s="95"/>
      <c r="D48" s="95"/>
      <c r="E48" s="95"/>
      <c r="F48" s="15">
        <f>'Услуга №1'!F40</f>
        <v>6556</v>
      </c>
      <c r="G48" s="15">
        <f t="shared" si="2"/>
        <v>2.0591999999999997</v>
      </c>
      <c r="H48" s="15">
        <f t="shared" si="3"/>
        <v>162001.38239999997</v>
      </c>
      <c r="I48" s="15">
        <f t="shared" si="4"/>
        <v>210925.79988479998</v>
      </c>
      <c r="J48" s="15">
        <f t="shared" si="6"/>
        <v>1300</v>
      </c>
      <c r="K48" s="15">
        <f t="shared" si="5"/>
        <v>162.25061529599998</v>
      </c>
      <c r="L48" s="26"/>
      <c r="M48" s="16"/>
      <c r="N48" s="2"/>
    </row>
    <row r="49" spans="1:14" hidden="1" x14ac:dyDescent="0.25">
      <c r="A49" s="95" t="s">
        <v>50</v>
      </c>
      <c r="B49" s="95"/>
      <c r="C49" s="95"/>
      <c r="D49" s="95"/>
      <c r="E49" s="95"/>
      <c r="F49" s="15">
        <f>'Услуга №1'!F87</f>
        <v>6556</v>
      </c>
      <c r="G49" s="15">
        <f t="shared" si="2"/>
        <v>0.63359999999999994</v>
      </c>
      <c r="H49" s="15">
        <f t="shared" si="3"/>
        <v>49846.579199999993</v>
      </c>
      <c r="I49" s="15">
        <f t="shared" si="4"/>
        <v>64900.246118399991</v>
      </c>
      <c r="J49" s="15">
        <f t="shared" si="6"/>
        <v>1300</v>
      </c>
      <c r="K49" s="15">
        <f t="shared" si="5"/>
        <v>49.92326624492307</v>
      </c>
      <c r="L49" s="26"/>
      <c r="M49" s="16"/>
      <c r="N49" s="2"/>
    </row>
    <row r="50" spans="1:14" hidden="1" x14ac:dyDescent="0.25">
      <c r="A50" s="95" t="s">
        <v>77</v>
      </c>
      <c r="B50" s="95"/>
      <c r="C50" s="95"/>
      <c r="D50" s="95"/>
      <c r="E50" s="95"/>
      <c r="F50" s="15">
        <f>'Услуга №1'!F41</f>
        <v>2248</v>
      </c>
      <c r="G50" s="15">
        <f t="shared" si="2"/>
        <v>0.15839999999999999</v>
      </c>
      <c r="H50" s="15">
        <f t="shared" si="3"/>
        <v>4272.9983999999995</v>
      </c>
      <c r="I50" s="15">
        <f t="shared" si="4"/>
        <v>5563.4439167999999</v>
      </c>
      <c r="J50" s="15">
        <f t="shared" si="6"/>
        <v>1300</v>
      </c>
      <c r="K50" s="15">
        <f t="shared" si="5"/>
        <v>4.279572243692308</v>
      </c>
      <c r="L50" s="26"/>
      <c r="M50" s="16"/>
      <c r="N50" s="2"/>
    </row>
    <row r="51" spans="1:14" hidden="1" x14ac:dyDescent="0.25">
      <c r="A51" s="95" t="s">
        <v>76</v>
      </c>
      <c r="B51" s="95"/>
      <c r="C51" s="95"/>
      <c r="D51" s="95"/>
      <c r="E51" s="95"/>
      <c r="F51" s="15">
        <f>'Услуга №1'!F42</f>
        <v>3993</v>
      </c>
      <c r="G51" s="15">
        <f t="shared" si="2"/>
        <v>0.31679999999999997</v>
      </c>
      <c r="H51" s="15">
        <f t="shared" si="3"/>
        <v>15179.788799999998</v>
      </c>
      <c r="I51" s="15">
        <f t="shared" si="4"/>
        <v>19764.085017599999</v>
      </c>
      <c r="J51" s="15">
        <f t="shared" si="6"/>
        <v>1300</v>
      </c>
      <c r="K51" s="15">
        <f t="shared" si="5"/>
        <v>15.203142321230768</v>
      </c>
      <c r="L51" s="26"/>
      <c r="M51" s="16"/>
      <c r="N51" s="2"/>
    </row>
    <row r="52" spans="1:14" hidden="1" x14ac:dyDescent="0.25">
      <c r="A52" s="95" t="s">
        <v>48</v>
      </c>
      <c r="B52" s="95"/>
      <c r="C52" s="95"/>
      <c r="D52" s="95"/>
      <c r="E52" s="95"/>
      <c r="F52" s="46">
        <f>'Услуга №1'!F88</f>
        <v>11538</v>
      </c>
      <c r="G52" s="15">
        <f t="shared" si="2"/>
        <v>0.95039999999999991</v>
      </c>
      <c r="H52" s="15">
        <f t="shared" si="3"/>
        <v>131588.58239999998</v>
      </c>
      <c r="I52" s="15">
        <f t="shared" si="4"/>
        <v>171328.33428479999</v>
      </c>
      <c r="J52" s="15">
        <f t="shared" si="6"/>
        <v>1300</v>
      </c>
      <c r="K52" s="15">
        <f t="shared" si="5"/>
        <v>131.79102637292306</v>
      </c>
      <c r="L52" s="26"/>
      <c r="M52" s="16"/>
      <c r="N52" s="2"/>
    </row>
    <row r="53" spans="1:14" hidden="1" x14ac:dyDescent="0.25">
      <c r="A53" s="116" t="s">
        <v>52</v>
      </c>
      <c r="B53" s="116"/>
      <c r="C53" s="116"/>
      <c r="D53" s="116"/>
      <c r="E53" s="116"/>
      <c r="F53" s="15">
        <f>'Услуга №1'!F43</f>
        <v>8837</v>
      </c>
      <c r="G53" s="15">
        <f t="shared" si="2"/>
        <v>0.31679999999999997</v>
      </c>
      <c r="H53" s="15">
        <f t="shared" si="3"/>
        <v>33594.739199999996</v>
      </c>
      <c r="I53" s="15">
        <f t="shared" si="4"/>
        <v>43740.350438399997</v>
      </c>
      <c r="J53" s="15">
        <f t="shared" si="6"/>
        <v>1300</v>
      </c>
      <c r="K53" s="15">
        <f t="shared" si="5"/>
        <v>33.646423414153844</v>
      </c>
      <c r="L53" s="26"/>
      <c r="M53" s="16"/>
      <c r="N53" s="2"/>
    </row>
    <row r="54" spans="1:14" hidden="1" x14ac:dyDescent="0.25">
      <c r="A54" s="95" t="s">
        <v>47</v>
      </c>
      <c r="B54" s="95"/>
      <c r="C54" s="95"/>
      <c r="D54" s="95"/>
      <c r="E54" s="95"/>
      <c r="F54" s="15">
        <f>'Услуга №1'!F44</f>
        <v>8837</v>
      </c>
      <c r="G54" s="15">
        <f t="shared" si="2"/>
        <v>0.31679999999999997</v>
      </c>
      <c r="H54" s="15">
        <f t="shared" si="3"/>
        <v>33594.739199999996</v>
      </c>
      <c r="I54" s="15">
        <f t="shared" si="4"/>
        <v>43740.350438399997</v>
      </c>
      <c r="J54" s="15">
        <f t="shared" si="6"/>
        <v>1300</v>
      </c>
      <c r="K54" s="15">
        <f t="shared" si="5"/>
        <v>33.646423414153844</v>
      </c>
      <c r="L54" s="26"/>
      <c r="M54" s="16"/>
      <c r="N54" s="2"/>
    </row>
    <row r="55" spans="1:14" hidden="1" x14ac:dyDescent="0.25">
      <c r="A55" s="95" t="s">
        <v>51</v>
      </c>
      <c r="B55" s="95"/>
      <c r="C55" s="95"/>
      <c r="D55" s="95"/>
      <c r="E55" s="95"/>
      <c r="F55" s="15">
        <f>'Услуга №1'!F45</f>
        <v>4565</v>
      </c>
      <c r="G55" s="15">
        <f t="shared" si="2"/>
        <v>0.31679999999999997</v>
      </c>
      <c r="H55" s="15">
        <f t="shared" si="3"/>
        <v>17354.303999999996</v>
      </c>
      <c r="I55" s="15">
        <f t="shared" si="4"/>
        <v>22595.303807999997</v>
      </c>
      <c r="J55" s="15">
        <f t="shared" si="6"/>
        <v>1300</v>
      </c>
      <c r="K55" s="15">
        <f t="shared" si="5"/>
        <v>17.381002929230768</v>
      </c>
      <c r="L55" s="26"/>
      <c r="M55" s="16"/>
      <c r="N55" s="2"/>
    </row>
    <row r="56" spans="1:14" ht="15" hidden="1" customHeight="1" x14ac:dyDescent="0.25">
      <c r="A56" s="95" t="s">
        <v>46</v>
      </c>
      <c r="B56" s="95"/>
      <c r="C56" s="95"/>
      <c r="D56" s="95"/>
      <c r="E56" s="95"/>
      <c r="F56" s="15">
        <f>'Услуга №1'!F46</f>
        <v>8837</v>
      </c>
      <c r="G56" s="15">
        <f t="shared" si="2"/>
        <v>0.31679999999999997</v>
      </c>
      <c r="H56" s="15">
        <f t="shared" si="3"/>
        <v>33594.739199999996</v>
      </c>
      <c r="I56" s="15">
        <f t="shared" si="4"/>
        <v>43740.350438399997</v>
      </c>
      <c r="J56" s="15">
        <f t="shared" si="6"/>
        <v>1300</v>
      </c>
      <c r="K56" s="15">
        <f t="shared" si="5"/>
        <v>33.646423414153844</v>
      </c>
      <c r="L56" s="26"/>
      <c r="M56" s="16"/>
      <c r="N56" s="2"/>
    </row>
    <row r="57" spans="1:14" hidden="1" x14ac:dyDescent="0.25">
      <c r="A57" s="116" t="s">
        <v>49</v>
      </c>
      <c r="B57" s="116"/>
      <c r="C57" s="116"/>
      <c r="D57" s="116"/>
      <c r="E57" s="116"/>
      <c r="F57" s="15">
        <f>'Услуга №1'!F47</f>
        <v>8837</v>
      </c>
      <c r="G57" s="15">
        <f t="shared" si="2"/>
        <v>0.31679999999999997</v>
      </c>
      <c r="H57" s="15">
        <f t="shared" si="3"/>
        <v>33594.739199999996</v>
      </c>
      <c r="I57" s="15">
        <f t="shared" si="4"/>
        <v>43740.350438399997</v>
      </c>
      <c r="J57" s="15">
        <f t="shared" si="6"/>
        <v>1300</v>
      </c>
      <c r="K57" s="15">
        <f t="shared" si="5"/>
        <v>33.646423414153844</v>
      </c>
      <c r="L57" s="26"/>
      <c r="M57" s="16"/>
      <c r="N57" s="2"/>
    </row>
    <row r="58" spans="1:14" hidden="1" x14ac:dyDescent="0.25">
      <c r="A58" s="95" t="s">
        <v>54</v>
      </c>
      <c r="B58" s="95"/>
      <c r="C58" s="95"/>
      <c r="D58" s="95"/>
      <c r="E58" s="95"/>
      <c r="F58" s="15">
        <f>'Услуга №1'!F48</f>
        <v>11538</v>
      </c>
      <c r="G58" s="15">
        <f t="shared" si="2"/>
        <v>0.31679999999999997</v>
      </c>
      <c r="H58" s="15">
        <f t="shared" si="3"/>
        <v>43862.860799999995</v>
      </c>
      <c r="I58" s="15">
        <f t="shared" si="4"/>
        <v>57109.444761599996</v>
      </c>
      <c r="J58" s="15">
        <f t="shared" si="6"/>
        <v>1300</v>
      </c>
      <c r="K58" s="15">
        <f t="shared" si="5"/>
        <v>43.930342124307693</v>
      </c>
      <c r="L58" s="26"/>
      <c r="M58" s="16"/>
      <c r="N58" s="2"/>
    </row>
    <row r="59" spans="1:14" hidden="1" x14ac:dyDescent="0.25">
      <c r="A59" s="95" t="s">
        <v>78</v>
      </c>
      <c r="B59" s="95"/>
      <c r="C59" s="95"/>
      <c r="D59" s="95"/>
      <c r="E59" s="95"/>
      <c r="F59" s="15">
        <f>'Услуга №1'!F49</f>
        <v>11538</v>
      </c>
      <c r="G59" s="15">
        <f t="shared" si="2"/>
        <v>0.31679999999999997</v>
      </c>
      <c r="H59" s="15">
        <f>F59*G59*12+0.2</f>
        <v>43863.060799999992</v>
      </c>
      <c r="I59" s="72">
        <f t="shared" si="4"/>
        <v>57109.705161599988</v>
      </c>
      <c r="J59" s="15">
        <f t="shared" si="6"/>
        <v>1300</v>
      </c>
      <c r="K59" s="72">
        <f t="shared" si="5"/>
        <v>43.930542431999989</v>
      </c>
      <c r="L59" s="26"/>
      <c r="M59" s="16"/>
      <c r="N59" s="2"/>
    </row>
    <row r="60" spans="1:14" ht="15.75" thickBot="1" x14ac:dyDescent="0.3">
      <c r="A60" s="121" t="s">
        <v>7</v>
      </c>
      <c r="B60" s="121"/>
      <c r="C60" s="121"/>
      <c r="D60" s="121"/>
      <c r="E60" s="121"/>
      <c r="F60" s="51">
        <v>19597.05</v>
      </c>
      <c r="G60" s="51">
        <f>SUM(G42:G59)</f>
        <v>8.5952000000000002</v>
      </c>
      <c r="H60" s="55">
        <v>2022415.56</v>
      </c>
      <c r="I60" s="73">
        <f>(H60*1.302)</f>
        <v>2633185.0591200003</v>
      </c>
      <c r="J60" s="74">
        <f t="shared" si="6"/>
        <v>1300</v>
      </c>
      <c r="K60" s="73">
        <f>I60/J60</f>
        <v>2025.5269685538465</v>
      </c>
      <c r="L60" s="45"/>
      <c r="M60" s="16"/>
      <c r="N60" s="2"/>
    </row>
    <row r="61" spans="1:14" ht="11.25" customHeigh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2"/>
    </row>
    <row r="62" spans="1:14" s="2" customFormat="1" ht="14.25" customHeight="1" x14ac:dyDescent="0.25">
      <c r="A62" s="115" t="s">
        <v>9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6"/>
    </row>
    <row r="63" spans="1:14" s="2" customFormat="1" ht="45" x14ac:dyDescent="0.25">
      <c r="A63" s="96" t="s">
        <v>10</v>
      </c>
      <c r="B63" s="97"/>
      <c r="C63" s="97"/>
      <c r="D63" s="97"/>
      <c r="E63" s="98"/>
      <c r="F63" s="27" t="s">
        <v>8</v>
      </c>
      <c r="G63" s="27" t="s">
        <v>69</v>
      </c>
      <c r="H63" s="27" t="s">
        <v>70</v>
      </c>
      <c r="I63" s="27" t="s">
        <v>80</v>
      </c>
      <c r="J63" s="27" t="s">
        <v>74</v>
      </c>
      <c r="K63" s="32" t="s">
        <v>75</v>
      </c>
      <c r="L63" s="33"/>
      <c r="M63" s="16"/>
    </row>
    <row r="64" spans="1:14" s="2" customFormat="1" x14ac:dyDescent="0.25">
      <c r="A64" s="117" t="s">
        <v>11</v>
      </c>
      <c r="B64" s="118"/>
      <c r="C64" s="118"/>
      <c r="D64" s="118"/>
      <c r="E64" s="119"/>
      <c r="F64" s="29" t="s">
        <v>81</v>
      </c>
      <c r="G64" s="29">
        <v>72000</v>
      </c>
      <c r="H64" s="68">
        <v>5.0999999999999996</v>
      </c>
      <c r="I64" s="29">
        <f>392653.17*31.68%</f>
        <v>124392.52425599999</v>
      </c>
      <c r="J64" s="15">
        <f>J59</f>
        <v>1300</v>
      </c>
      <c r="K64" s="34">
        <f>I64/J64</f>
        <v>95.686557119999989</v>
      </c>
      <c r="L64" s="33"/>
      <c r="M64" s="16"/>
    </row>
    <row r="65" spans="1:13" s="2" customFormat="1" x14ac:dyDescent="0.25">
      <c r="A65" s="117" t="s">
        <v>12</v>
      </c>
      <c r="B65" s="118"/>
      <c r="C65" s="118"/>
      <c r="D65" s="118"/>
      <c r="E65" s="119"/>
      <c r="F65" s="15" t="s">
        <v>15</v>
      </c>
      <c r="G65" s="15">
        <v>810</v>
      </c>
      <c r="H65" s="46">
        <v>1711</v>
      </c>
      <c r="I65" s="29">
        <f>1457837.9*31.68%</f>
        <v>461843.04671999993</v>
      </c>
      <c r="J65" s="15">
        <f>J64</f>
        <v>1300</v>
      </c>
      <c r="K65" s="34">
        <f t="shared" ref="K65:K68" si="7">I65/J65</f>
        <v>355.26388209230765</v>
      </c>
      <c r="L65" s="35"/>
      <c r="M65" s="16"/>
    </row>
    <row r="66" spans="1:13" s="2" customFormat="1" x14ac:dyDescent="0.25">
      <c r="A66" s="117" t="s">
        <v>13</v>
      </c>
      <c r="B66" s="118"/>
      <c r="C66" s="118"/>
      <c r="D66" s="118"/>
      <c r="E66" s="119"/>
      <c r="F66" s="15" t="s">
        <v>16</v>
      </c>
      <c r="G66" s="15">
        <v>400</v>
      </c>
      <c r="H66" s="46">
        <v>42</v>
      </c>
      <c r="I66" s="29">
        <f>18546.28*31.68%</f>
        <v>5875.461503999999</v>
      </c>
      <c r="J66" s="15">
        <f>J65</f>
        <v>1300</v>
      </c>
      <c r="K66" s="34">
        <f t="shared" si="7"/>
        <v>4.5195857723076918</v>
      </c>
      <c r="L66" s="35"/>
      <c r="M66" s="16"/>
    </row>
    <row r="67" spans="1:13" s="2" customFormat="1" x14ac:dyDescent="0.25">
      <c r="A67" s="117" t="s">
        <v>14</v>
      </c>
      <c r="B67" s="118"/>
      <c r="C67" s="118"/>
      <c r="D67" s="118"/>
      <c r="E67" s="119"/>
      <c r="F67" s="15" t="s">
        <v>16</v>
      </c>
      <c r="G67" s="15">
        <v>400</v>
      </c>
      <c r="H67" s="46">
        <v>61</v>
      </c>
      <c r="I67" s="29">
        <f>27008.92*31.68%</f>
        <v>8556.425855999998</v>
      </c>
      <c r="J67" s="15">
        <f>J65</f>
        <v>1300</v>
      </c>
      <c r="K67" s="34">
        <f t="shared" si="7"/>
        <v>6.5818660430769214</v>
      </c>
      <c r="L67" s="35"/>
      <c r="M67" s="16"/>
    </row>
    <row r="68" spans="1:13" s="2" customFormat="1" ht="15.75" thickBot="1" x14ac:dyDescent="0.3">
      <c r="A68" s="117" t="s">
        <v>58</v>
      </c>
      <c r="B68" s="120"/>
      <c r="C68" s="120"/>
      <c r="D68" s="120"/>
      <c r="E68" s="120"/>
      <c r="F68" s="15" t="s">
        <v>16</v>
      </c>
      <c r="G68" s="15">
        <v>12</v>
      </c>
      <c r="H68" s="69"/>
      <c r="I68" s="77">
        <f>5538.78*31.68%</f>
        <v>1754.6855039999998</v>
      </c>
      <c r="J68" s="15">
        <f t="shared" ref="J68:J69" si="8">J66</f>
        <v>1300</v>
      </c>
      <c r="K68" s="78">
        <f t="shared" si="7"/>
        <v>1.3497580799999997</v>
      </c>
      <c r="L68" s="35"/>
      <c r="M68" s="16"/>
    </row>
    <row r="69" spans="1:13" s="2" customFormat="1" ht="15.75" thickBot="1" x14ac:dyDescent="0.3">
      <c r="A69" s="113" t="s">
        <v>17</v>
      </c>
      <c r="B69" s="114"/>
      <c r="C69" s="114"/>
      <c r="D69" s="114"/>
      <c r="E69" s="114"/>
      <c r="F69" s="114"/>
      <c r="G69" s="114"/>
      <c r="H69" s="114"/>
      <c r="I69" s="73">
        <f>SUM(I64:I68)</f>
        <v>602422.14384000003</v>
      </c>
      <c r="J69" s="74">
        <f t="shared" si="8"/>
        <v>1300</v>
      </c>
      <c r="K69" s="73">
        <f>I69/J69</f>
        <v>463.40164910769232</v>
      </c>
      <c r="L69" s="26"/>
      <c r="M69" s="16"/>
    </row>
    <row r="70" spans="1:13" s="2" customFormat="1" ht="12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s="2" customFormat="1" x14ac:dyDescent="0.25">
      <c r="A71" s="115" t="s">
        <v>18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6"/>
    </row>
    <row r="72" spans="1:13" s="2" customFormat="1" ht="45" x14ac:dyDescent="0.25">
      <c r="A72" s="96" t="s">
        <v>22</v>
      </c>
      <c r="B72" s="97"/>
      <c r="C72" s="97"/>
      <c r="D72" s="97"/>
      <c r="E72" s="98"/>
      <c r="F72" s="27" t="s">
        <v>8</v>
      </c>
      <c r="G72" s="27" t="s">
        <v>69</v>
      </c>
      <c r="H72" s="27" t="s">
        <v>70</v>
      </c>
      <c r="I72" s="27" t="s">
        <v>80</v>
      </c>
      <c r="J72" s="27" t="s">
        <v>74</v>
      </c>
      <c r="K72" s="32" t="s">
        <v>75</v>
      </c>
      <c r="L72" s="33"/>
      <c r="M72" s="16"/>
    </row>
    <row r="73" spans="1:13" s="2" customFormat="1" x14ac:dyDescent="0.25">
      <c r="A73" s="95" t="s">
        <v>82</v>
      </c>
      <c r="B73" s="95"/>
      <c r="C73" s="95"/>
      <c r="D73" s="95"/>
      <c r="E73" s="95"/>
      <c r="F73" s="15" t="s">
        <v>20</v>
      </c>
      <c r="G73" s="15">
        <v>12</v>
      </c>
      <c r="H73" s="46">
        <v>4000</v>
      </c>
      <c r="I73" s="15">
        <f>48000*31.68%</f>
        <v>15206.399999999998</v>
      </c>
      <c r="J73" s="15">
        <f>J67</f>
        <v>1300</v>
      </c>
      <c r="K73" s="36">
        <f>I73/J73</f>
        <v>11.697230769230767</v>
      </c>
      <c r="L73" s="35"/>
      <c r="M73" s="16"/>
    </row>
    <row r="74" spans="1:13" s="2" customFormat="1" x14ac:dyDescent="0.25">
      <c r="A74" s="95" t="s">
        <v>19</v>
      </c>
      <c r="B74" s="95"/>
      <c r="C74" s="95"/>
      <c r="D74" s="95"/>
      <c r="E74" s="95"/>
      <c r="F74" s="15" t="s">
        <v>20</v>
      </c>
      <c r="G74" s="15">
        <v>12</v>
      </c>
      <c r="H74" s="46">
        <v>570</v>
      </c>
      <c r="I74" s="15">
        <f>6840*31.68%</f>
        <v>2166.9119999999998</v>
      </c>
      <c r="J74" s="15">
        <f>J73</f>
        <v>1300</v>
      </c>
      <c r="K74" s="36">
        <f t="shared" ref="K74:K79" si="9">I74/J74</f>
        <v>1.6668553846153844</v>
      </c>
      <c r="L74" s="35"/>
      <c r="M74" s="16"/>
    </row>
    <row r="75" spans="1:13" s="2" customFormat="1" ht="16.5" customHeight="1" x14ac:dyDescent="0.25">
      <c r="A75" s="112" t="s">
        <v>57</v>
      </c>
      <c r="B75" s="112"/>
      <c r="C75" s="112"/>
      <c r="D75" s="112"/>
      <c r="E75" s="112"/>
      <c r="F75" s="37" t="s">
        <v>20</v>
      </c>
      <c r="G75" s="37">
        <v>12</v>
      </c>
      <c r="H75" s="70">
        <v>3000</v>
      </c>
      <c r="I75" s="15">
        <f>36000*31.68%</f>
        <v>11404.8</v>
      </c>
      <c r="J75" s="15">
        <f>J74</f>
        <v>1300</v>
      </c>
      <c r="K75" s="36">
        <f t="shared" si="9"/>
        <v>8.7729230769230764</v>
      </c>
      <c r="L75" s="35"/>
      <c r="M75" s="16"/>
    </row>
    <row r="76" spans="1:13" s="2" customFormat="1" ht="33" customHeight="1" x14ac:dyDescent="0.25">
      <c r="A76" s="112" t="s">
        <v>95</v>
      </c>
      <c r="B76" s="112"/>
      <c r="C76" s="112"/>
      <c r="D76" s="112"/>
      <c r="E76" s="112"/>
      <c r="F76" s="37" t="s">
        <v>20</v>
      </c>
      <c r="G76" s="37">
        <v>12</v>
      </c>
      <c r="H76" s="70">
        <v>4000</v>
      </c>
      <c r="I76" s="15">
        <f>48000*31.68%</f>
        <v>15206.399999999998</v>
      </c>
      <c r="J76" s="15">
        <f>J75</f>
        <v>1300</v>
      </c>
      <c r="K76" s="36">
        <f t="shared" si="9"/>
        <v>11.697230769230767</v>
      </c>
      <c r="L76" s="35"/>
      <c r="M76" s="16"/>
    </row>
    <row r="77" spans="1:13" s="2" customFormat="1" ht="16.5" customHeight="1" x14ac:dyDescent="0.25">
      <c r="A77" s="116" t="s">
        <v>102</v>
      </c>
      <c r="B77" s="116"/>
      <c r="C77" s="116"/>
      <c r="D77" s="116"/>
      <c r="E77" s="116"/>
      <c r="F77" s="15" t="s">
        <v>20</v>
      </c>
      <c r="G77" s="15">
        <v>12</v>
      </c>
      <c r="H77" s="46">
        <v>2500</v>
      </c>
      <c r="I77" s="15">
        <f>30000*31.68%</f>
        <v>9504</v>
      </c>
      <c r="J77" s="15">
        <f>J75</f>
        <v>1300</v>
      </c>
      <c r="K77" s="36">
        <f t="shared" si="9"/>
        <v>7.3107692307692309</v>
      </c>
      <c r="L77" s="35"/>
      <c r="M77" s="16"/>
    </row>
    <row r="78" spans="1:13" s="2" customFormat="1" ht="15" customHeight="1" x14ac:dyDescent="0.25">
      <c r="A78" s="116" t="s">
        <v>103</v>
      </c>
      <c r="B78" s="116"/>
      <c r="C78" s="116"/>
      <c r="D78" s="116"/>
      <c r="E78" s="116"/>
      <c r="F78" s="15" t="s">
        <v>20</v>
      </c>
      <c r="G78" s="15">
        <v>4</v>
      </c>
      <c r="H78" s="46">
        <v>1000</v>
      </c>
      <c r="I78" s="15">
        <f>4000*31.68%</f>
        <v>1267.1999999999998</v>
      </c>
      <c r="J78" s="15">
        <f>J75</f>
        <v>1300</v>
      </c>
      <c r="K78" s="36">
        <f t="shared" si="9"/>
        <v>0.97476923076923061</v>
      </c>
      <c r="L78" s="35"/>
      <c r="M78" s="16"/>
    </row>
    <row r="79" spans="1:13" s="2" customFormat="1" ht="15" customHeight="1" thickBot="1" x14ac:dyDescent="0.3">
      <c r="A79" s="116" t="s">
        <v>104</v>
      </c>
      <c r="B79" s="116"/>
      <c r="C79" s="116"/>
      <c r="D79" s="116"/>
      <c r="E79" s="116"/>
      <c r="F79" s="15" t="s">
        <v>20</v>
      </c>
      <c r="G79" s="15">
        <v>12</v>
      </c>
      <c r="H79" s="46">
        <v>3250</v>
      </c>
      <c r="I79" s="72">
        <f>6500*31.68%</f>
        <v>2059.1999999999998</v>
      </c>
      <c r="J79" s="15">
        <f>J76</f>
        <v>1300</v>
      </c>
      <c r="K79" s="79">
        <f t="shared" si="9"/>
        <v>1.5839999999999999</v>
      </c>
      <c r="L79" s="35"/>
      <c r="M79" s="16"/>
    </row>
    <row r="80" spans="1:13" ht="18.75" customHeight="1" thickBot="1" x14ac:dyDescent="0.3">
      <c r="A80" s="113" t="s">
        <v>21</v>
      </c>
      <c r="B80" s="114"/>
      <c r="C80" s="114"/>
      <c r="D80" s="114"/>
      <c r="E80" s="114"/>
      <c r="F80" s="114"/>
      <c r="G80" s="114"/>
      <c r="H80" s="114"/>
      <c r="I80" s="73">
        <f>SUM(I73:I79)</f>
        <v>56814.911999999989</v>
      </c>
      <c r="J80" s="74">
        <f>J77</f>
        <v>1300</v>
      </c>
      <c r="K80" s="73">
        <f>I80/J80</f>
        <v>43.703778461538455</v>
      </c>
      <c r="L80" s="26"/>
      <c r="M80" s="16"/>
    </row>
    <row r="81" spans="1:13" s="2" customFormat="1" ht="12.75" customHeight="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s="2" customFormat="1" hidden="1" x14ac:dyDescent="0.25">
      <c r="A82" s="132" t="s">
        <v>83</v>
      </c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6"/>
    </row>
    <row r="83" spans="1:13" s="2" customFormat="1" ht="60" hidden="1" customHeight="1" x14ac:dyDescent="0.25">
      <c r="A83" s="96" t="s">
        <v>22</v>
      </c>
      <c r="B83" s="97"/>
      <c r="C83" s="97"/>
      <c r="D83" s="97"/>
      <c r="E83" s="98"/>
      <c r="F83" s="27" t="s">
        <v>8</v>
      </c>
      <c r="G83" s="27" t="s">
        <v>69</v>
      </c>
      <c r="H83" s="27" t="s">
        <v>70</v>
      </c>
      <c r="I83" s="27" t="s">
        <v>80</v>
      </c>
      <c r="J83" s="27" t="s">
        <v>74</v>
      </c>
      <c r="K83" s="28" t="s">
        <v>75</v>
      </c>
      <c r="L83" s="43"/>
      <c r="M83" s="16"/>
    </row>
    <row r="84" spans="1:13" s="2" customFormat="1" ht="18.75" hidden="1" customHeight="1" x14ac:dyDescent="0.25">
      <c r="A84" s="117" t="s">
        <v>96</v>
      </c>
      <c r="B84" s="118"/>
      <c r="C84" s="118"/>
      <c r="D84" s="118"/>
      <c r="E84" s="119"/>
      <c r="F84" s="15" t="s">
        <v>20</v>
      </c>
      <c r="G84" s="15"/>
      <c r="H84" s="15">
        <v>6000</v>
      </c>
      <c r="I84" s="15">
        <f>G84*H84</f>
        <v>0</v>
      </c>
      <c r="J84" s="15">
        <f>J78</f>
        <v>1300</v>
      </c>
      <c r="K84" s="15">
        <f t="shared" ref="K84" si="10">I84/J84</f>
        <v>0</v>
      </c>
      <c r="L84" s="26"/>
      <c r="M84" s="16"/>
    </row>
    <row r="85" spans="1:13" s="2" customFormat="1" hidden="1" x14ac:dyDescent="0.25">
      <c r="A85" s="113" t="s">
        <v>84</v>
      </c>
      <c r="B85" s="114"/>
      <c r="C85" s="114"/>
      <c r="D85" s="114"/>
      <c r="E85" s="114"/>
      <c r="F85" s="114"/>
      <c r="G85" s="114"/>
      <c r="H85" s="114"/>
      <c r="I85" s="13">
        <f>SUM(I84:I84)</f>
        <v>0</v>
      </c>
      <c r="J85" s="13"/>
      <c r="K85" s="13">
        <f>SUM(K84:K84)</f>
        <v>0</v>
      </c>
      <c r="L85" s="26"/>
      <c r="M85" s="16"/>
    </row>
    <row r="86" spans="1:13" s="2" customFormat="1" hidden="1" x14ac:dyDescent="0.25">
      <c r="A86" s="41"/>
      <c r="B86" s="41"/>
      <c r="C86" s="41"/>
      <c r="D86" s="41"/>
      <c r="E86" s="41"/>
      <c r="F86" s="41"/>
      <c r="G86" s="41"/>
      <c r="H86" s="41"/>
      <c r="I86" s="14"/>
      <c r="J86" s="14"/>
      <c r="K86" s="14"/>
      <c r="L86" s="26"/>
      <c r="M86" s="16"/>
    </row>
    <row r="87" spans="1:13" s="2" customFormat="1" x14ac:dyDescent="0.25">
      <c r="A87" s="115" t="s">
        <v>85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6"/>
    </row>
    <row r="88" spans="1:13" s="2" customFormat="1" ht="60" customHeight="1" x14ac:dyDescent="0.25">
      <c r="A88" s="96" t="s">
        <v>23</v>
      </c>
      <c r="B88" s="97"/>
      <c r="C88" s="97"/>
      <c r="D88" s="97"/>
      <c r="E88" s="98"/>
      <c r="F88" s="27" t="s">
        <v>8</v>
      </c>
      <c r="G88" s="27" t="s">
        <v>69</v>
      </c>
      <c r="H88" s="27" t="s">
        <v>70</v>
      </c>
      <c r="I88" s="27" t="s">
        <v>80</v>
      </c>
      <c r="J88" s="42" t="s">
        <v>74</v>
      </c>
      <c r="K88" s="28" t="s">
        <v>75</v>
      </c>
      <c r="L88" s="43"/>
      <c r="M88" s="43"/>
    </row>
    <row r="89" spans="1:13" s="2" customFormat="1" ht="30" customHeight="1" x14ac:dyDescent="0.25">
      <c r="A89" s="117" t="s">
        <v>24</v>
      </c>
      <c r="B89" s="118"/>
      <c r="C89" s="118"/>
      <c r="D89" s="118"/>
      <c r="E89" s="119"/>
      <c r="F89" s="44" t="s">
        <v>25</v>
      </c>
      <c r="G89" s="15">
        <v>4</v>
      </c>
      <c r="H89" s="15">
        <f>'Услуга №1'!H74</f>
        <v>536.9</v>
      </c>
      <c r="I89" s="15">
        <f>25771.2*31.68%</f>
        <v>8164.3161599999994</v>
      </c>
      <c r="J89" s="36">
        <f>J84</f>
        <v>1300</v>
      </c>
      <c r="K89" s="15">
        <f>I89/J89</f>
        <v>6.2802431999999992</v>
      </c>
      <c r="L89" s="26"/>
      <c r="M89" s="26"/>
    </row>
    <row r="90" spans="1:13" s="2" customFormat="1" ht="27" customHeight="1" x14ac:dyDescent="0.25">
      <c r="A90" s="117" t="str">
        <f>'Услуга №1'!A75:E75</f>
        <v>Абонентская связь (дополнительно)</v>
      </c>
      <c r="B90" s="118"/>
      <c r="C90" s="118"/>
      <c r="D90" s="118"/>
      <c r="E90" s="119"/>
      <c r="F90" s="44" t="s">
        <v>25</v>
      </c>
      <c r="G90" s="15">
        <v>12</v>
      </c>
      <c r="H90" s="15">
        <f>'Услуга №1'!H75</f>
        <v>76.7</v>
      </c>
      <c r="I90" s="15">
        <f>920.4*31.68%</f>
        <v>291.58271999999994</v>
      </c>
      <c r="J90" s="36">
        <f>J89</f>
        <v>1300</v>
      </c>
      <c r="K90" s="15">
        <f t="shared" ref="K90:K91" si="11">I90/J90</f>
        <v>0.22429439999999995</v>
      </c>
      <c r="L90" s="26"/>
      <c r="M90" s="26"/>
    </row>
    <row r="91" spans="1:13" s="2" customFormat="1" ht="30" customHeight="1" x14ac:dyDescent="0.25">
      <c r="A91" s="117" t="str">
        <f>'Услуга №1'!A76:E76</f>
        <v>Услуги междугородней связи</v>
      </c>
      <c r="B91" s="118"/>
      <c r="C91" s="118"/>
      <c r="D91" s="118"/>
      <c r="E91" s="119"/>
      <c r="F91" s="44" t="s">
        <v>25</v>
      </c>
      <c r="G91" s="15"/>
      <c r="H91" s="15"/>
      <c r="I91" s="15">
        <f>2108.4*31.68%</f>
        <v>667.94111999999996</v>
      </c>
      <c r="J91" s="36">
        <f>J90</f>
        <v>1300</v>
      </c>
      <c r="K91" s="15">
        <f t="shared" si="11"/>
        <v>0.5138008615384615</v>
      </c>
      <c r="L91" s="26"/>
      <c r="M91" s="26"/>
    </row>
    <row r="92" spans="1:13" s="2" customFormat="1" ht="30" customHeight="1" thickBot="1" x14ac:dyDescent="0.3">
      <c r="A92" s="117" t="s">
        <v>86</v>
      </c>
      <c r="B92" s="118"/>
      <c r="C92" s="118"/>
      <c r="D92" s="118"/>
      <c r="E92" s="119"/>
      <c r="F92" s="44" t="s">
        <v>87</v>
      </c>
      <c r="G92" s="15">
        <v>12</v>
      </c>
      <c r="H92" s="15">
        <f>'Услуга №1'!H77</f>
        <v>1000</v>
      </c>
      <c r="I92" s="72">
        <f>12000*31.68%</f>
        <v>3801.5999999999995</v>
      </c>
      <c r="J92" s="36">
        <f>J89</f>
        <v>1300</v>
      </c>
      <c r="K92" s="72">
        <f>I92/J92</f>
        <v>2.9243076923076918</v>
      </c>
      <c r="L92" s="26"/>
      <c r="M92" s="26"/>
    </row>
    <row r="93" spans="1:13" s="2" customFormat="1" ht="15.75" thickBot="1" x14ac:dyDescent="0.3">
      <c r="A93" s="113" t="s">
        <v>26</v>
      </c>
      <c r="B93" s="114"/>
      <c r="C93" s="114"/>
      <c r="D93" s="114"/>
      <c r="E93" s="114"/>
      <c r="F93" s="114"/>
      <c r="G93" s="114"/>
      <c r="H93" s="114"/>
      <c r="I93" s="80">
        <f>SUM(I89:I92)</f>
        <v>12925.439999999999</v>
      </c>
      <c r="J93" s="74">
        <f>J90</f>
        <v>1300</v>
      </c>
      <c r="K93" s="80">
        <f>I93/J93</f>
        <v>9.9426461538461535</v>
      </c>
      <c r="L93" s="14"/>
      <c r="M93" s="26"/>
    </row>
    <row r="94" spans="1:13" s="2" customFormat="1" x14ac:dyDescent="0.25">
      <c r="A94" s="41"/>
      <c r="B94" s="41"/>
      <c r="C94" s="41"/>
      <c r="D94" s="41"/>
      <c r="E94" s="41"/>
      <c r="F94" s="41"/>
      <c r="G94" s="41"/>
      <c r="H94" s="41"/>
      <c r="I94" s="14"/>
      <c r="J94" s="14"/>
      <c r="K94" s="14"/>
      <c r="L94" s="14"/>
      <c r="M94" s="26"/>
    </row>
    <row r="95" spans="1:13" s="2" customFormat="1" x14ac:dyDescent="0.25">
      <c r="A95" s="41"/>
      <c r="B95" s="41"/>
      <c r="C95" s="41"/>
      <c r="D95" s="41"/>
      <c r="E95" s="41"/>
      <c r="F95" s="41"/>
      <c r="G95" s="41"/>
      <c r="H95" s="41"/>
      <c r="I95" s="14"/>
      <c r="J95" s="14"/>
      <c r="K95" s="14"/>
      <c r="L95" s="14"/>
      <c r="M95" s="26"/>
    </row>
    <row r="96" spans="1:13" s="2" customFormat="1" x14ac:dyDescent="0.25">
      <c r="A96" s="115" t="s">
        <v>42</v>
      </c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6"/>
    </row>
    <row r="97" spans="1:13" s="2" customFormat="1" ht="75.75" thickBot="1" x14ac:dyDescent="0.3">
      <c r="A97" s="96" t="s">
        <v>5</v>
      </c>
      <c r="B97" s="97"/>
      <c r="C97" s="97"/>
      <c r="D97" s="97"/>
      <c r="E97" s="98"/>
      <c r="F97" s="27" t="s">
        <v>6</v>
      </c>
      <c r="G97" s="27" t="s">
        <v>1</v>
      </c>
      <c r="H97" s="27" t="s">
        <v>72</v>
      </c>
      <c r="I97" s="27" t="s">
        <v>73</v>
      </c>
      <c r="J97" s="27" t="s">
        <v>74</v>
      </c>
      <c r="K97" s="28" t="s">
        <v>75</v>
      </c>
      <c r="L97" s="43"/>
      <c r="M97" s="16"/>
    </row>
    <row r="98" spans="1:13" s="2" customFormat="1" ht="15" hidden="1" customHeight="1" x14ac:dyDescent="0.25">
      <c r="A98" s="95" t="s">
        <v>3</v>
      </c>
      <c r="B98" s="95"/>
      <c r="C98" s="95"/>
      <c r="D98" s="95"/>
      <c r="E98" s="95"/>
      <c r="F98" s="46">
        <f>'Услуга №1'!F83</f>
        <v>15388</v>
      </c>
      <c r="G98" s="15">
        <f>L20</f>
        <v>0.31679999999999997</v>
      </c>
      <c r="H98" s="12">
        <f>F98*12*G98</f>
        <v>58499.020799999991</v>
      </c>
      <c r="I98" s="15">
        <f>H98*1.302</f>
        <v>76165.725081599987</v>
      </c>
      <c r="J98" s="15">
        <f>J92</f>
        <v>1300</v>
      </c>
      <c r="K98" s="15">
        <f>I98/J98</f>
        <v>58.589019293538449</v>
      </c>
      <c r="L98" s="26"/>
      <c r="M98" s="16"/>
    </row>
    <row r="99" spans="1:13" s="2" customFormat="1" ht="15" hidden="1" customHeight="1" x14ac:dyDescent="0.25">
      <c r="A99" s="95" t="s">
        <v>92</v>
      </c>
      <c r="B99" s="95"/>
      <c r="C99" s="95"/>
      <c r="D99" s="95"/>
      <c r="E99" s="95"/>
      <c r="F99" s="15">
        <f>'Услуга №1'!F84</f>
        <v>11538</v>
      </c>
      <c r="G99" s="15">
        <f>L21</f>
        <v>0.31679999999999997</v>
      </c>
      <c r="H99" s="12">
        <f t="shared" ref="H99:H100" si="12">F99*12*G99</f>
        <v>43862.860799999995</v>
      </c>
      <c r="I99" s="15">
        <f t="shared" ref="I99:I100" si="13">H99*1.302</f>
        <v>57109.444761599996</v>
      </c>
      <c r="J99" s="15">
        <f>J98</f>
        <v>1300</v>
      </c>
      <c r="K99" s="15">
        <f t="shared" ref="K99:K100" si="14">I99/J99</f>
        <v>43.930342124307693</v>
      </c>
      <c r="L99" s="26"/>
      <c r="M99" s="16"/>
    </row>
    <row r="100" spans="1:13" s="2" customFormat="1" ht="15" hidden="1" customHeight="1" x14ac:dyDescent="0.25">
      <c r="A100" s="123" t="s">
        <v>55</v>
      </c>
      <c r="B100" s="124"/>
      <c r="C100" s="124"/>
      <c r="D100" s="124"/>
      <c r="E100" s="125"/>
      <c r="F100" s="15">
        <f>'Услуга №1'!F89</f>
        <v>5669</v>
      </c>
      <c r="G100" s="15">
        <f>L22</f>
        <v>0.31679999999999997</v>
      </c>
      <c r="H100" s="12">
        <f t="shared" si="12"/>
        <v>21551.270399999998</v>
      </c>
      <c r="I100" s="72">
        <f t="shared" si="13"/>
        <v>28059.754060799998</v>
      </c>
      <c r="J100" s="15">
        <f>J99</f>
        <v>1300</v>
      </c>
      <c r="K100" s="72">
        <f t="shared" si="14"/>
        <v>21.584426200615383</v>
      </c>
      <c r="L100" s="26"/>
      <c r="M100" s="16"/>
    </row>
    <row r="101" spans="1:13" ht="20.25" customHeight="1" thickBot="1" x14ac:dyDescent="0.3">
      <c r="A101" s="53" t="s">
        <v>27</v>
      </c>
      <c r="B101" s="54"/>
      <c r="C101" s="54"/>
      <c r="D101" s="54"/>
      <c r="E101" s="54"/>
      <c r="F101" s="11">
        <v>41567.68</v>
      </c>
      <c r="G101" s="11">
        <f>SUM(G98:G100)</f>
        <v>0.95039999999999991</v>
      </c>
      <c r="H101" s="71">
        <v>473871.55</v>
      </c>
      <c r="I101" s="80">
        <f>H101*1.302</f>
        <v>616980.75809999998</v>
      </c>
      <c r="J101" s="74">
        <f>J100</f>
        <v>1300</v>
      </c>
      <c r="K101" s="80">
        <f>I101/J101</f>
        <v>474.60058315384612</v>
      </c>
      <c r="L101" s="26"/>
      <c r="M101" s="16"/>
    </row>
    <row r="102" spans="1:13" s="2" customFormat="1" ht="12" customHeight="1" x14ac:dyDescent="0.25">
      <c r="A102" s="16"/>
      <c r="B102" s="16"/>
      <c r="C102" s="16"/>
      <c r="D102" s="16"/>
      <c r="E102" s="16"/>
      <c r="F102" s="47"/>
      <c r="G102" s="47"/>
      <c r="H102" s="47"/>
      <c r="I102" s="47"/>
      <c r="J102" s="47"/>
      <c r="K102" s="47"/>
      <c r="L102" s="47"/>
      <c r="M102" s="16"/>
    </row>
    <row r="103" spans="1:13" x14ac:dyDescent="0.25">
      <c r="A103" s="107" t="s">
        <v>88</v>
      </c>
      <c r="B103" s="107"/>
      <c r="C103" s="107"/>
      <c r="D103" s="107"/>
      <c r="E103" s="107"/>
      <c r="F103" s="107"/>
      <c r="G103" s="107"/>
      <c r="H103" s="107"/>
      <c r="I103" s="107"/>
      <c r="J103" s="107"/>
      <c r="K103" s="107"/>
      <c r="L103" s="126"/>
      <c r="M103" s="16"/>
    </row>
    <row r="104" spans="1:13" ht="45" x14ac:dyDescent="0.25">
      <c r="A104" s="121" t="s">
        <v>89</v>
      </c>
      <c r="B104" s="121"/>
      <c r="C104" s="121"/>
      <c r="D104" s="121"/>
      <c r="E104" s="121"/>
      <c r="F104" s="27" t="s">
        <v>8</v>
      </c>
      <c r="G104" s="27" t="s">
        <v>69</v>
      </c>
      <c r="H104" s="27" t="s">
        <v>70</v>
      </c>
      <c r="I104" s="27" t="s">
        <v>80</v>
      </c>
      <c r="J104" s="27" t="s">
        <v>74</v>
      </c>
      <c r="K104" s="32" t="s">
        <v>75</v>
      </c>
      <c r="L104" s="33"/>
      <c r="M104" s="16"/>
    </row>
    <row r="105" spans="1:13" ht="30.75" customHeight="1" x14ac:dyDescent="0.25">
      <c r="A105" s="116" t="s">
        <v>105</v>
      </c>
      <c r="B105" s="116"/>
      <c r="C105" s="116"/>
      <c r="D105" s="116"/>
      <c r="E105" s="116"/>
      <c r="F105" s="15"/>
      <c r="G105" s="15"/>
      <c r="H105" s="12"/>
      <c r="I105" s="12">
        <f>27383.95*31.68%</f>
        <v>8675.2353599999988</v>
      </c>
      <c r="J105" s="15">
        <f>J100</f>
        <v>1300</v>
      </c>
      <c r="K105" s="36">
        <f>I105/J105</f>
        <v>6.6732579692307681</v>
      </c>
      <c r="L105" s="35"/>
      <c r="M105" s="16"/>
    </row>
    <row r="106" spans="1:13" ht="15.75" thickBot="1" x14ac:dyDescent="0.3">
      <c r="A106" s="95" t="s">
        <v>94</v>
      </c>
      <c r="B106" s="95"/>
      <c r="C106" s="95"/>
      <c r="D106" s="95"/>
      <c r="E106" s="95"/>
      <c r="F106" s="15"/>
      <c r="G106" s="15"/>
      <c r="H106" s="12"/>
      <c r="I106" s="82">
        <f>36000*31.68%</f>
        <v>11404.8</v>
      </c>
      <c r="J106" s="15">
        <f>J105</f>
        <v>1300</v>
      </c>
      <c r="K106" s="79">
        <f>I106/J106</f>
        <v>8.7729230769230764</v>
      </c>
      <c r="L106" s="35"/>
      <c r="M106" s="16"/>
    </row>
    <row r="107" spans="1:13" ht="15.75" thickBot="1" x14ac:dyDescent="0.3">
      <c r="A107" s="113" t="s">
        <v>90</v>
      </c>
      <c r="B107" s="114"/>
      <c r="C107" s="114"/>
      <c r="D107" s="114"/>
      <c r="E107" s="114"/>
      <c r="F107" s="114"/>
      <c r="G107" s="114"/>
      <c r="H107" s="114"/>
      <c r="I107" s="80">
        <f>SUM(I105:I106)</f>
        <v>20080.035359999998</v>
      </c>
      <c r="J107" s="83">
        <v>1300</v>
      </c>
      <c r="K107" s="80">
        <f t="shared" ref="K107" si="15">SUM(K105:K106)</f>
        <v>15.446181046153844</v>
      </c>
      <c r="L107" s="26"/>
      <c r="M107" s="16"/>
    </row>
    <row r="108" spans="1:13" x14ac:dyDescent="0.25">
      <c r="A108" s="41"/>
      <c r="B108" s="41"/>
      <c r="C108" s="41"/>
      <c r="D108" s="41"/>
      <c r="E108" s="41"/>
      <c r="F108" s="41"/>
      <c r="G108" s="41"/>
      <c r="H108" s="41"/>
      <c r="I108" s="14"/>
      <c r="J108" s="14"/>
      <c r="K108" s="14"/>
      <c r="L108" s="26"/>
      <c r="M108" s="16"/>
    </row>
    <row r="109" spans="1:13" hidden="1" x14ac:dyDescent="0.25">
      <c r="A109" s="127" t="s">
        <v>106</v>
      </c>
      <c r="B109" s="127"/>
      <c r="C109" s="127"/>
      <c r="D109" s="127"/>
      <c r="E109" s="127"/>
      <c r="F109" s="127"/>
      <c r="G109" s="127"/>
      <c r="H109" s="127"/>
      <c r="I109" s="127"/>
      <c r="J109" s="127"/>
      <c r="K109" s="127"/>
      <c r="L109" s="127"/>
      <c r="M109" s="16"/>
    </row>
    <row r="110" spans="1:13" ht="45" hidden="1" x14ac:dyDescent="0.25">
      <c r="A110" s="121" t="s">
        <v>89</v>
      </c>
      <c r="B110" s="121"/>
      <c r="C110" s="121"/>
      <c r="D110" s="121"/>
      <c r="E110" s="121"/>
      <c r="F110" s="27" t="s">
        <v>8</v>
      </c>
      <c r="G110" s="27" t="s">
        <v>69</v>
      </c>
      <c r="H110" s="27" t="s">
        <v>70</v>
      </c>
      <c r="I110" s="27" t="s">
        <v>80</v>
      </c>
      <c r="J110" s="27" t="s">
        <v>74</v>
      </c>
      <c r="K110" s="28" t="s">
        <v>75</v>
      </c>
      <c r="L110" s="33"/>
      <c r="M110" s="16"/>
    </row>
    <row r="111" spans="1:13" hidden="1" x14ac:dyDescent="0.25">
      <c r="A111" s="95" t="s">
        <v>108</v>
      </c>
      <c r="B111" s="95"/>
      <c r="C111" s="95"/>
      <c r="D111" s="95"/>
      <c r="E111" s="95"/>
      <c r="F111" s="15"/>
      <c r="G111" s="15"/>
      <c r="H111" s="12"/>
      <c r="I111" s="12">
        <v>0</v>
      </c>
      <c r="J111" s="15">
        <v>3020</v>
      </c>
      <c r="K111" s="36">
        <f>I111/J111</f>
        <v>0</v>
      </c>
      <c r="L111" s="35"/>
      <c r="M111" s="16"/>
    </row>
    <row r="112" spans="1:13" hidden="1" x14ac:dyDescent="0.25">
      <c r="A112" s="95" t="s">
        <v>97</v>
      </c>
      <c r="B112" s="95"/>
      <c r="C112" s="95"/>
      <c r="D112" s="95"/>
      <c r="E112" s="95"/>
      <c r="F112" s="15" t="s">
        <v>28</v>
      </c>
      <c r="G112" s="15"/>
      <c r="H112" s="12"/>
      <c r="I112" s="12">
        <f>G112*H112</f>
        <v>0</v>
      </c>
      <c r="J112" s="15">
        <f>J111</f>
        <v>3020</v>
      </c>
      <c r="K112" s="36">
        <f>I112/J112</f>
        <v>0</v>
      </c>
      <c r="L112" s="35"/>
      <c r="M112" s="16"/>
    </row>
    <row r="113" spans="1:13" hidden="1" x14ac:dyDescent="0.25">
      <c r="A113" s="113" t="s">
        <v>107</v>
      </c>
      <c r="B113" s="114"/>
      <c r="C113" s="114"/>
      <c r="D113" s="114"/>
      <c r="E113" s="114"/>
      <c r="F113" s="114"/>
      <c r="G113" s="114"/>
      <c r="H113" s="114"/>
      <c r="I113" s="13">
        <f>SUM(I111:I112)</f>
        <v>0</v>
      </c>
      <c r="J113" s="13">
        <v>3020</v>
      </c>
      <c r="K113" s="13">
        <f t="shared" ref="K113" si="16">SUM(K111:K112)</f>
        <v>0</v>
      </c>
      <c r="L113" s="35"/>
      <c r="M113" s="16"/>
    </row>
    <row r="114" spans="1:13" hidden="1" x14ac:dyDescent="0.25">
      <c r="A114" s="48"/>
      <c r="B114" s="48"/>
      <c r="C114" s="48"/>
      <c r="D114" s="48"/>
      <c r="E114" s="48"/>
      <c r="F114" s="48"/>
      <c r="G114" s="48"/>
      <c r="H114" s="48"/>
      <c r="I114" s="25"/>
      <c r="J114" s="25"/>
      <c r="K114" s="25"/>
      <c r="L114" s="26"/>
      <c r="M114" s="16"/>
    </row>
    <row r="115" spans="1:13" x14ac:dyDescent="0.25">
      <c r="A115" s="107" t="s">
        <v>109</v>
      </c>
      <c r="B115" s="107"/>
      <c r="C115" s="107"/>
      <c r="D115" s="107"/>
      <c r="E115" s="107"/>
      <c r="F115" s="107"/>
      <c r="G115" s="107"/>
      <c r="H115" s="107"/>
      <c r="I115" s="107"/>
      <c r="J115" s="107"/>
      <c r="K115" s="107"/>
      <c r="L115" s="126"/>
      <c r="M115" s="16"/>
    </row>
    <row r="116" spans="1:13" ht="45" x14ac:dyDescent="0.25">
      <c r="A116" s="121" t="s">
        <v>89</v>
      </c>
      <c r="B116" s="121"/>
      <c r="C116" s="121"/>
      <c r="D116" s="121"/>
      <c r="E116" s="121"/>
      <c r="F116" s="27" t="s">
        <v>8</v>
      </c>
      <c r="G116" s="27" t="s">
        <v>69</v>
      </c>
      <c r="H116" s="27" t="s">
        <v>70</v>
      </c>
      <c r="I116" s="27" t="s">
        <v>80</v>
      </c>
      <c r="J116" s="27" t="s">
        <v>74</v>
      </c>
      <c r="K116" s="32" t="s">
        <v>75</v>
      </c>
      <c r="L116" s="33"/>
      <c r="M116" s="16"/>
    </row>
    <row r="117" spans="1:13" ht="15.75" thickBot="1" x14ac:dyDescent="0.3">
      <c r="A117" s="95" t="s">
        <v>110</v>
      </c>
      <c r="B117" s="95"/>
      <c r="C117" s="95"/>
      <c r="D117" s="95"/>
      <c r="E117" s="95"/>
      <c r="F117" s="15"/>
      <c r="G117" s="15"/>
      <c r="H117" s="12"/>
      <c r="I117" s="12">
        <f>30000*31.68%</f>
        <v>9504</v>
      </c>
      <c r="J117" s="15">
        <f>J107</f>
        <v>1300</v>
      </c>
      <c r="K117" s="36">
        <f>I117/J117</f>
        <v>7.3107692307692309</v>
      </c>
      <c r="L117" s="35"/>
      <c r="M117" s="16"/>
    </row>
    <row r="118" spans="1:13" hidden="1" x14ac:dyDescent="0.25">
      <c r="A118" s="95" t="s">
        <v>97</v>
      </c>
      <c r="B118" s="95"/>
      <c r="C118" s="95"/>
      <c r="D118" s="95"/>
      <c r="E118" s="95"/>
      <c r="F118" s="15" t="s">
        <v>28</v>
      </c>
      <c r="G118" s="15"/>
      <c r="H118" s="12"/>
      <c r="I118" s="82">
        <f>G118*H118</f>
        <v>0</v>
      </c>
      <c r="J118" s="15">
        <f>J117</f>
        <v>1300</v>
      </c>
      <c r="K118" s="79">
        <f>I118/J118</f>
        <v>0</v>
      </c>
      <c r="L118" s="35"/>
      <c r="M118" s="16"/>
    </row>
    <row r="119" spans="1:13" ht="15.75" thickBot="1" x14ac:dyDescent="0.3">
      <c r="A119" s="113" t="s">
        <v>113</v>
      </c>
      <c r="B119" s="114"/>
      <c r="C119" s="114"/>
      <c r="D119" s="114"/>
      <c r="E119" s="114"/>
      <c r="F119" s="114"/>
      <c r="G119" s="114"/>
      <c r="H119" s="114"/>
      <c r="I119" s="80">
        <f>SUM(I117:I118)</f>
        <v>9504</v>
      </c>
      <c r="J119" s="83">
        <f>J117</f>
        <v>1300</v>
      </c>
      <c r="K119" s="80">
        <f t="shared" ref="K119" si="17">SUM(K117:K118)</f>
        <v>7.3107692307692309</v>
      </c>
      <c r="L119" s="26"/>
      <c r="M119" s="16"/>
    </row>
    <row r="120" spans="1:13" x14ac:dyDescent="0.25">
      <c r="A120" s="48"/>
      <c r="B120" s="48"/>
      <c r="C120" s="48"/>
      <c r="D120" s="48"/>
      <c r="E120" s="48"/>
      <c r="F120" s="48"/>
      <c r="G120" s="48"/>
      <c r="H120" s="48"/>
      <c r="I120" s="25"/>
      <c r="J120" s="25"/>
      <c r="K120" s="25"/>
      <c r="L120" s="26"/>
      <c r="M120" s="16"/>
    </row>
    <row r="121" spans="1:13" x14ac:dyDescent="0.25">
      <c r="A121" s="107" t="s">
        <v>111</v>
      </c>
      <c r="B121" s="107"/>
      <c r="C121" s="107"/>
      <c r="D121" s="107"/>
      <c r="E121" s="107"/>
      <c r="F121" s="107"/>
      <c r="G121" s="107"/>
      <c r="H121" s="107"/>
      <c r="I121" s="107"/>
      <c r="J121" s="107"/>
      <c r="K121" s="107"/>
      <c r="L121" s="126"/>
      <c r="M121" s="16"/>
    </row>
    <row r="122" spans="1:13" ht="45" x14ac:dyDescent="0.25">
      <c r="A122" s="121" t="s">
        <v>89</v>
      </c>
      <c r="B122" s="121"/>
      <c r="C122" s="121"/>
      <c r="D122" s="121"/>
      <c r="E122" s="121"/>
      <c r="F122" s="27" t="s">
        <v>8</v>
      </c>
      <c r="G122" s="27" t="s">
        <v>69</v>
      </c>
      <c r="H122" s="27" t="s">
        <v>70</v>
      </c>
      <c r="I122" s="27" t="s">
        <v>80</v>
      </c>
      <c r="J122" s="27" t="s">
        <v>74</v>
      </c>
      <c r="K122" s="32" t="s">
        <v>75</v>
      </c>
      <c r="L122" s="33"/>
      <c r="M122" s="16"/>
    </row>
    <row r="123" spans="1:13" ht="15.75" thickBot="1" x14ac:dyDescent="0.3">
      <c r="A123" s="95" t="s">
        <v>112</v>
      </c>
      <c r="B123" s="95"/>
      <c r="C123" s="95"/>
      <c r="D123" s="95"/>
      <c r="E123" s="95"/>
      <c r="F123" s="15"/>
      <c r="G123" s="15"/>
      <c r="H123" s="12"/>
      <c r="I123" s="12">
        <f>20000*31.68%</f>
        <v>6335.9999999999991</v>
      </c>
      <c r="J123" s="15">
        <f>J117</f>
        <v>1300</v>
      </c>
      <c r="K123" s="36">
        <f>I123/J123</f>
        <v>4.8738461538461531</v>
      </c>
      <c r="L123" s="35"/>
      <c r="M123" s="16"/>
    </row>
    <row r="124" spans="1:13" hidden="1" x14ac:dyDescent="0.25">
      <c r="A124" s="95" t="s">
        <v>97</v>
      </c>
      <c r="B124" s="95"/>
      <c r="C124" s="95"/>
      <c r="D124" s="95"/>
      <c r="E124" s="95"/>
      <c r="F124" s="15" t="s">
        <v>28</v>
      </c>
      <c r="G124" s="15"/>
      <c r="H124" s="12"/>
      <c r="I124" s="82">
        <f>G124*H124</f>
        <v>0</v>
      </c>
      <c r="J124" s="15">
        <f>J123</f>
        <v>1300</v>
      </c>
      <c r="K124" s="79">
        <f>I124/J124</f>
        <v>0</v>
      </c>
      <c r="L124" s="35"/>
      <c r="M124" s="16"/>
    </row>
    <row r="125" spans="1:13" ht="15.75" thickBot="1" x14ac:dyDescent="0.3">
      <c r="A125" s="113" t="s">
        <v>114</v>
      </c>
      <c r="B125" s="114"/>
      <c r="C125" s="114"/>
      <c r="D125" s="114"/>
      <c r="E125" s="114"/>
      <c r="F125" s="114"/>
      <c r="G125" s="114"/>
      <c r="H125" s="114"/>
      <c r="I125" s="80">
        <f>SUM(I123:I124)</f>
        <v>6335.9999999999991</v>
      </c>
      <c r="J125" s="83">
        <f>J123</f>
        <v>1300</v>
      </c>
      <c r="K125" s="80">
        <f t="shared" ref="K125" si="18">SUM(K123:K124)</f>
        <v>4.8738461538461531</v>
      </c>
      <c r="L125" s="26"/>
      <c r="M125" s="16"/>
    </row>
    <row r="126" spans="1:13" s="2" customFormat="1" x14ac:dyDescent="0.25">
      <c r="A126" s="16"/>
      <c r="B126" s="16"/>
      <c r="C126" s="16"/>
      <c r="D126" s="16"/>
      <c r="E126" s="16"/>
      <c r="F126" s="47"/>
      <c r="G126" s="47"/>
      <c r="H126" s="47"/>
      <c r="I126" s="47"/>
      <c r="J126" s="47"/>
      <c r="K126" s="47"/>
      <c r="L126" s="47"/>
      <c r="M126" s="16"/>
    </row>
    <row r="127" spans="1:13" s="2" customFormat="1" ht="12.75" customHeight="1" x14ac:dyDescent="0.25">
      <c r="A127" s="107" t="s">
        <v>29</v>
      </c>
      <c r="B127" s="107"/>
      <c r="C127" s="107"/>
      <c r="D127" s="107"/>
      <c r="E127" s="107"/>
      <c r="F127" s="107"/>
      <c r="G127" s="107"/>
      <c r="H127" s="107"/>
      <c r="I127" s="107"/>
      <c r="J127" s="107"/>
      <c r="K127" s="107"/>
      <c r="L127" s="107"/>
      <c r="M127" s="16"/>
    </row>
    <row r="128" spans="1:13" s="2" customFormat="1" ht="15" customHeight="1" x14ac:dyDescent="0.25">
      <c r="A128" s="108" t="s">
        <v>30</v>
      </c>
      <c r="B128" s="108"/>
      <c r="C128" s="108"/>
      <c r="D128" s="96" t="s">
        <v>31</v>
      </c>
      <c r="E128" s="97"/>
      <c r="F128" s="97"/>
      <c r="G128" s="97"/>
      <c r="H128" s="97"/>
      <c r="I128" s="97"/>
      <c r="J128" s="98"/>
      <c r="K128" s="108" t="s">
        <v>41</v>
      </c>
      <c r="L128" s="108"/>
      <c r="M128" s="16"/>
    </row>
    <row r="129" spans="1:14" s="2" customFormat="1" ht="30.75" thickBot="1" x14ac:dyDescent="0.3">
      <c r="A129" s="15" t="s">
        <v>32</v>
      </c>
      <c r="B129" s="29" t="s">
        <v>33</v>
      </c>
      <c r="C129" s="15" t="s">
        <v>34</v>
      </c>
      <c r="D129" s="15" t="s">
        <v>35</v>
      </c>
      <c r="E129" s="15" t="s">
        <v>36</v>
      </c>
      <c r="F129" s="15" t="s">
        <v>37</v>
      </c>
      <c r="G129" s="15" t="s">
        <v>38</v>
      </c>
      <c r="H129" s="15" t="s">
        <v>129</v>
      </c>
      <c r="I129" s="15" t="s">
        <v>39</v>
      </c>
      <c r="J129" s="15" t="s">
        <v>40</v>
      </c>
      <c r="K129" s="109"/>
      <c r="L129" s="109"/>
      <c r="M129" s="16"/>
    </row>
    <row r="130" spans="1:14" s="2" customFormat="1" ht="15.75" thickBot="1" x14ac:dyDescent="0.3">
      <c r="A130" s="15">
        <f>K60</f>
        <v>2025.5269685538465</v>
      </c>
      <c r="B130" s="15"/>
      <c r="C130" s="15"/>
      <c r="D130" s="15">
        <f>K69</f>
        <v>463.40164910769232</v>
      </c>
      <c r="E130" s="15">
        <f>K80</f>
        <v>43.703778461538455</v>
      </c>
      <c r="F130" s="15"/>
      <c r="G130" s="15">
        <f>K93</f>
        <v>9.9426461538461535</v>
      </c>
      <c r="H130" s="15">
        <f>K107</f>
        <v>15.446181046153844</v>
      </c>
      <c r="I130" s="15">
        <f>K101</f>
        <v>474.60058315384612</v>
      </c>
      <c r="J130" s="66">
        <f>K113+K119+K125</f>
        <v>12.184615384615384</v>
      </c>
      <c r="K130" s="102">
        <f>SUM(A130:J130)</f>
        <v>3044.8064218615386</v>
      </c>
      <c r="L130" s="103"/>
      <c r="M130" s="16"/>
    </row>
    <row r="131" spans="1:14" s="2" customFormat="1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</row>
    <row r="132" spans="1:14" ht="16.5" thickBot="1" x14ac:dyDescent="0.3">
      <c r="A132" s="49" t="s">
        <v>65</v>
      </c>
      <c r="B132" s="50"/>
      <c r="C132" s="50"/>
      <c r="D132" s="50"/>
      <c r="E132" s="50"/>
      <c r="F132" s="104" t="str">
        <f>'Услуга №1'!F121:H121</f>
        <v xml:space="preserve">          О.Е. Федичкина</v>
      </c>
      <c r="G132" s="105"/>
      <c r="H132" s="105"/>
      <c r="I132" s="16"/>
      <c r="J132" s="16"/>
      <c r="K132" s="16"/>
      <c r="L132" s="16"/>
      <c r="M132" s="16"/>
      <c r="N132" s="2"/>
    </row>
    <row r="133" spans="1:14" ht="15.75" thickBot="1" x14ac:dyDescent="0.3">
      <c r="A133" s="16"/>
      <c r="B133" s="16"/>
      <c r="C133" s="16"/>
      <c r="D133" s="16"/>
      <c r="E133" s="16"/>
      <c r="F133" s="16"/>
      <c r="G133" s="16"/>
      <c r="H133" s="16"/>
      <c r="I133" s="84">
        <f>I60+I69+I80+I93+I101+I107+I113+I119+I125</f>
        <v>3958248.3484200006</v>
      </c>
      <c r="J133" s="16"/>
      <c r="K133" s="84">
        <f>K130*J123</f>
        <v>3958248.3484200002</v>
      </c>
      <c r="L133" s="16"/>
      <c r="M133" s="16"/>
      <c r="N133" s="2"/>
    </row>
    <row r="134" spans="1:14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2"/>
    </row>
    <row r="135" spans="1:14" x14ac:dyDescent="0.25">
      <c r="A135" s="52" t="str">
        <f>'Услуга №1'!A124:C124</f>
        <v>Лонская Клавдия Алексеевна</v>
      </c>
      <c r="B135" s="17"/>
      <c r="C135" s="52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2"/>
    </row>
    <row r="136" spans="1:14" x14ac:dyDescent="0.25">
      <c r="A136" s="5" t="s">
        <v>59</v>
      </c>
      <c r="C136" s="5"/>
      <c r="I136" s="17"/>
    </row>
  </sheetData>
  <mergeCells count="127">
    <mergeCell ref="A119:H119"/>
    <mergeCell ref="A121:L121"/>
    <mergeCell ref="A122:E122"/>
    <mergeCell ref="A123:E123"/>
    <mergeCell ref="A124:E124"/>
    <mergeCell ref="A125:H125"/>
    <mergeCell ref="A68:E68"/>
    <mergeCell ref="A73:E73"/>
    <mergeCell ref="A76:E76"/>
    <mergeCell ref="A77:E77"/>
    <mergeCell ref="A78:E78"/>
    <mergeCell ref="A79:E79"/>
    <mergeCell ref="A80:H80"/>
    <mergeCell ref="A103:L103"/>
    <mergeCell ref="A104:E104"/>
    <mergeCell ref="A71:L71"/>
    <mergeCell ref="A72:E72"/>
    <mergeCell ref="A74:E74"/>
    <mergeCell ref="A75:E75"/>
    <mergeCell ref="A82:L82"/>
    <mergeCell ref="A83:E83"/>
    <mergeCell ref="A84:E84"/>
    <mergeCell ref="A85:H85"/>
    <mergeCell ref="A87:L87"/>
    <mergeCell ref="K130:L130"/>
    <mergeCell ref="F132:H132"/>
    <mergeCell ref="A112:E112"/>
    <mergeCell ref="A89:E89"/>
    <mergeCell ref="A93:H93"/>
    <mergeCell ref="A97:E97"/>
    <mergeCell ref="A109:L109"/>
    <mergeCell ref="A113:H113"/>
    <mergeCell ref="A127:L127"/>
    <mergeCell ref="A128:C128"/>
    <mergeCell ref="D128:J128"/>
    <mergeCell ref="K128:L129"/>
    <mergeCell ref="A111:E111"/>
    <mergeCell ref="A110:E110"/>
    <mergeCell ref="A105:E105"/>
    <mergeCell ref="A106:E106"/>
    <mergeCell ref="A107:H107"/>
    <mergeCell ref="A115:L115"/>
    <mergeCell ref="A116:E116"/>
    <mergeCell ref="A117:E117"/>
    <mergeCell ref="A118:E118"/>
    <mergeCell ref="A99:E99"/>
    <mergeCell ref="A100:E100"/>
    <mergeCell ref="A98:E98"/>
    <mergeCell ref="A47:E47"/>
    <mergeCell ref="A62:L62"/>
    <mergeCell ref="A48:E48"/>
    <mergeCell ref="A38:E38"/>
    <mergeCell ref="A42:E42"/>
    <mergeCell ref="A43:E43"/>
    <mergeCell ref="A44:E44"/>
    <mergeCell ref="A45:E45"/>
    <mergeCell ref="A46:E46"/>
    <mergeCell ref="A59:E59"/>
    <mergeCell ref="A49:E49"/>
    <mergeCell ref="A50:E50"/>
    <mergeCell ref="A51:E51"/>
    <mergeCell ref="A52:E52"/>
    <mergeCell ref="A53:E53"/>
    <mergeCell ref="A54:E54"/>
    <mergeCell ref="G38:K38"/>
    <mergeCell ref="A41:E41"/>
    <mergeCell ref="A55:E55"/>
    <mergeCell ref="A56:E56"/>
    <mergeCell ref="A57:E57"/>
    <mergeCell ref="A58:E58"/>
    <mergeCell ref="A60:E60"/>
    <mergeCell ref="A67:E67"/>
    <mergeCell ref="A69:H69"/>
    <mergeCell ref="A66:E66"/>
    <mergeCell ref="A65:E65"/>
    <mergeCell ref="A64:E64"/>
    <mergeCell ref="A63:E63"/>
    <mergeCell ref="A88:E88"/>
    <mergeCell ref="A90:E90"/>
    <mergeCell ref="A96:L96"/>
    <mergeCell ref="A92:E92"/>
    <mergeCell ref="A91:E91"/>
    <mergeCell ref="G24:K24"/>
    <mergeCell ref="G37:K37"/>
    <mergeCell ref="A23:E23"/>
    <mergeCell ref="A9:M9"/>
    <mergeCell ref="A10:M10"/>
    <mergeCell ref="A11:M11"/>
    <mergeCell ref="G23:K23"/>
    <mergeCell ref="A28:E28"/>
    <mergeCell ref="G28:K28"/>
    <mergeCell ref="A29:E29"/>
    <mergeCell ref="G29:K29"/>
    <mergeCell ref="A30:E30"/>
    <mergeCell ref="G30:K30"/>
    <mergeCell ref="A33:E33"/>
    <mergeCell ref="G33:K33"/>
    <mergeCell ref="A31:E31"/>
    <mergeCell ref="G31:K31"/>
    <mergeCell ref="A32:E32"/>
    <mergeCell ref="G32:K32"/>
    <mergeCell ref="A24:E24"/>
    <mergeCell ref="G27:K27"/>
    <mergeCell ref="A34:E34"/>
    <mergeCell ref="G34:K34"/>
    <mergeCell ref="A35:E35"/>
    <mergeCell ref="A3:D3"/>
    <mergeCell ref="A5:F5"/>
    <mergeCell ref="A7:F7"/>
    <mergeCell ref="A4:F4"/>
    <mergeCell ref="A22:E22"/>
    <mergeCell ref="G22:K22"/>
    <mergeCell ref="A19:E19"/>
    <mergeCell ref="G19:K19"/>
    <mergeCell ref="A20:E20"/>
    <mergeCell ref="G20:K20"/>
    <mergeCell ref="A21:E21"/>
    <mergeCell ref="G21:K21"/>
    <mergeCell ref="G35:K35"/>
    <mergeCell ref="G36:K36"/>
    <mergeCell ref="A36:E36"/>
    <mergeCell ref="A37:E37"/>
    <mergeCell ref="A25:E25"/>
    <mergeCell ref="G25:K25"/>
    <mergeCell ref="A26:E26"/>
    <mergeCell ref="G26:K26"/>
    <mergeCell ref="A27:E27"/>
  </mergeCells>
  <pageMargins left="0.70866141732283472" right="0.52" top="0.49" bottom="0.35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opLeftCell="A103" zoomScale="90" zoomScaleNormal="90" workbookViewId="0">
      <selection activeCell="M40" sqref="M40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3.8554687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92" t="s">
        <v>61</v>
      </c>
      <c r="B3" s="92"/>
      <c r="C3" s="92"/>
      <c r="D3" s="92"/>
      <c r="E3" s="7"/>
      <c r="F3" s="7"/>
    </row>
    <row r="4" spans="1:14" x14ac:dyDescent="0.25">
      <c r="A4" s="92" t="s">
        <v>62</v>
      </c>
      <c r="B4" s="92"/>
      <c r="C4" s="94"/>
      <c r="D4" s="94"/>
      <c r="E4" s="94"/>
      <c r="F4" s="94"/>
    </row>
    <row r="5" spans="1:14" x14ac:dyDescent="0.25">
      <c r="A5" s="93" t="s">
        <v>63</v>
      </c>
      <c r="B5" s="93"/>
      <c r="C5" s="93"/>
      <c r="D5" s="94"/>
      <c r="E5" s="94"/>
      <c r="F5" s="94"/>
    </row>
    <row r="6" spans="1:14" x14ac:dyDescent="0.25">
      <c r="A6" s="64"/>
      <c r="B6" s="64"/>
      <c r="C6" s="64"/>
      <c r="D6" s="9"/>
      <c r="E6" s="7"/>
      <c r="F6" s="7"/>
    </row>
    <row r="7" spans="1:14" x14ac:dyDescent="0.25">
      <c r="A7" s="93" t="s">
        <v>64</v>
      </c>
      <c r="B7" s="93"/>
      <c r="C7" s="93"/>
      <c r="D7" s="94"/>
      <c r="E7" s="94"/>
      <c r="F7" s="94"/>
    </row>
    <row r="8" spans="1:14" x14ac:dyDescent="0.25">
      <c r="A8" s="7"/>
      <c r="B8" s="7"/>
      <c r="C8" s="7"/>
      <c r="D8" s="7"/>
      <c r="E8" s="7"/>
      <c r="F8" s="7"/>
    </row>
    <row r="9" spans="1:14" ht="15.75" x14ac:dyDescent="0.25">
      <c r="A9" s="128" t="s">
        <v>67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</row>
    <row r="10" spans="1:14" ht="15.75" x14ac:dyDescent="0.25">
      <c r="A10" s="128" t="s">
        <v>66</v>
      </c>
      <c r="B10" s="128"/>
      <c r="C10" s="128"/>
      <c r="D10" s="128"/>
      <c r="E10" s="128"/>
      <c r="F10" s="128"/>
      <c r="G10" s="128"/>
      <c r="H10" s="128"/>
      <c r="I10" s="128"/>
      <c r="J10" s="128"/>
      <c r="K10" s="128"/>
      <c r="L10" s="128"/>
      <c r="M10" s="128"/>
    </row>
    <row r="11" spans="1:14" ht="15.75" x14ac:dyDescent="0.25">
      <c r="A11" s="128" t="s">
        <v>119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</row>
    <row r="12" spans="1:14" ht="11.25" customHeight="1" x14ac:dyDescent="0.25"/>
    <row r="13" spans="1:14" x14ac:dyDescent="0.25">
      <c r="A13" s="57" t="s">
        <v>120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2"/>
      <c r="M13" s="2"/>
      <c r="N13" s="2"/>
    </row>
    <row r="14" spans="1:14" x14ac:dyDescent="0.25">
      <c r="A14" s="57" t="s">
        <v>126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2"/>
      <c r="M14" s="2"/>
      <c r="N14" s="2"/>
    </row>
    <row r="15" spans="1:14" hidden="1" x14ac:dyDescent="0.25">
      <c r="A15" s="57" t="s">
        <v>117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2"/>
      <c r="M15" s="2"/>
      <c r="N15" s="2"/>
    </row>
    <row r="16" spans="1:14" hidden="1" x14ac:dyDescent="0.25">
      <c r="A16" s="57" t="s">
        <v>127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2"/>
      <c r="M16" s="2"/>
      <c r="N16" s="2"/>
    </row>
    <row r="17" spans="1:14" x14ac:dyDescent="0.25">
      <c r="A17" s="57" t="s">
        <v>128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2"/>
      <c r="M17" s="2"/>
      <c r="N17" s="2"/>
    </row>
    <row r="18" spans="1:14" x14ac:dyDescent="0.25">
      <c r="A18" s="57" t="s">
        <v>125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2"/>
      <c r="M18" s="2"/>
      <c r="N18" s="2"/>
    </row>
    <row r="19" spans="1:14" ht="33" customHeight="1" x14ac:dyDescent="0.25">
      <c r="A19" s="111" t="s">
        <v>0</v>
      </c>
      <c r="B19" s="111"/>
      <c r="C19" s="111"/>
      <c r="D19" s="111"/>
      <c r="E19" s="111"/>
      <c r="F19" s="3" t="s">
        <v>1</v>
      </c>
      <c r="G19" s="111" t="s">
        <v>2</v>
      </c>
      <c r="H19" s="111"/>
      <c r="I19" s="111"/>
      <c r="J19" s="111"/>
      <c r="K19" s="111"/>
      <c r="L19" s="3" t="s">
        <v>1</v>
      </c>
      <c r="M19" s="2"/>
      <c r="N19" s="2"/>
    </row>
    <row r="20" spans="1:14" x14ac:dyDescent="0.25">
      <c r="A20" s="88" t="s">
        <v>53</v>
      </c>
      <c r="B20" s="88"/>
      <c r="C20" s="88"/>
      <c r="D20" s="88"/>
      <c r="E20" s="88"/>
      <c r="F20" s="58">
        <f>1*31.68%</f>
        <v>0.31679999999999997</v>
      </c>
      <c r="G20" s="88" t="s">
        <v>3</v>
      </c>
      <c r="H20" s="88"/>
      <c r="I20" s="88"/>
      <c r="J20" s="88"/>
      <c r="K20" s="88"/>
      <c r="L20" s="4">
        <f>1*31.68%</f>
        <v>0.31679999999999997</v>
      </c>
      <c r="M20" s="2"/>
      <c r="N20" s="2"/>
    </row>
    <row r="21" spans="1:14" ht="15" customHeight="1" x14ac:dyDescent="0.25">
      <c r="A21" s="89" t="s">
        <v>91</v>
      </c>
      <c r="B21" s="90"/>
      <c r="C21" s="90"/>
      <c r="D21" s="90"/>
      <c r="E21" s="91"/>
      <c r="F21" s="58">
        <f t="shared" ref="F21:F37" si="0">1*31.68%</f>
        <v>0.31679999999999997</v>
      </c>
      <c r="G21" s="88" t="s">
        <v>92</v>
      </c>
      <c r="H21" s="88"/>
      <c r="I21" s="88"/>
      <c r="J21" s="88"/>
      <c r="K21" s="88"/>
      <c r="L21" s="4">
        <f t="shared" ref="L21:L22" si="1">1*31.68%</f>
        <v>0.31679999999999997</v>
      </c>
      <c r="M21" s="2"/>
      <c r="N21" s="2"/>
    </row>
    <row r="22" spans="1:14" x14ac:dyDescent="0.25">
      <c r="A22" s="88" t="s">
        <v>93</v>
      </c>
      <c r="B22" s="88"/>
      <c r="C22" s="88"/>
      <c r="D22" s="88"/>
      <c r="E22" s="88"/>
      <c r="F22" s="58">
        <f t="shared" si="0"/>
        <v>0.31679999999999997</v>
      </c>
      <c r="G22" s="89" t="s">
        <v>55</v>
      </c>
      <c r="H22" s="90"/>
      <c r="I22" s="90"/>
      <c r="J22" s="90"/>
      <c r="K22" s="91"/>
      <c r="L22" s="4">
        <f t="shared" si="1"/>
        <v>0.31679999999999997</v>
      </c>
      <c r="M22" s="2"/>
      <c r="N22" s="2"/>
    </row>
    <row r="23" spans="1:14" ht="15" customHeight="1" x14ac:dyDescent="0.25">
      <c r="A23" s="88" t="s">
        <v>68</v>
      </c>
      <c r="B23" s="88"/>
      <c r="C23" s="88"/>
      <c r="D23" s="88"/>
      <c r="E23" s="88"/>
      <c r="F23" s="58">
        <f t="shared" si="0"/>
        <v>0.31679999999999997</v>
      </c>
      <c r="G23" s="88"/>
      <c r="H23" s="88"/>
      <c r="I23" s="88"/>
      <c r="J23" s="88"/>
      <c r="K23" s="88"/>
      <c r="L23" s="4"/>
      <c r="M23" s="2"/>
      <c r="N23" s="2"/>
    </row>
    <row r="24" spans="1:14" ht="14.25" customHeight="1" x14ac:dyDescent="0.25">
      <c r="A24" s="129" t="s">
        <v>43</v>
      </c>
      <c r="B24" s="130"/>
      <c r="C24" s="130"/>
      <c r="D24" s="130"/>
      <c r="E24" s="131"/>
      <c r="F24" s="58">
        <f t="shared" si="0"/>
        <v>0.31679999999999997</v>
      </c>
      <c r="G24" s="88"/>
      <c r="H24" s="88"/>
      <c r="I24" s="88"/>
      <c r="J24" s="88"/>
      <c r="K24" s="88"/>
      <c r="L24" s="4"/>
      <c r="M24" s="2"/>
      <c r="N24" s="2"/>
    </row>
    <row r="25" spans="1:14" x14ac:dyDescent="0.25">
      <c r="A25" s="88" t="s">
        <v>45</v>
      </c>
      <c r="B25" s="88"/>
      <c r="C25" s="88"/>
      <c r="D25" s="88"/>
      <c r="E25" s="88"/>
      <c r="F25" s="58">
        <f>1.5*31.68%+0.2</f>
        <v>0.67520000000000002</v>
      </c>
      <c r="G25" s="88"/>
      <c r="H25" s="88"/>
      <c r="I25" s="88"/>
      <c r="J25" s="88"/>
      <c r="K25" s="88"/>
      <c r="L25" s="4"/>
      <c r="M25" s="2"/>
      <c r="N25" s="2"/>
    </row>
    <row r="26" spans="1:14" ht="15" customHeight="1" x14ac:dyDescent="0.25">
      <c r="A26" s="88" t="s">
        <v>44</v>
      </c>
      <c r="B26" s="88"/>
      <c r="C26" s="88"/>
      <c r="D26" s="88"/>
      <c r="E26" s="88"/>
      <c r="F26" s="58">
        <f>6.5*31.68%</f>
        <v>2.0591999999999997</v>
      </c>
      <c r="G26" s="88"/>
      <c r="H26" s="88"/>
      <c r="I26" s="88"/>
      <c r="J26" s="88"/>
      <c r="K26" s="88"/>
      <c r="L26" s="4"/>
      <c r="M26" s="2"/>
      <c r="N26" s="2"/>
    </row>
    <row r="27" spans="1:14" x14ac:dyDescent="0.25">
      <c r="A27" s="88" t="s">
        <v>50</v>
      </c>
      <c r="B27" s="88"/>
      <c r="C27" s="88"/>
      <c r="D27" s="88"/>
      <c r="E27" s="88"/>
      <c r="F27" s="58">
        <f>2*31.68%</f>
        <v>0.63359999999999994</v>
      </c>
      <c r="G27" s="88"/>
      <c r="H27" s="88"/>
      <c r="I27" s="88"/>
      <c r="J27" s="88"/>
      <c r="K27" s="88"/>
      <c r="L27" s="20"/>
      <c r="M27" s="2"/>
      <c r="N27" s="2"/>
    </row>
    <row r="28" spans="1:14" x14ac:dyDescent="0.25">
      <c r="A28" s="88" t="s">
        <v>77</v>
      </c>
      <c r="B28" s="88"/>
      <c r="C28" s="88"/>
      <c r="D28" s="88"/>
      <c r="E28" s="88"/>
      <c r="F28" s="58">
        <f>0.5*31.68%</f>
        <v>0.15839999999999999</v>
      </c>
      <c r="G28" s="89"/>
      <c r="H28" s="90"/>
      <c r="I28" s="90"/>
      <c r="J28" s="90"/>
      <c r="K28" s="91"/>
      <c r="L28" s="20"/>
      <c r="M28" s="2"/>
      <c r="N28" s="2"/>
    </row>
    <row r="29" spans="1:14" x14ac:dyDescent="0.25">
      <c r="A29" s="88" t="s">
        <v>76</v>
      </c>
      <c r="B29" s="88"/>
      <c r="C29" s="88"/>
      <c r="D29" s="88"/>
      <c r="E29" s="88"/>
      <c r="F29" s="58">
        <f t="shared" si="0"/>
        <v>0.31679999999999997</v>
      </c>
      <c r="G29" s="99"/>
      <c r="H29" s="99"/>
      <c r="I29" s="99"/>
      <c r="J29" s="99"/>
      <c r="K29" s="99"/>
      <c r="L29" s="20"/>
      <c r="M29" s="2"/>
      <c r="N29" s="2"/>
    </row>
    <row r="30" spans="1:14" x14ac:dyDescent="0.25">
      <c r="A30" s="88" t="s">
        <v>48</v>
      </c>
      <c r="B30" s="88"/>
      <c r="C30" s="88"/>
      <c r="D30" s="88"/>
      <c r="E30" s="88"/>
      <c r="F30" s="58">
        <f>3*31.68%</f>
        <v>0.95039999999999991</v>
      </c>
      <c r="G30" s="99"/>
      <c r="H30" s="99"/>
      <c r="I30" s="99"/>
      <c r="J30" s="99"/>
      <c r="K30" s="99"/>
      <c r="L30" s="20"/>
      <c r="M30" s="2"/>
      <c r="N30" s="2"/>
    </row>
    <row r="31" spans="1:14" x14ac:dyDescent="0.25">
      <c r="A31" s="99" t="s">
        <v>52</v>
      </c>
      <c r="B31" s="99"/>
      <c r="C31" s="99"/>
      <c r="D31" s="99"/>
      <c r="E31" s="99"/>
      <c r="F31" s="58">
        <f t="shared" si="0"/>
        <v>0.31679999999999997</v>
      </c>
      <c r="G31" s="99"/>
      <c r="H31" s="99"/>
      <c r="I31" s="99"/>
      <c r="J31" s="99"/>
      <c r="K31" s="99"/>
      <c r="L31" s="20"/>
      <c r="M31" s="2"/>
      <c r="N31" s="2"/>
    </row>
    <row r="32" spans="1:14" x14ac:dyDescent="0.25">
      <c r="A32" s="88" t="s">
        <v>47</v>
      </c>
      <c r="B32" s="88"/>
      <c r="C32" s="88"/>
      <c r="D32" s="88"/>
      <c r="E32" s="88"/>
      <c r="F32" s="58">
        <f t="shared" si="0"/>
        <v>0.31679999999999997</v>
      </c>
      <c r="G32" s="99"/>
      <c r="H32" s="99"/>
      <c r="I32" s="99"/>
      <c r="J32" s="99"/>
      <c r="K32" s="99"/>
      <c r="L32" s="20"/>
      <c r="M32" s="2"/>
      <c r="N32" s="2"/>
    </row>
    <row r="33" spans="1:14" x14ac:dyDescent="0.25">
      <c r="A33" s="88" t="s">
        <v>51</v>
      </c>
      <c r="B33" s="88"/>
      <c r="C33" s="88"/>
      <c r="D33" s="88"/>
      <c r="E33" s="88"/>
      <c r="F33" s="58">
        <f t="shared" si="0"/>
        <v>0.31679999999999997</v>
      </c>
      <c r="G33" s="99"/>
      <c r="H33" s="99"/>
      <c r="I33" s="99"/>
      <c r="J33" s="99"/>
      <c r="K33" s="99"/>
      <c r="L33" s="20"/>
      <c r="M33" s="2"/>
      <c r="N33" s="2"/>
    </row>
    <row r="34" spans="1:14" x14ac:dyDescent="0.25">
      <c r="A34" s="88" t="s">
        <v>46</v>
      </c>
      <c r="B34" s="88"/>
      <c r="C34" s="88"/>
      <c r="D34" s="88"/>
      <c r="E34" s="88"/>
      <c r="F34" s="58">
        <f t="shared" si="0"/>
        <v>0.31679999999999997</v>
      </c>
      <c r="G34" s="99"/>
      <c r="H34" s="99"/>
      <c r="I34" s="99"/>
      <c r="J34" s="99"/>
      <c r="K34" s="99"/>
      <c r="L34" s="20"/>
      <c r="M34" s="2"/>
      <c r="N34" s="2"/>
    </row>
    <row r="35" spans="1:14" ht="14.25" customHeight="1" x14ac:dyDescent="0.25">
      <c r="A35" s="99" t="s">
        <v>49</v>
      </c>
      <c r="B35" s="99"/>
      <c r="C35" s="99"/>
      <c r="D35" s="99"/>
      <c r="E35" s="99"/>
      <c r="F35" s="58">
        <f t="shared" si="0"/>
        <v>0.31679999999999997</v>
      </c>
      <c r="G35" s="99"/>
      <c r="H35" s="99"/>
      <c r="I35" s="99"/>
      <c r="J35" s="99"/>
      <c r="K35" s="99"/>
      <c r="L35" s="20"/>
      <c r="M35" s="2"/>
      <c r="N35" s="2"/>
    </row>
    <row r="36" spans="1:14" x14ac:dyDescent="0.25">
      <c r="A36" s="88" t="s">
        <v>54</v>
      </c>
      <c r="B36" s="88"/>
      <c r="C36" s="88"/>
      <c r="D36" s="88"/>
      <c r="E36" s="88"/>
      <c r="F36" s="58">
        <f t="shared" si="0"/>
        <v>0.31679999999999997</v>
      </c>
      <c r="G36" s="99"/>
      <c r="H36" s="99"/>
      <c r="I36" s="99"/>
      <c r="J36" s="99"/>
      <c r="K36" s="99"/>
      <c r="L36" s="20"/>
      <c r="M36" s="2"/>
      <c r="N36" s="2"/>
    </row>
    <row r="37" spans="1:14" ht="15.75" thickBot="1" x14ac:dyDescent="0.3">
      <c r="A37" s="88" t="s">
        <v>78</v>
      </c>
      <c r="B37" s="88"/>
      <c r="C37" s="88"/>
      <c r="D37" s="88"/>
      <c r="E37" s="88"/>
      <c r="F37" s="85">
        <f t="shared" si="0"/>
        <v>0.31679999999999997</v>
      </c>
      <c r="G37" s="89"/>
      <c r="H37" s="90"/>
      <c r="I37" s="90"/>
      <c r="J37" s="90"/>
      <c r="K37" s="91"/>
      <c r="L37" s="87"/>
      <c r="M37" s="2"/>
      <c r="N37" s="2"/>
    </row>
    <row r="38" spans="1:14" s="21" customFormat="1" ht="15.75" thickBot="1" x14ac:dyDescent="0.3">
      <c r="A38" s="100" t="s">
        <v>4</v>
      </c>
      <c r="B38" s="100"/>
      <c r="C38" s="100"/>
      <c r="D38" s="100"/>
      <c r="E38" s="101"/>
      <c r="F38" s="86">
        <f>SUM(F20:F37)</f>
        <v>8.5952000000000002</v>
      </c>
      <c r="G38" s="110" t="s">
        <v>4</v>
      </c>
      <c r="H38" s="100"/>
      <c r="I38" s="100"/>
      <c r="J38" s="100"/>
      <c r="K38" s="101"/>
      <c r="L38" s="86">
        <f>SUM(L20:L37)</f>
        <v>0.95039999999999991</v>
      </c>
      <c r="M38" s="1"/>
      <c r="N38" s="1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1" t="s">
        <v>56</v>
      </c>
      <c r="B40" s="2"/>
      <c r="C40" s="2"/>
      <c r="D40" s="2"/>
      <c r="E40" s="2"/>
      <c r="F40" s="1">
        <v>1300</v>
      </c>
      <c r="G40" s="2"/>
      <c r="H40" s="2"/>
      <c r="I40" s="2"/>
      <c r="J40" s="2"/>
      <c r="K40" s="2"/>
      <c r="L40" s="2"/>
      <c r="M40" s="2"/>
      <c r="N40" s="2"/>
    </row>
    <row r="41" spans="1:14" ht="75.75" thickBot="1" x14ac:dyDescent="0.3">
      <c r="A41" s="96" t="s">
        <v>5</v>
      </c>
      <c r="B41" s="97"/>
      <c r="C41" s="97"/>
      <c r="D41" s="97"/>
      <c r="E41" s="98"/>
      <c r="F41" s="63" t="s">
        <v>6</v>
      </c>
      <c r="G41" s="63" t="s">
        <v>1</v>
      </c>
      <c r="H41" s="63" t="s">
        <v>72</v>
      </c>
      <c r="I41" s="63" t="s">
        <v>73</v>
      </c>
      <c r="J41" s="63" t="s">
        <v>74</v>
      </c>
      <c r="K41" s="28" t="s">
        <v>75</v>
      </c>
      <c r="L41" s="43"/>
      <c r="M41" s="16"/>
      <c r="N41" s="2"/>
    </row>
    <row r="42" spans="1:14" hidden="1" x14ac:dyDescent="0.25">
      <c r="A42" s="95" t="s">
        <v>53</v>
      </c>
      <c r="B42" s="95"/>
      <c r="C42" s="95"/>
      <c r="D42" s="95"/>
      <c r="E42" s="95"/>
      <c r="F42" s="15">
        <f>'Услуга №1'!F36</f>
        <v>13850</v>
      </c>
      <c r="G42" s="15">
        <f>F20</f>
        <v>0.31679999999999997</v>
      </c>
      <c r="H42" s="15">
        <f>F42*G42*12</f>
        <v>52652.159999999989</v>
      </c>
      <c r="I42" s="15">
        <f>H42*1.302</f>
        <v>68553.112319999986</v>
      </c>
      <c r="J42" s="15">
        <f>F40</f>
        <v>1300</v>
      </c>
      <c r="K42" s="15">
        <f>I42/J42</f>
        <v>52.733163323076909</v>
      </c>
      <c r="L42" s="26"/>
      <c r="M42" s="16"/>
      <c r="N42" s="2"/>
    </row>
    <row r="43" spans="1:14" ht="15" hidden="1" customHeight="1" x14ac:dyDescent="0.25">
      <c r="A43" s="123" t="s">
        <v>91</v>
      </c>
      <c r="B43" s="124"/>
      <c r="C43" s="124"/>
      <c r="D43" s="124"/>
      <c r="E43" s="125"/>
      <c r="F43" s="15">
        <f>'Услуга №1'!F37</f>
        <v>11538</v>
      </c>
      <c r="G43" s="15">
        <f t="shared" ref="G43:G59" si="2">F21</f>
        <v>0.31679999999999997</v>
      </c>
      <c r="H43" s="15">
        <f t="shared" ref="H43:H58" si="3">F43*G43*12</f>
        <v>43862.860799999995</v>
      </c>
      <c r="I43" s="15">
        <f t="shared" ref="I43:I59" si="4">H43*1.302</f>
        <v>57109.444761599996</v>
      </c>
      <c r="J43" s="15">
        <f>J42</f>
        <v>1300</v>
      </c>
      <c r="K43" s="15">
        <f t="shared" ref="K43:K59" si="5">I43/J43</f>
        <v>43.930342124307693</v>
      </c>
      <c r="L43" s="26"/>
      <c r="M43" s="16"/>
      <c r="N43" s="2"/>
    </row>
    <row r="44" spans="1:14" hidden="1" x14ac:dyDescent="0.25">
      <c r="A44" s="95" t="s">
        <v>93</v>
      </c>
      <c r="B44" s="95"/>
      <c r="C44" s="95"/>
      <c r="D44" s="95"/>
      <c r="E44" s="95"/>
      <c r="F44" s="15">
        <f>'Услуга №1'!F85</f>
        <v>11538</v>
      </c>
      <c r="G44" s="15">
        <f t="shared" si="2"/>
        <v>0.31679999999999997</v>
      </c>
      <c r="H44" s="15">
        <f t="shared" si="3"/>
        <v>43862.860799999995</v>
      </c>
      <c r="I44" s="15">
        <f t="shared" si="4"/>
        <v>57109.444761599996</v>
      </c>
      <c r="J44" s="15">
        <f>J43</f>
        <v>1300</v>
      </c>
      <c r="K44" s="15">
        <f t="shared" si="5"/>
        <v>43.930342124307693</v>
      </c>
      <c r="L44" s="26"/>
      <c r="M44" s="16"/>
      <c r="N44" s="2"/>
    </row>
    <row r="45" spans="1:14" hidden="1" x14ac:dyDescent="0.25">
      <c r="A45" s="95" t="s">
        <v>68</v>
      </c>
      <c r="B45" s="95"/>
      <c r="C45" s="95"/>
      <c r="D45" s="95"/>
      <c r="E45" s="95"/>
      <c r="F45" s="15">
        <f>'Услуга №1'!F86</f>
        <v>11538</v>
      </c>
      <c r="G45" s="15">
        <f t="shared" si="2"/>
        <v>0.31679999999999997</v>
      </c>
      <c r="H45" s="15">
        <f t="shared" si="3"/>
        <v>43862.860799999995</v>
      </c>
      <c r="I45" s="15">
        <f t="shared" si="4"/>
        <v>57109.444761599996</v>
      </c>
      <c r="J45" s="15">
        <f t="shared" ref="J45:J60" si="6">J44</f>
        <v>1300</v>
      </c>
      <c r="K45" s="15">
        <f t="shared" si="5"/>
        <v>43.930342124307693</v>
      </c>
      <c r="L45" s="26"/>
      <c r="M45" s="16"/>
      <c r="N45" s="2"/>
    </row>
    <row r="46" spans="1:14" hidden="1" x14ac:dyDescent="0.25">
      <c r="A46" s="117" t="s">
        <v>43</v>
      </c>
      <c r="B46" s="118"/>
      <c r="C46" s="118"/>
      <c r="D46" s="118"/>
      <c r="E46" s="119"/>
      <c r="F46" s="15">
        <f>'Услуга №1'!F38</f>
        <v>8837</v>
      </c>
      <c r="G46" s="15">
        <f t="shared" si="2"/>
        <v>0.31679999999999997</v>
      </c>
      <c r="H46" s="15">
        <f t="shared" si="3"/>
        <v>33594.739199999996</v>
      </c>
      <c r="I46" s="15">
        <f t="shared" si="4"/>
        <v>43740.350438399997</v>
      </c>
      <c r="J46" s="15">
        <f t="shared" si="6"/>
        <v>1300</v>
      </c>
      <c r="K46" s="15">
        <f t="shared" si="5"/>
        <v>33.646423414153844</v>
      </c>
      <c r="L46" s="26"/>
      <c r="M46" s="16"/>
      <c r="N46" s="2"/>
    </row>
    <row r="47" spans="1:14" hidden="1" x14ac:dyDescent="0.25">
      <c r="A47" s="95" t="s">
        <v>45</v>
      </c>
      <c r="B47" s="95"/>
      <c r="C47" s="95"/>
      <c r="D47" s="95"/>
      <c r="E47" s="95"/>
      <c r="F47" s="15">
        <f>'Услуга №1'!F39</f>
        <v>8837</v>
      </c>
      <c r="G47" s="15">
        <f t="shared" si="2"/>
        <v>0.67520000000000002</v>
      </c>
      <c r="H47" s="15">
        <f t="shared" si="3"/>
        <v>71600.908800000005</v>
      </c>
      <c r="I47" s="15">
        <f t="shared" si="4"/>
        <v>93224.383257600013</v>
      </c>
      <c r="J47" s="15">
        <f t="shared" si="6"/>
        <v>1300</v>
      </c>
      <c r="K47" s="15">
        <f t="shared" si="5"/>
        <v>71.711064044307705</v>
      </c>
      <c r="L47" s="26"/>
      <c r="M47" s="16"/>
      <c r="N47" s="2"/>
    </row>
    <row r="48" spans="1:14" ht="15" hidden="1" customHeight="1" x14ac:dyDescent="0.25">
      <c r="A48" s="95" t="s">
        <v>44</v>
      </c>
      <c r="B48" s="95"/>
      <c r="C48" s="95"/>
      <c r="D48" s="95"/>
      <c r="E48" s="95"/>
      <c r="F48" s="15">
        <f>'Услуга №1'!F40</f>
        <v>6556</v>
      </c>
      <c r="G48" s="15">
        <f t="shared" si="2"/>
        <v>2.0591999999999997</v>
      </c>
      <c r="H48" s="15">
        <f t="shared" si="3"/>
        <v>162001.38239999997</v>
      </c>
      <c r="I48" s="15">
        <f t="shared" si="4"/>
        <v>210925.79988479998</v>
      </c>
      <c r="J48" s="15">
        <f t="shared" si="6"/>
        <v>1300</v>
      </c>
      <c r="K48" s="15">
        <f t="shared" si="5"/>
        <v>162.25061529599998</v>
      </c>
      <c r="L48" s="26"/>
      <c r="M48" s="16"/>
      <c r="N48" s="2"/>
    </row>
    <row r="49" spans="1:14" hidden="1" x14ac:dyDescent="0.25">
      <c r="A49" s="95" t="s">
        <v>50</v>
      </c>
      <c r="B49" s="95"/>
      <c r="C49" s="95"/>
      <c r="D49" s="95"/>
      <c r="E49" s="95"/>
      <c r="F49" s="15">
        <f>'Услуга №1'!F87</f>
        <v>6556</v>
      </c>
      <c r="G49" s="15">
        <f t="shared" si="2"/>
        <v>0.63359999999999994</v>
      </c>
      <c r="H49" s="15">
        <f t="shared" si="3"/>
        <v>49846.579199999993</v>
      </c>
      <c r="I49" s="15">
        <f t="shared" si="4"/>
        <v>64900.246118399991</v>
      </c>
      <c r="J49" s="15">
        <f t="shared" si="6"/>
        <v>1300</v>
      </c>
      <c r="K49" s="15">
        <f t="shared" si="5"/>
        <v>49.92326624492307</v>
      </c>
      <c r="L49" s="26"/>
      <c r="M49" s="16"/>
      <c r="N49" s="2"/>
    </row>
    <row r="50" spans="1:14" hidden="1" x14ac:dyDescent="0.25">
      <c r="A50" s="95" t="s">
        <v>77</v>
      </c>
      <c r="B50" s="95"/>
      <c r="C50" s="95"/>
      <c r="D50" s="95"/>
      <c r="E50" s="95"/>
      <c r="F50" s="15">
        <f>'Услуга №1'!F41</f>
        <v>2248</v>
      </c>
      <c r="G50" s="15">
        <f t="shared" si="2"/>
        <v>0.15839999999999999</v>
      </c>
      <c r="H50" s="15">
        <f t="shared" si="3"/>
        <v>4272.9983999999995</v>
      </c>
      <c r="I50" s="15">
        <f t="shared" si="4"/>
        <v>5563.4439167999999</v>
      </c>
      <c r="J50" s="15">
        <f t="shared" si="6"/>
        <v>1300</v>
      </c>
      <c r="K50" s="15">
        <f t="shared" si="5"/>
        <v>4.279572243692308</v>
      </c>
      <c r="L50" s="26"/>
      <c r="M50" s="16"/>
      <c r="N50" s="2"/>
    </row>
    <row r="51" spans="1:14" hidden="1" x14ac:dyDescent="0.25">
      <c r="A51" s="95" t="s">
        <v>76</v>
      </c>
      <c r="B51" s="95"/>
      <c r="C51" s="95"/>
      <c r="D51" s="95"/>
      <c r="E51" s="95"/>
      <c r="F51" s="15">
        <f>'Услуга №1'!F42</f>
        <v>3993</v>
      </c>
      <c r="G51" s="15">
        <f t="shared" si="2"/>
        <v>0.31679999999999997</v>
      </c>
      <c r="H51" s="15">
        <f t="shared" si="3"/>
        <v>15179.788799999998</v>
      </c>
      <c r="I51" s="15">
        <f t="shared" si="4"/>
        <v>19764.085017599999</v>
      </c>
      <c r="J51" s="15">
        <f t="shared" si="6"/>
        <v>1300</v>
      </c>
      <c r="K51" s="15">
        <f t="shared" si="5"/>
        <v>15.203142321230768</v>
      </c>
      <c r="L51" s="26"/>
      <c r="M51" s="16"/>
      <c r="N51" s="2"/>
    </row>
    <row r="52" spans="1:14" hidden="1" x14ac:dyDescent="0.25">
      <c r="A52" s="95" t="s">
        <v>48</v>
      </c>
      <c r="B52" s="95"/>
      <c r="C52" s="95"/>
      <c r="D52" s="95"/>
      <c r="E52" s="95"/>
      <c r="F52" s="46">
        <f>'Услуга №1'!F88</f>
        <v>11538</v>
      </c>
      <c r="G52" s="15">
        <f t="shared" si="2"/>
        <v>0.95039999999999991</v>
      </c>
      <c r="H52" s="15">
        <f t="shared" si="3"/>
        <v>131588.58239999998</v>
      </c>
      <c r="I52" s="15">
        <f t="shared" si="4"/>
        <v>171328.33428479999</v>
      </c>
      <c r="J52" s="15">
        <f t="shared" si="6"/>
        <v>1300</v>
      </c>
      <c r="K52" s="15">
        <f t="shared" si="5"/>
        <v>131.79102637292306</v>
      </c>
      <c r="L52" s="26"/>
      <c r="M52" s="16"/>
      <c r="N52" s="2"/>
    </row>
    <row r="53" spans="1:14" hidden="1" x14ac:dyDescent="0.25">
      <c r="A53" s="116" t="s">
        <v>52</v>
      </c>
      <c r="B53" s="116"/>
      <c r="C53" s="116"/>
      <c r="D53" s="116"/>
      <c r="E53" s="116"/>
      <c r="F53" s="15">
        <f>'Услуга №1'!F43</f>
        <v>8837</v>
      </c>
      <c r="G53" s="15">
        <f t="shared" si="2"/>
        <v>0.31679999999999997</v>
      </c>
      <c r="H53" s="15">
        <f t="shared" si="3"/>
        <v>33594.739199999996</v>
      </c>
      <c r="I53" s="15">
        <f t="shared" si="4"/>
        <v>43740.350438399997</v>
      </c>
      <c r="J53" s="15">
        <f t="shared" si="6"/>
        <v>1300</v>
      </c>
      <c r="K53" s="15">
        <f t="shared" si="5"/>
        <v>33.646423414153844</v>
      </c>
      <c r="L53" s="26"/>
      <c r="M53" s="16"/>
      <c r="N53" s="2"/>
    </row>
    <row r="54" spans="1:14" hidden="1" x14ac:dyDescent="0.25">
      <c r="A54" s="95" t="s">
        <v>47</v>
      </c>
      <c r="B54" s="95"/>
      <c r="C54" s="95"/>
      <c r="D54" s="95"/>
      <c r="E54" s="95"/>
      <c r="F54" s="15">
        <f>'Услуга №1'!F44</f>
        <v>8837</v>
      </c>
      <c r="G54" s="15">
        <f t="shared" si="2"/>
        <v>0.31679999999999997</v>
      </c>
      <c r="H54" s="15">
        <f t="shared" si="3"/>
        <v>33594.739199999996</v>
      </c>
      <c r="I54" s="15">
        <f t="shared" si="4"/>
        <v>43740.350438399997</v>
      </c>
      <c r="J54" s="15">
        <f t="shared" si="6"/>
        <v>1300</v>
      </c>
      <c r="K54" s="15">
        <f t="shared" si="5"/>
        <v>33.646423414153844</v>
      </c>
      <c r="L54" s="26"/>
      <c r="M54" s="16"/>
      <c r="N54" s="2"/>
    </row>
    <row r="55" spans="1:14" hidden="1" x14ac:dyDescent="0.25">
      <c r="A55" s="95" t="s">
        <v>51</v>
      </c>
      <c r="B55" s="95"/>
      <c r="C55" s="95"/>
      <c r="D55" s="95"/>
      <c r="E55" s="95"/>
      <c r="F55" s="15">
        <f>'Услуга №1'!F45</f>
        <v>4565</v>
      </c>
      <c r="G55" s="15">
        <f t="shared" si="2"/>
        <v>0.31679999999999997</v>
      </c>
      <c r="H55" s="15">
        <f t="shared" si="3"/>
        <v>17354.303999999996</v>
      </c>
      <c r="I55" s="15">
        <f t="shared" si="4"/>
        <v>22595.303807999997</v>
      </c>
      <c r="J55" s="15">
        <f t="shared" si="6"/>
        <v>1300</v>
      </c>
      <c r="K55" s="15">
        <f t="shared" si="5"/>
        <v>17.381002929230768</v>
      </c>
      <c r="L55" s="26"/>
      <c r="M55" s="16"/>
      <c r="N55" s="2"/>
    </row>
    <row r="56" spans="1:14" ht="15" hidden="1" customHeight="1" x14ac:dyDescent="0.25">
      <c r="A56" s="95" t="s">
        <v>46</v>
      </c>
      <c r="B56" s="95"/>
      <c r="C56" s="95"/>
      <c r="D56" s="95"/>
      <c r="E56" s="95"/>
      <c r="F56" s="15">
        <f>'Услуга №1'!F46</f>
        <v>8837</v>
      </c>
      <c r="G56" s="15">
        <f t="shared" si="2"/>
        <v>0.31679999999999997</v>
      </c>
      <c r="H56" s="15">
        <f t="shared" si="3"/>
        <v>33594.739199999996</v>
      </c>
      <c r="I56" s="15">
        <f t="shared" si="4"/>
        <v>43740.350438399997</v>
      </c>
      <c r="J56" s="15">
        <f t="shared" si="6"/>
        <v>1300</v>
      </c>
      <c r="K56" s="15">
        <f t="shared" si="5"/>
        <v>33.646423414153844</v>
      </c>
      <c r="L56" s="26"/>
      <c r="M56" s="16"/>
      <c r="N56" s="2"/>
    </row>
    <row r="57" spans="1:14" hidden="1" x14ac:dyDescent="0.25">
      <c r="A57" s="116" t="s">
        <v>49</v>
      </c>
      <c r="B57" s="116"/>
      <c r="C57" s="116"/>
      <c r="D57" s="116"/>
      <c r="E57" s="116"/>
      <c r="F57" s="15">
        <f>'Услуга №1'!F47</f>
        <v>8837</v>
      </c>
      <c r="G57" s="15">
        <f t="shared" si="2"/>
        <v>0.31679999999999997</v>
      </c>
      <c r="H57" s="15">
        <f t="shared" si="3"/>
        <v>33594.739199999996</v>
      </c>
      <c r="I57" s="15">
        <f t="shared" si="4"/>
        <v>43740.350438399997</v>
      </c>
      <c r="J57" s="15">
        <f t="shared" si="6"/>
        <v>1300</v>
      </c>
      <c r="K57" s="15">
        <f t="shared" si="5"/>
        <v>33.646423414153844</v>
      </c>
      <c r="L57" s="26"/>
      <c r="M57" s="16"/>
      <c r="N57" s="2"/>
    </row>
    <row r="58" spans="1:14" hidden="1" x14ac:dyDescent="0.25">
      <c r="A58" s="95" t="s">
        <v>54</v>
      </c>
      <c r="B58" s="95"/>
      <c r="C58" s="95"/>
      <c r="D58" s="95"/>
      <c r="E58" s="95"/>
      <c r="F58" s="15">
        <f>'Услуга №1'!F48</f>
        <v>11538</v>
      </c>
      <c r="G58" s="15">
        <f t="shared" si="2"/>
        <v>0.31679999999999997</v>
      </c>
      <c r="H58" s="15">
        <f t="shared" si="3"/>
        <v>43862.860799999995</v>
      </c>
      <c r="I58" s="15">
        <f t="shared" si="4"/>
        <v>57109.444761599996</v>
      </c>
      <c r="J58" s="15">
        <f t="shared" si="6"/>
        <v>1300</v>
      </c>
      <c r="K58" s="15">
        <f t="shared" si="5"/>
        <v>43.930342124307693</v>
      </c>
      <c r="L58" s="26"/>
      <c r="M58" s="16"/>
      <c r="N58" s="2"/>
    </row>
    <row r="59" spans="1:14" hidden="1" x14ac:dyDescent="0.25">
      <c r="A59" s="95" t="s">
        <v>78</v>
      </c>
      <c r="B59" s="95"/>
      <c r="C59" s="95"/>
      <c r="D59" s="95"/>
      <c r="E59" s="95"/>
      <c r="F59" s="15">
        <f>'Услуга №1'!F49</f>
        <v>11538</v>
      </c>
      <c r="G59" s="15">
        <f t="shared" si="2"/>
        <v>0.31679999999999997</v>
      </c>
      <c r="H59" s="15">
        <f>F59*G59*12+0.2</f>
        <v>43863.060799999992</v>
      </c>
      <c r="I59" s="72">
        <f t="shared" si="4"/>
        <v>57109.705161599988</v>
      </c>
      <c r="J59" s="15">
        <f t="shared" si="6"/>
        <v>1300</v>
      </c>
      <c r="K59" s="72">
        <f t="shared" si="5"/>
        <v>43.930542431999989</v>
      </c>
      <c r="L59" s="26"/>
      <c r="M59" s="16"/>
      <c r="N59" s="2"/>
    </row>
    <row r="60" spans="1:14" ht="15.75" thickBot="1" x14ac:dyDescent="0.3">
      <c r="A60" s="121" t="s">
        <v>7</v>
      </c>
      <c r="B60" s="121"/>
      <c r="C60" s="121"/>
      <c r="D60" s="121"/>
      <c r="E60" s="121"/>
      <c r="F60" s="51">
        <v>19597.05</v>
      </c>
      <c r="G60" s="51">
        <f>SUM(G42:G59)</f>
        <v>8.5952000000000002</v>
      </c>
      <c r="H60" s="55">
        <v>2022415.56</v>
      </c>
      <c r="I60" s="73">
        <f>(H60*1.302)</f>
        <v>2633185.0591200003</v>
      </c>
      <c r="J60" s="74">
        <f t="shared" si="6"/>
        <v>1300</v>
      </c>
      <c r="K60" s="73">
        <f>I60/J60</f>
        <v>2025.5269685538465</v>
      </c>
      <c r="L60" s="45"/>
      <c r="M60" s="16"/>
      <c r="N60" s="2"/>
    </row>
    <row r="61" spans="1:14" ht="11.25" customHeight="1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2"/>
    </row>
    <row r="62" spans="1:14" s="2" customFormat="1" ht="14.25" customHeight="1" x14ac:dyDescent="0.25">
      <c r="A62" s="115" t="s">
        <v>9</v>
      </c>
      <c r="B62" s="115"/>
      <c r="C62" s="115"/>
      <c r="D62" s="115"/>
      <c r="E62" s="115"/>
      <c r="F62" s="115"/>
      <c r="G62" s="115"/>
      <c r="H62" s="115"/>
      <c r="I62" s="115"/>
      <c r="J62" s="115"/>
      <c r="K62" s="115"/>
      <c r="L62" s="115"/>
      <c r="M62" s="16"/>
    </row>
    <row r="63" spans="1:14" s="2" customFormat="1" ht="45" x14ac:dyDescent="0.25">
      <c r="A63" s="96" t="s">
        <v>10</v>
      </c>
      <c r="B63" s="97"/>
      <c r="C63" s="97"/>
      <c r="D63" s="97"/>
      <c r="E63" s="98"/>
      <c r="F63" s="63" t="s">
        <v>8</v>
      </c>
      <c r="G63" s="63" t="s">
        <v>69</v>
      </c>
      <c r="H63" s="63" t="s">
        <v>70</v>
      </c>
      <c r="I63" s="63" t="s">
        <v>80</v>
      </c>
      <c r="J63" s="63" t="s">
        <v>74</v>
      </c>
      <c r="K63" s="32" t="s">
        <v>75</v>
      </c>
      <c r="L63" s="33"/>
      <c r="M63" s="16"/>
    </row>
    <row r="64" spans="1:14" s="2" customFormat="1" x14ac:dyDescent="0.25">
      <c r="A64" s="117" t="s">
        <v>11</v>
      </c>
      <c r="B64" s="118"/>
      <c r="C64" s="118"/>
      <c r="D64" s="118"/>
      <c r="E64" s="119"/>
      <c r="F64" s="29" t="s">
        <v>81</v>
      </c>
      <c r="G64" s="29">
        <v>72000</v>
      </c>
      <c r="H64" s="68">
        <v>5.0999999999999996</v>
      </c>
      <c r="I64" s="29">
        <f>392653.17*31.68%</f>
        <v>124392.52425599999</v>
      </c>
      <c r="J64" s="15">
        <f>J59</f>
        <v>1300</v>
      </c>
      <c r="K64" s="34">
        <f>I64/J64</f>
        <v>95.686557119999989</v>
      </c>
      <c r="L64" s="33"/>
      <c r="M64" s="16"/>
    </row>
    <row r="65" spans="1:13" s="2" customFormat="1" x14ac:dyDescent="0.25">
      <c r="A65" s="117" t="s">
        <v>12</v>
      </c>
      <c r="B65" s="118"/>
      <c r="C65" s="118"/>
      <c r="D65" s="118"/>
      <c r="E65" s="119"/>
      <c r="F65" s="15" t="s">
        <v>15</v>
      </c>
      <c r="G65" s="15">
        <v>810</v>
      </c>
      <c r="H65" s="46">
        <v>1711</v>
      </c>
      <c r="I65" s="29">
        <f>1457837.9*31.68%</f>
        <v>461843.04671999993</v>
      </c>
      <c r="J65" s="15">
        <f>J64</f>
        <v>1300</v>
      </c>
      <c r="K65" s="34">
        <f t="shared" ref="K65:K68" si="7">I65/J65</f>
        <v>355.26388209230765</v>
      </c>
      <c r="L65" s="35"/>
      <c r="M65" s="16"/>
    </row>
    <row r="66" spans="1:13" s="2" customFormat="1" x14ac:dyDescent="0.25">
      <c r="A66" s="117" t="s">
        <v>13</v>
      </c>
      <c r="B66" s="118"/>
      <c r="C66" s="118"/>
      <c r="D66" s="118"/>
      <c r="E66" s="119"/>
      <c r="F66" s="15" t="s">
        <v>16</v>
      </c>
      <c r="G66" s="15">
        <v>400</v>
      </c>
      <c r="H66" s="46">
        <v>42</v>
      </c>
      <c r="I66" s="29">
        <f>18546.28*31.68%</f>
        <v>5875.461503999999</v>
      </c>
      <c r="J66" s="15">
        <f>J65</f>
        <v>1300</v>
      </c>
      <c r="K66" s="34">
        <f t="shared" si="7"/>
        <v>4.5195857723076918</v>
      </c>
      <c r="L66" s="35"/>
      <c r="M66" s="16"/>
    </row>
    <row r="67" spans="1:13" s="2" customFormat="1" x14ac:dyDescent="0.25">
      <c r="A67" s="117" t="s">
        <v>14</v>
      </c>
      <c r="B67" s="118"/>
      <c r="C67" s="118"/>
      <c r="D67" s="118"/>
      <c r="E67" s="119"/>
      <c r="F67" s="15" t="s">
        <v>16</v>
      </c>
      <c r="G67" s="15">
        <v>400</v>
      </c>
      <c r="H67" s="46">
        <v>61</v>
      </c>
      <c r="I67" s="29">
        <f>27008.92*31.68%</f>
        <v>8556.425855999998</v>
      </c>
      <c r="J67" s="15">
        <f>J65</f>
        <v>1300</v>
      </c>
      <c r="K67" s="34">
        <f t="shared" si="7"/>
        <v>6.5818660430769214</v>
      </c>
      <c r="L67" s="35"/>
      <c r="M67" s="16"/>
    </row>
    <row r="68" spans="1:13" s="2" customFormat="1" ht="15.75" thickBot="1" x14ac:dyDescent="0.3">
      <c r="A68" s="117" t="s">
        <v>58</v>
      </c>
      <c r="B68" s="120"/>
      <c r="C68" s="120"/>
      <c r="D68" s="120"/>
      <c r="E68" s="120"/>
      <c r="F68" s="15" t="s">
        <v>16</v>
      </c>
      <c r="G68" s="15">
        <v>12</v>
      </c>
      <c r="H68" s="69"/>
      <c r="I68" s="77">
        <f>5538.78*31.68%</f>
        <v>1754.6855039999998</v>
      </c>
      <c r="J68" s="15">
        <f t="shared" ref="J68:J69" si="8">J66</f>
        <v>1300</v>
      </c>
      <c r="K68" s="78">
        <f t="shared" si="7"/>
        <v>1.3497580799999997</v>
      </c>
      <c r="L68" s="35"/>
      <c r="M68" s="16"/>
    </row>
    <row r="69" spans="1:13" s="2" customFormat="1" ht="15.75" thickBot="1" x14ac:dyDescent="0.3">
      <c r="A69" s="113" t="s">
        <v>17</v>
      </c>
      <c r="B69" s="114"/>
      <c r="C69" s="114"/>
      <c r="D69" s="114"/>
      <c r="E69" s="114"/>
      <c r="F69" s="114"/>
      <c r="G69" s="114"/>
      <c r="H69" s="114"/>
      <c r="I69" s="73">
        <f>SUM(I64:I68)</f>
        <v>602422.14384000003</v>
      </c>
      <c r="J69" s="74">
        <f t="shared" si="8"/>
        <v>1300</v>
      </c>
      <c r="K69" s="73">
        <f>I69/J69</f>
        <v>463.40164910769232</v>
      </c>
      <c r="L69" s="26"/>
      <c r="M69" s="16"/>
    </row>
    <row r="70" spans="1:13" s="2" customFormat="1" ht="12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</row>
    <row r="71" spans="1:13" s="2" customFormat="1" x14ac:dyDescent="0.25">
      <c r="A71" s="115" t="s">
        <v>18</v>
      </c>
      <c r="B71" s="115"/>
      <c r="C71" s="115"/>
      <c r="D71" s="115"/>
      <c r="E71" s="115"/>
      <c r="F71" s="115"/>
      <c r="G71" s="115"/>
      <c r="H71" s="115"/>
      <c r="I71" s="115"/>
      <c r="J71" s="115"/>
      <c r="K71" s="115"/>
      <c r="L71" s="115"/>
      <c r="M71" s="16"/>
    </row>
    <row r="72" spans="1:13" s="2" customFormat="1" ht="45" x14ac:dyDescent="0.25">
      <c r="A72" s="96" t="s">
        <v>22</v>
      </c>
      <c r="B72" s="97"/>
      <c r="C72" s="97"/>
      <c r="D72" s="97"/>
      <c r="E72" s="98"/>
      <c r="F72" s="63" t="s">
        <v>8</v>
      </c>
      <c r="G72" s="63" t="s">
        <v>69</v>
      </c>
      <c r="H72" s="63" t="s">
        <v>70</v>
      </c>
      <c r="I72" s="63" t="s">
        <v>80</v>
      </c>
      <c r="J72" s="63" t="s">
        <v>74</v>
      </c>
      <c r="K72" s="32" t="s">
        <v>75</v>
      </c>
      <c r="L72" s="33"/>
      <c r="M72" s="16"/>
    </row>
    <row r="73" spans="1:13" s="2" customFormat="1" x14ac:dyDescent="0.25">
      <c r="A73" s="95" t="s">
        <v>82</v>
      </c>
      <c r="B73" s="95"/>
      <c r="C73" s="95"/>
      <c r="D73" s="95"/>
      <c r="E73" s="95"/>
      <c r="F73" s="15" t="s">
        <v>20</v>
      </c>
      <c r="G73" s="15">
        <v>12</v>
      </c>
      <c r="H73" s="46">
        <v>4000</v>
      </c>
      <c r="I73" s="15">
        <f>48000*31.68%</f>
        <v>15206.399999999998</v>
      </c>
      <c r="J73" s="15">
        <f>J67</f>
        <v>1300</v>
      </c>
      <c r="K73" s="62">
        <f>I73/J73</f>
        <v>11.697230769230767</v>
      </c>
      <c r="L73" s="35"/>
      <c r="M73" s="16"/>
    </row>
    <row r="74" spans="1:13" s="2" customFormat="1" x14ac:dyDescent="0.25">
      <c r="A74" s="95" t="s">
        <v>19</v>
      </c>
      <c r="B74" s="95"/>
      <c r="C74" s="95"/>
      <c r="D74" s="95"/>
      <c r="E74" s="95"/>
      <c r="F74" s="15" t="s">
        <v>20</v>
      </c>
      <c r="G74" s="15">
        <v>12</v>
      </c>
      <c r="H74" s="46">
        <v>570</v>
      </c>
      <c r="I74" s="15">
        <f>6840*31.68%</f>
        <v>2166.9119999999998</v>
      </c>
      <c r="J74" s="15">
        <f>J73</f>
        <v>1300</v>
      </c>
      <c r="K74" s="62">
        <f t="shared" ref="K74:K79" si="9">I74/J74</f>
        <v>1.6668553846153844</v>
      </c>
      <c r="L74" s="35"/>
      <c r="M74" s="16"/>
    </row>
    <row r="75" spans="1:13" s="2" customFormat="1" ht="16.5" customHeight="1" x14ac:dyDescent="0.25">
      <c r="A75" s="112" t="s">
        <v>57</v>
      </c>
      <c r="B75" s="112"/>
      <c r="C75" s="112"/>
      <c r="D75" s="112"/>
      <c r="E75" s="112"/>
      <c r="F75" s="37" t="s">
        <v>20</v>
      </c>
      <c r="G75" s="37">
        <v>12</v>
      </c>
      <c r="H75" s="70">
        <v>3000</v>
      </c>
      <c r="I75" s="15">
        <f>36000*31.68%</f>
        <v>11404.8</v>
      </c>
      <c r="J75" s="15">
        <f>J74</f>
        <v>1300</v>
      </c>
      <c r="K75" s="62">
        <f t="shared" si="9"/>
        <v>8.7729230769230764</v>
      </c>
      <c r="L75" s="35"/>
      <c r="M75" s="16"/>
    </row>
    <row r="76" spans="1:13" s="2" customFormat="1" ht="33" customHeight="1" x14ac:dyDescent="0.25">
      <c r="A76" s="112" t="s">
        <v>95</v>
      </c>
      <c r="B76" s="112"/>
      <c r="C76" s="112"/>
      <c r="D76" s="112"/>
      <c r="E76" s="112"/>
      <c r="F76" s="37" t="s">
        <v>20</v>
      </c>
      <c r="G76" s="37">
        <v>12</v>
      </c>
      <c r="H76" s="70">
        <v>4000</v>
      </c>
      <c r="I76" s="15">
        <f>48000*31.68%</f>
        <v>15206.399999999998</v>
      </c>
      <c r="J76" s="15">
        <f>J75</f>
        <v>1300</v>
      </c>
      <c r="K76" s="62">
        <f t="shared" si="9"/>
        <v>11.697230769230767</v>
      </c>
      <c r="L76" s="35"/>
      <c r="M76" s="16"/>
    </row>
    <row r="77" spans="1:13" s="2" customFormat="1" ht="16.5" customHeight="1" x14ac:dyDescent="0.25">
      <c r="A77" s="116" t="s">
        <v>102</v>
      </c>
      <c r="B77" s="116"/>
      <c r="C77" s="116"/>
      <c r="D77" s="116"/>
      <c r="E77" s="116"/>
      <c r="F77" s="15" t="s">
        <v>20</v>
      </c>
      <c r="G77" s="15">
        <v>12</v>
      </c>
      <c r="H77" s="46">
        <v>2500</v>
      </c>
      <c r="I77" s="15">
        <f>30000*31.68%</f>
        <v>9504</v>
      </c>
      <c r="J77" s="15">
        <f>J75</f>
        <v>1300</v>
      </c>
      <c r="K77" s="62">
        <f t="shared" si="9"/>
        <v>7.3107692307692309</v>
      </c>
      <c r="L77" s="35"/>
      <c r="M77" s="16"/>
    </row>
    <row r="78" spans="1:13" s="2" customFormat="1" ht="15" customHeight="1" x14ac:dyDescent="0.25">
      <c r="A78" s="116" t="s">
        <v>103</v>
      </c>
      <c r="B78" s="116"/>
      <c r="C78" s="116"/>
      <c r="D78" s="116"/>
      <c r="E78" s="116"/>
      <c r="F78" s="15" t="s">
        <v>20</v>
      </c>
      <c r="G78" s="15">
        <v>4</v>
      </c>
      <c r="H78" s="46">
        <v>1000</v>
      </c>
      <c r="I78" s="15">
        <f>4000*31.68%</f>
        <v>1267.1999999999998</v>
      </c>
      <c r="J78" s="15">
        <f>J75</f>
        <v>1300</v>
      </c>
      <c r="K78" s="62">
        <f t="shared" si="9"/>
        <v>0.97476923076923061</v>
      </c>
      <c r="L78" s="35"/>
      <c r="M78" s="16"/>
    </row>
    <row r="79" spans="1:13" s="2" customFormat="1" ht="15" customHeight="1" thickBot="1" x14ac:dyDescent="0.3">
      <c r="A79" s="116" t="s">
        <v>104</v>
      </c>
      <c r="B79" s="116"/>
      <c r="C79" s="116"/>
      <c r="D79" s="116"/>
      <c r="E79" s="116"/>
      <c r="F79" s="15" t="s">
        <v>20</v>
      </c>
      <c r="G79" s="15">
        <v>12</v>
      </c>
      <c r="H79" s="46">
        <v>3250</v>
      </c>
      <c r="I79" s="72">
        <f>6500*31.68%</f>
        <v>2059.1999999999998</v>
      </c>
      <c r="J79" s="15">
        <f>J76</f>
        <v>1300</v>
      </c>
      <c r="K79" s="79">
        <f t="shared" si="9"/>
        <v>1.5839999999999999</v>
      </c>
      <c r="L79" s="35"/>
      <c r="M79" s="16"/>
    </row>
    <row r="80" spans="1:13" ht="18.75" customHeight="1" thickBot="1" x14ac:dyDescent="0.3">
      <c r="A80" s="113" t="s">
        <v>21</v>
      </c>
      <c r="B80" s="114"/>
      <c r="C80" s="114"/>
      <c r="D80" s="114"/>
      <c r="E80" s="114"/>
      <c r="F80" s="114"/>
      <c r="G80" s="114"/>
      <c r="H80" s="114"/>
      <c r="I80" s="73">
        <f>SUM(I73:I79)</f>
        <v>56814.911999999989</v>
      </c>
      <c r="J80" s="74">
        <f>J77</f>
        <v>1300</v>
      </c>
      <c r="K80" s="73">
        <f>I80/J80</f>
        <v>43.703778461538455</v>
      </c>
      <c r="L80" s="26"/>
      <c r="M80" s="16"/>
    </row>
    <row r="81" spans="1:13" s="2" customFormat="1" ht="12.75" customHeight="1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</row>
    <row r="82" spans="1:13" s="2" customFormat="1" hidden="1" x14ac:dyDescent="0.25">
      <c r="A82" s="132" t="s">
        <v>83</v>
      </c>
      <c r="B82" s="132"/>
      <c r="C82" s="132"/>
      <c r="D82" s="132"/>
      <c r="E82" s="132"/>
      <c r="F82" s="132"/>
      <c r="G82" s="132"/>
      <c r="H82" s="132"/>
      <c r="I82" s="132"/>
      <c r="J82" s="132"/>
      <c r="K82" s="132"/>
      <c r="L82" s="132"/>
      <c r="M82" s="16"/>
    </row>
    <row r="83" spans="1:13" s="2" customFormat="1" ht="60" hidden="1" customHeight="1" x14ac:dyDescent="0.25">
      <c r="A83" s="96" t="s">
        <v>22</v>
      </c>
      <c r="B83" s="97"/>
      <c r="C83" s="97"/>
      <c r="D83" s="97"/>
      <c r="E83" s="98"/>
      <c r="F83" s="63" t="s">
        <v>8</v>
      </c>
      <c r="G83" s="63" t="s">
        <v>69</v>
      </c>
      <c r="H83" s="63" t="s">
        <v>70</v>
      </c>
      <c r="I83" s="63" t="s">
        <v>80</v>
      </c>
      <c r="J83" s="63" t="s">
        <v>74</v>
      </c>
      <c r="K83" s="28" t="s">
        <v>75</v>
      </c>
      <c r="L83" s="43"/>
      <c r="M83" s="16"/>
    </row>
    <row r="84" spans="1:13" s="2" customFormat="1" ht="18.75" hidden="1" customHeight="1" x14ac:dyDescent="0.25">
      <c r="A84" s="117" t="s">
        <v>96</v>
      </c>
      <c r="B84" s="118"/>
      <c r="C84" s="118"/>
      <c r="D84" s="118"/>
      <c r="E84" s="119"/>
      <c r="F84" s="15" t="s">
        <v>20</v>
      </c>
      <c r="G84" s="15"/>
      <c r="H84" s="15">
        <v>6000</v>
      </c>
      <c r="I84" s="15">
        <f>G84*H84</f>
        <v>0</v>
      </c>
      <c r="J84" s="15">
        <f>J78</f>
        <v>1300</v>
      </c>
      <c r="K84" s="15">
        <f t="shared" ref="K84" si="10">I84/J84</f>
        <v>0</v>
      </c>
      <c r="L84" s="26"/>
      <c r="M84" s="16"/>
    </row>
    <row r="85" spans="1:13" s="2" customFormat="1" hidden="1" x14ac:dyDescent="0.25">
      <c r="A85" s="113" t="s">
        <v>84</v>
      </c>
      <c r="B85" s="114"/>
      <c r="C85" s="114"/>
      <c r="D85" s="114"/>
      <c r="E85" s="114"/>
      <c r="F85" s="114"/>
      <c r="G85" s="114"/>
      <c r="H85" s="114"/>
      <c r="I85" s="13">
        <f>SUM(I84:I84)</f>
        <v>0</v>
      </c>
      <c r="J85" s="13"/>
      <c r="K85" s="13">
        <f>SUM(K84:K84)</f>
        <v>0</v>
      </c>
      <c r="L85" s="26"/>
      <c r="M85" s="16"/>
    </row>
    <row r="86" spans="1:13" s="2" customFormat="1" hidden="1" x14ac:dyDescent="0.25">
      <c r="A86" s="41"/>
      <c r="B86" s="41"/>
      <c r="C86" s="41"/>
      <c r="D86" s="41"/>
      <c r="E86" s="41"/>
      <c r="F86" s="41"/>
      <c r="G86" s="41"/>
      <c r="H86" s="41"/>
      <c r="I86" s="14"/>
      <c r="J86" s="14"/>
      <c r="K86" s="14"/>
      <c r="L86" s="26"/>
      <c r="M86" s="16"/>
    </row>
    <row r="87" spans="1:13" s="2" customFormat="1" x14ac:dyDescent="0.25">
      <c r="A87" s="115" t="s">
        <v>85</v>
      </c>
      <c r="B87" s="115"/>
      <c r="C87" s="115"/>
      <c r="D87" s="115"/>
      <c r="E87" s="115"/>
      <c r="F87" s="115"/>
      <c r="G87" s="115"/>
      <c r="H87" s="115"/>
      <c r="I87" s="115"/>
      <c r="J87" s="115"/>
      <c r="K87" s="115"/>
      <c r="L87" s="115"/>
      <c r="M87" s="16"/>
    </row>
    <row r="88" spans="1:13" s="2" customFormat="1" ht="60" customHeight="1" x14ac:dyDescent="0.25">
      <c r="A88" s="96" t="s">
        <v>23</v>
      </c>
      <c r="B88" s="97"/>
      <c r="C88" s="97"/>
      <c r="D88" s="97"/>
      <c r="E88" s="98"/>
      <c r="F88" s="63" t="s">
        <v>8</v>
      </c>
      <c r="G88" s="63" t="s">
        <v>69</v>
      </c>
      <c r="H88" s="63" t="s">
        <v>70</v>
      </c>
      <c r="I88" s="63" t="s">
        <v>80</v>
      </c>
      <c r="J88" s="42" t="s">
        <v>74</v>
      </c>
      <c r="K88" s="28" t="s">
        <v>75</v>
      </c>
      <c r="L88" s="43"/>
      <c r="M88" s="43"/>
    </row>
    <row r="89" spans="1:13" s="2" customFormat="1" ht="30" customHeight="1" x14ac:dyDescent="0.25">
      <c r="A89" s="117" t="s">
        <v>24</v>
      </c>
      <c r="B89" s="118"/>
      <c r="C89" s="118"/>
      <c r="D89" s="118"/>
      <c r="E89" s="119"/>
      <c r="F89" s="44" t="s">
        <v>25</v>
      </c>
      <c r="G89" s="15">
        <v>4</v>
      </c>
      <c r="H89" s="15">
        <f>'Услуга №1'!H74</f>
        <v>536.9</v>
      </c>
      <c r="I89" s="15">
        <f>25771.2*31.68%</f>
        <v>8164.3161599999994</v>
      </c>
      <c r="J89" s="62">
        <f>J84</f>
        <v>1300</v>
      </c>
      <c r="K89" s="15">
        <f>I89/J89</f>
        <v>6.2802431999999992</v>
      </c>
      <c r="L89" s="26"/>
      <c r="M89" s="26"/>
    </row>
    <row r="90" spans="1:13" s="2" customFormat="1" ht="27" customHeight="1" x14ac:dyDescent="0.25">
      <c r="A90" s="117" t="str">
        <f>'Услуга №1'!A75:E75</f>
        <v>Абонентская связь (дополнительно)</v>
      </c>
      <c r="B90" s="118"/>
      <c r="C90" s="118"/>
      <c r="D90" s="118"/>
      <c r="E90" s="119"/>
      <c r="F90" s="44" t="s">
        <v>25</v>
      </c>
      <c r="G90" s="15">
        <v>12</v>
      </c>
      <c r="H90" s="15">
        <f>'Услуга №1'!H75</f>
        <v>76.7</v>
      </c>
      <c r="I90" s="15">
        <f>920.4*31.68%</f>
        <v>291.58271999999994</v>
      </c>
      <c r="J90" s="62">
        <f>J89</f>
        <v>1300</v>
      </c>
      <c r="K90" s="15">
        <f t="shared" ref="K90:K91" si="11">I90/J90</f>
        <v>0.22429439999999995</v>
      </c>
      <c r="L90" s="26"/>
      <c r="M90" s="26"/>
    </row>
    <row r="91" spans="1:13" s="2" customFormat="1" ht="30" customHeight="1" x14ac:dyDescent="0.25">
      <c r="A91" s="117" t="str">
        <f>'Услуга №1'!A76:E76</f>
        <v>Услуги междугородней связи</v>
      </c>
      <c r="B91" s="118"/>
      <c r="C91" s="118"/>
      <c r="D91" s="118"/>
      <c r="E91" s="119"/>
      <c r="F91" s="44" t="s">
        <v>25</v>
      </c>
      <c r="G91" s="15"/>
      <c r="H91" s="15"/>
      <c r="I91" s="15">
        <f>2108.4*31.68%</f>
        <v>667.94111999999996</v>
      </c>
      <c r="J91" s="62">
        <f>J90</f>
        <v>1300</v>
      </c>
      <c r="K91" s="15">
        <f t="shared" si="11"/>
        <v>0.5138008615384615</v>
      </c>
      <c r="L91" s="26"/>
      <c r="M91" s="26"/>
    </row>
    <row r="92" spans="1:13" s="2" customFormat="1" ht="30" customHeight="1" thickBot="1" x14ac:dyDescent="0.3">
      <c r="A92" s="117" t="s">
        <v>86</v>
      </c>
      <c r="B92" s="118"/>
      <c r="C92" s="118"/>
      <c r="D92" s="118"/>
      <c r="E92" s="119"/>
      <c r="F92" s="44" t="s">
        <v>87</v>
      </c>
      <c r="G92" s="15">
        <v>12</v>
      </c>
      <c r="H92" s="15">
        <f>'Услуга №1'!H77</f>
        <v>1000</v>
      </c>
      <c r="I92" s="72">
        <f>12000*31.68%</f>
        <v>3801.5999999999995</v>
      </c>
      <c r="J92" s="62">
        <f>J89</f>
        <v>1300</v>
      </c>
      <c r="K92" s="72">
        <f>I92/J92</f>
        <v>2.9243076923076918</v>
      </c>
      <c r="L92" s="26"/>
      <c r="M92" s="26"/>
    </row>
    <row r="93" spans="1:13" s="2" customFormat="1" ht="15.75" thickBot="1" x14ac:dyDescent="0.3">
      <c r="A93" s="113" t="s">
        <v>26</v>
      </c>
      <c r="B93" s="114"/>
      <c r="C93" s="114"/>
      <c r="D93" s="114"/>
      <c r="E93" s="114"/>
      <c r="F93" s="114"/>
      <c r="G93" s="114"/>
      <c r="H93" s="114"/>
      <c r="I93" s="80">
        <f>SUM(I89:I92)</f>
        <v>12925.439999999999</v>
      </c>
      <c r="J93" s="74">
        <f>J90</f>
        <v>1300</v>
      </c>
      <c r="K93" s="80">
        <f>I93/J93</f>
        <v>9.9426461538461535</v>
      </c>
      <c r="L93" s="14"/>
      <c r="M93" s="26"/>
    </row>
    <row r="94" spans="1:13" s="2" customFormat="1" x14ac:dyDescent="0.25">
      <c r="A94" s="41"/>
      <c r="B94" s="41"/>
      <c r="C94" s="41"/>
      <c r="D94" s="41"/>
      <c r="E94" s="41"/>
      <c r="F94" s="41"/>
      <c r="G94" s="41"/>
      <c r="H94" s="41"/>
      <c r="I94" s="14"/>
      <c r="J94" s="14"/>
      <c r="K94" s="14"/>
      <c r="L94" s="14"/>
      <c r="M94" s="26"/>
    </row>
    <row r="95" spans="1:13" s="2" customFormat="1" x14ac:dyDescent="0.25">
      <c r="A95" s="115" t="s">
        <v>42</v>
      </c>
      <c r="B95" s="115"/>
      <c r="C95" s="115"/>
      <c r="D95" s="115"/>
      <c r="E95" s="115"/>
      <c r="F95" s="115"/>
      <c r="G95" s="115"/>
      <c r="H95" s="115"/>
      <c r="I95" s="115"/>
      <c r="J95" s="115"/>
      <c r="K95" s="115"/>
      <c r="L95" s="115"/>
      <c r="M95" s="16"/>
    </row>
    <row r="96" spans="1:13" s="2" customFormat="1" ht="75.75" thickBot="1" x14ac:dyDescent="0.3">
      <c r="A96" s="96" t="s">
        <v>5</v>
      </c>
      <c r="B96" s="97"/>
      <c r="C96" s="97"/>
      <c r="D96" s="97"/>
      <c r="E96" s="98"/>
      <c r="F96" s="63" t="s">
        <v>6</v>
      </c>
      <c r="G96" s="63" t="s">
        <v>1</v>
      </c>
      <c r="H96" s="63" t="s">
        <v>72</v>
      </c>
      <c r="I96" s="63" t="s">
        <v>73</v>
      </c>
      <c r="J96" s="63" t="s">
        <v>74</v>
      </c>
      <c r="K96" s="28" t="s">
        <v>75</v>
      </c>
      <c r="L96" s="43"/>
      <c r="M96" s="16"/>
    </row>
    <row r="97" spans="1:13" s="2" customFormat="1" ht="15" hidden="1" customHeight="1" x14ac:dyDescent="0.25">
      <c r="A97" s="95" t="s">
        <v>3</v>
      </c>
      <c r="B97" s="95"/>
      <c r="C97" s="95"/>
      <c r="D97" s="95"/>
      <c r="E97" s="95"/>
      <c r="F97" s="46">
        <f>'Услуга №1'!F83</f>
        <v>15388</v>
      </c>
      <c r="G97" s="15">
        <f>L20</f>
        <v>0.31679999999999997</v>
      </c>
      <c r="H97" s="12">
        <f>F97*12*G97</f>
        <v>58499.020799999991</v>
      </c>
      <c r="I97" s="15">
        <f>H97*1.302</f>
        <v>76165.725081599987</v>
      </c>
      <c r="J97" s="15">
        <f>J92</f>
        <v>1300</v>
      </c>
      <c r="K97" s="15">
        <f>I97/J97</f>
        <v>58.589019293538449</v>
      </c>
      <c r="L97" s="26"/>
      <c r="M97" s="16"/>
    </row>
    <row r="98" spans="1:13" s="2" customFormat="1" ht="15" hidden="1" customHeight="1" x14ac:dyDescent="0.25">
      <c r="A98" s="95" t="s">
        <v>92</v>
      </c>
      <c r="B98" s="95"/>
      <c r="C98" s="95"/>
      <c r="D98" s="95"/>
      <c r="E98" s="95"/>
      <c r="F98" s="15">
        <f>'Услуга №1'!F84</f>
        <v>11538</v>
      </c>
      <c r="G98" s="15">
        <f>L21</f>
        <v>0.31679999999999997</v>
      </c>
      <c r="H98" s="12">
        <f t="shared" ref="H98:H99" si="12">F98*12*G98</f>
        <v>43862.860799999995</v>
      </c>
      <c r="I98" s="15">
        <f t="shared" ref="I98:I99" si="13">H98*1.302</f>
        <v>57109.444761599996</v>
      </c>
      <c r="J98" s="15">
        <f>J97</f>
        <v>1300</v>
      </c>
      <c r="K98" s="15">
        <f t="shared" ref="K98:K99" si="14">I98/J98</f>
        <v>43.930342124307693</v>
      </c>
      <c r="L98" s="26"/>
      <c r="M98" s="16"/>
    </row>
    <row r="99" spans="1:13" s="2" customFormat="1" ht="15" hidden="1" customHeight="1" x14ac:dyDescent="0.25">
      <c r="A99" s="123" t="s">
        <v>55</v>
      </c>
      <c r="B99" s="124"/>
      <c r="C99" s="124"/>
      <c r="D99" s="124"/>
      <c r="E99" s="125"/>
      <c r="F99" s="15">
        <f>'Услуга №1'!F89</f>
        <v>5669</v>
      </c>
      <c r="G99" s="15">
        <f>L22</f>
        <v>0.31679999999999997</v>
      </c>
      <c r="H99" s="12">
        <f t="shared" si="12"/>
        <v>21551.270399999998</v>
      </c>
      <c r="I99" s="72">
        <f t="shared" si="13"/>
        <v>28059.754060799998</v>
      </c>
      <c r="J99" s="15">
        <f>J98</f>
        <v>1300</v>
      </c>
      <c r="K99" s="72">
        <f t="shared" si="14"/>
        <v>21.584426200615383</v>
      </c>
      <c r="L99" s="26"/>
      <c r="M99" s="16"/>
    </row>
    <row r="100" spans="1:13" ht="20.25" customHeight="1" thickBot="1" x14ac:dyDescent="0.3">
      <c r="A100" s="59" t="s">
        <v>27</v>
      </c>
      <c r="B100" s="60"/>
      <c r="C100" s="60"/>
      <c r="D100" s="60"/>
      <c r="E100" s="60"/>
      <c r="F100" s="11">
        <v>41567.68</v>
      </c>
      <c r="G100" s="11">
        <f>SUM(G97:G99)</f>
        <v>0.95039999999999991</v>
      </c>
      <c r="H100" s="71">
        <v>473871.55</v>
      </c>
      <c r="I100" s="80">
        <f>H100*1.302</f>
        <v>616980.75809999998</v>
      </c>
      <c r="J100" s="74">
        <f>J99</f>
        <v>1300</v>
      </c>
      <c r="K100" s="80">
        <f>I100/J100</f>
        <v>474.60058315384612</v>
      </c>
      <c r="L100" s="26"/>
      <c r="M100" s="16"/>
    </row>
    <row r="101" spans="1:13" s="2" customFormat="1" ht="12" customHeight="1" x14ac:dyDescent="0.25">
      <c r="A101" s="16"/>
      <c r="B101" s="16"/>
      <c r="C101" s="16"/>
      <c r="D101" s="16"/>
      <c r="E101" s="16"/>
      <c r="F101" s="61"/>
      <c r="G101" s="61"/>
      <c r="H101" s="61"/>
      <c r="I101" s="61"/>
      <c r="J101" s="61"/>
      <c r="K101" s="61"/>
      <c r="L101" s="61"/>
      <c r="M101" s="16"/>
    </row>
    <row r="102" spans="1:13" x14ac:dyDescent="0.25">
      <c r="A102" s="107" t="s">
        <v>88</v>
      </c>
      <c r="B102" s="107"/>
      <c r="C102" s="107"/>
      <c r="D102" s="107"/>
      <c r="E102" s="107"/>
      <c r="F102" s="107"/>
      <c r="G102" s="107"/>
      <c r="H102" s="107"/>
      <c r="I102" s="107"/>
      <c r="J102" s="107"/>
      <c r="K102" s="107"/>
      <c r="L102" s="126"/>
      <c r="M102" s="16"/>
    </row>
    <row r="103" spans="1:13" ht="45" x14ac:dyDescent="0.25">
      <c r="A103" s="121" t="s">
        <v>89</v>
      </c>
      <c r="B103" s="121"/>
      <c r="C103" s="121"/>
      <c r="D103" s="121"/>
      <c r="E103" s="121"/>
      <c r="F103" s="63" t="s">
        <v>8</v>
      </c>
      <c r="G103" s="63" t="s">
        <v>69</v>
      </c>
      <c r="H103" s="63" t="s">
        <v>70</v>
      </c>
      <c r="I103" s="63" t="s">
        <v>80</v>
      </c>
      <c r="J103" s="63" t="s">
        <v>74</v>
      </c>
      <c r="K103" s="32" t="s">
        <v>75</v>
      </c>
      <c r="L103" s="33"/>
      <c r="M103" s="16"/>
    </row>
    <row r="104" spans="1:13" ht="30.75" customHeight="1" x14ac:dyDescent="0.25">
      <c r="A104" s="116" t="s">
        <v>105</v>
      </c>
      <c r="B104" s="116"/>
      <c r="C104" s="116"/>
      <c r="D104" s="116"/>
      <c r="E104" s="116"/>
      <c r="F104" s="15"/>
      <c r="G104" s="15"/>
      <c r="H104" s="12"/>
      <c r="I104" s="12">
        <f>27383.95*31.68%</f>
        <v>8675.2353599999988</v>
      </c>
      <c r="J104" s="15">
        <f>J99</f>
        <v>1300</v>
      </c>
      <c r="K104" s="62">
        <f>I104/J104</f>
        <v>6.6732579692307681</v>
      </c>
      <c r="L104" s="35"/>
      <c r="M104" s="16"/>
    </row>
    <row r="105" spans="1:13" ht="15.75" thickBot="1" x14ac:dyDescent="0.3">
      <c r="A105" s="95" t="s">
        <v>94</v>
      </c>
      <c r="B105" s="95"/>
      <c r="C105" s="95"/>
      <c r="D105" s="95"/>
      <c r="E105" s="95"/>
      <c r="F105" s="15"/>
      <c r="G105" s="15"/>
      <c r="H105" s="12"/>
      <c r="I105" s="82">
        <f>36000*31.68%</f>
        <v>11404.8</v>
      </c>
      <c r="J105" s="15">
        <f>J104</f>
        <v>1300</v>
      </c>
      <c r="K105" s="79">
        <f>I105/J105</f>
        <v>8.7729230769230764</v>
      </c>
      <c r="L105" s="35"/>
      <c r="M105" s="16"/>
    </row>
    <row r="106" spans="1:13" ht="15.75" thickBot="1" x14ac:dyDescent="0.3">
      <c r="A106" s="113" t="s">
        <v>90</v>
      </c>
      <c r="B106" s="114"/>
      <c r="C106" s="114"/>
      <c r="D106" s="114"/>
      <c r="E106" s="114"/>
      <c r="F106" s="114"/>
      <c r="G106" s="114"/>
      <c r="H106" s="114"/>
      <c r="I106" s="80">
        <f>SUM(I104:I105)</f>
        <v>20080.035359999998</v>
      </c>
      <c r="J106" s="83">
        <v>1300</v>
      </c>
      <c r="K106" s="80">
        <f t="shared" ref="K106" si="15">SUM(K104:K105)</f>
        <v>15.446181046153844</v>
      </c>
      <c r="L106" s="26"/>
      <c r="M106" s="16"/>
    </row>
    <row r="107" spans="1:13" x14ac:dyDescent="0.25">
      <c r="A107" s="41"/>
      <c r="B107" s="41"/>
      <c r="C107" s="41"/>
      <c r="D107" s="41"/>
      <c r="E107" s="41"/>
      <c r="F107" s="41"/>
      <c r="G107" s="41"/>
      <c r="H107" s="41"/>
      <c r="I107" s="14"/>
      <c r="J107" s="14"/>
      <c r="K107" s="14"/>
      <c r="L107" s="26"/>
      <c r="M107" s="16"/>
    </row>
    <row r="108" spans="1:13" hidden="1" x14ac:dyDescent="0.25">
      <c r="A108" s="127" t="s">
        <v>106</v>
      </c>
      <c r="B108" s="127"/>
      <c r="C108" s="127"/>
      <c r="D108" s="127"/>
      <c r="E108" s="127"/>
      <c r="F108" s="127"/>
      <c r="G108" s="127"/>
      <c r="H108" s="127"/>
      <c r="I108" s="127"/>
      <c r="J108" s="127"/>
      <c r="K108" s="127"/>
      <c r="L108" s="127"/>
      <c r="M108" s="16"/>
    </row>
    <row r="109" spans="1:13" ht="45" hidden="1" x14ac:dyDescent="0.25">
      <c r="A109" s="121" t="s">
        <v>89</v>
      </c>
      <c r="B109" s="121"/>
      <c r="C109" s="121"/>
      <c r="D109" s="121"/>
      <c r="E109" s="121"/>
      <c r="F109" s="63" t="s">
        <v>8</v>
      </c>
      <c r="G109" s="63" t="s">
        <v>69</v>
      </c>
      <c r="H109" s="63" t="s">
        <v>70</v>
      </c>
      <c r="I109" s="63" t="s">
        <v>80</v>
      </c>
      <c r="J109" s="63" t="s">
        <v>74</v>
      </c>
      <c r="K109" s="28" t="s">
        <v>75</v>
      </c>
      <c r="L109" s="33"/>
      <c r="M109" s="16"/>
    </row>
    <row r="110" spans="1:13" hidden="1" x14ac:dyDescent="0.25">
      <c r="A110" s="95" t="s">
        <v>108</v>
      </c>
      <c r="B110" s="95"/>
      <c r="C110" s="95"/>
      <c r="D110" s="95"/>
      <c r="E110" s="95"/>
      <c r="F110" s="15"/>
      <c r="G110" s="15"/>
      <c r="H110" s="12"/>
      <c r="I110" s="12">
        <v>0</v>
      </c>
      <c r="J110" s="15">
        <v>3020</v>
      </c>
      <c r="K110" s="62">
        <f>I110/J110</f>
        <v>0</v>
      </c>
      <c r="L110" s="35"/>
      <c r="M110" s="16"/>
    </row>
    <row r="111" spans="1:13" hidden="1" x14ac:dyDescent="0.25">
      <c r="A111" s="95" t="s">
        <v>97</v>
      </c>
      <c r="B111" s="95"/>
      <c r="C111" s="95"/>
      <c r="D111" s="95"/>
      <c r="E111" s="95"/>
      <c r="F111" s="15" t="s">
        <v>28</v>
      </c>
      <c r="G111" s="15"/>
      <c r="H111" s="12"/>
      <c r="I111" s="12">
        <f>G111*H111</f>
        <v>0</v>
      </c>
      <c r="J111" s="15">
        <f>J110</f>
        <v>3020</v>
      </c>
      <c r="K111" s="62">
        <f>I111/J111</f>
        <v>0</v>
      </c>
      <c r="L111" s="35"/>
      <c r="M111" s="16"/>
    </row>
    <row r="112" spans="1:13" hidden="1" x14ac:dyDescent="0.25">
      <c r="A112" s="113" t="s">
        <v>107</v>
      </c>
      <c r="B112" s="114"/>
      <c r="C112" s="114"/>
      <c r="D112" s="114"/>
      <c r="E112" s="114"/>
      <c r="F112" s="114"/>
      <c r="G112" s="114"/>
      <c r="H112" s="114"/>
      <c r="I112" s="13">
        <f>SUM(I110:I111)</f>
        <v>0</v>
      </c>
      <c r="J112" s="13">
        <v>3020</v>
      </c>
      <c r="K112" s="13">
        <f t="shared" ref="K112" si="16">SUM(K110:K111)</f>
        <v>0</v>
      </c>
      <c r="L112" s="35"/>
      <c r="M112" s="16"/>
    </row>
    <row r="113" spans="1:13" hidden="1" x14ac:dyDescent="0.25">
      <c r="A113" s="48"/>
      <c r="B113" s="48"/>
      <c r="C113" s="48"/>
      <c r="D113" s="48"/>
      <c r="E113" s="48"/>
      <c r="F113" s="48"/>
      <c r="G113" s="48"/>
      <c r="H113" s="48"/>
      <c r="I113" s="25"/>
      <c r="J113" s="25"/>
      <c r="K113" s="25"/>
      <c r="L113" s="26"/>
      <c r="M113" s="16"/>
    </row>
    <row r="114" spans="1:13" x14ac:dyDescent="0.25">
      <c r="A114" s="107" t="s">
        <v>109</v>
      </c>
      <c r="B114" s="107"/>
      <c r="C114" s="107"/>
      <c r="D114" s="107"/>
      <c r="E114" s="107"/>
      <c r="F114" s="107"/>
      <c r="G114" s="107"/>
      <c r="H114" s="107"/>
      <c r="I114" s="107"/>
      <c r="J114" s="107"/>
      <c r="K114" s="107"/>
      <c r="L114" s="126"/>
      <c r="M114" s="16"/>
    </row>
    <row r="115" spans="1:13" ht="45" x14ac:dyDescent="0.25">
      <c r="A115" s="121" t="s">
        <v>89</v>
      </c>
      <c r="B115" s="121"/>
      <c r="C115" s="121"/>
      <c r="D115" s="121"/>
      <c r="E115" s="121"/>
      <c r="F115" s="63" t="s">
        <v>8</v>
      </c>
      <c r="G115" s="63" t="s">
        <v>69</v>
      </c>
      <c r="H115" s="63" t="s">
        <v>70</v>
      </c>
      <c r="I115" s="63" t="s">
        <v>80</v>
      </c>
      <c r="J115" s="63" t="s">
        <v>74</v>
      </c>
      <c r="K115" s="32" t="s">
        <v>75</v>
      </c>
      <c r="L115" s="33"/>
      <c r="M115" s="16"/>
    </row>
    <row r="116" spans="1:13" ht="15.75" thickBot="1" x14ac:dyDescent="0.3">
      <c r="A116" s="95" t="s">
        <v>110</v>
      </c>
      <c r="B116" s="95"/>
      <c r="C116" s="95"/>
      <c r="D116" s="95"/>
      <c r="E116" s="95"/>
      <c r="F116" s="15"/>
      <c r="G116" s="15"/>
      <c r="H116" s="12"/>
      <c r="I116" s="12">
        <f>30000*31.68%</f>
        <v>9504</v>
      </c>
      <c r="J116" s="15">
        <f>J106</f>
        <v>1300</v>
      </c>
      <c r="K116" s="62">
        <f>I116/J116</f>
        <v>7.3107692307692309</v>
      </c>
      <c r="L116" s="35"/>
      <c r="M116" s="16"/>
    </row>
    <row r="117" spans="1:13" hidden="1" x14ac:dyDescent="0.25">
      <c r="A117" s="95" t="s">
        <v>97</v>
      </c>
      <c r="B117" s="95"/>
      <c r="C117" s="95"/>
      <c r="D117" s="95"/>
      <c r="E117" s="95"/>
      <c r="F117" s="15" t="s">
        <v>28</v>
      </c>
      <c r="G117" s="15"/>
      <c r="H117" s="12"/>
      <c r="I117" s="82">
        <f>G117*H117</f>
        <v>0</v>
      </c>
      <c r="J117" s="15">
        <f>J116</f>
        <v>1300</v>
      </c>
      <c r="K117" s="79">
        <f>I117/J117</f>
        <v>0</v>
      </c>
      <c r="L117" s="35"/>
      <c r="M117" s="16"/>
    </row>
    <row r="118" spans="1:13" ht="15.75" thickBot="1" x14ac:dyDescent="0.3">
      <c r="A118" s="113" t="s">
        <v>113</v>
      </c>
      <c r="B118" s="114"/>
      <c r="C118" s="114"/>
      <c r="D118" s="114"/>
      <c r="E118" s="114"/>
      <c r="F118" s="114"/>
      <c r="G118" s="114"/>
      <c r="H118" s="114"/>
      <c r="I118" s="80">
        <f>SUM(I116:I117)</f>
        <v>9504</v>
      </c>
      <c r="J118" s="83">
        <f>J116</f>
        <v>1300</v>
      </c>
      <c r="K118" s="80">
        <f t="shared" ref="K118" si="17">SUM(K116:K117)</f>
        <v>7.3107692307692309</v>
      </c>
      <c r="L118" s="26"/>
      <c r="M118" s="16"/>
    </row>
    <row r="119" spans="1:13" x14ac:dyDescent="0.25">
      <c r="A119" s="48"/>
      <c r="B119" s="48"/>
      <c r="C119" s="48"/>
      <c r="D119" s="48"/>
      <c r="E119" s="48"/>
      <c r="F119" s="48"/>
      <c r="G119" s="48"/>
      <c r="H119" s="48"/>
      <c r="I119" s="25"/>
      <c r="J119" s="25"/>
      <c r="K119" s="25"/>
      <c r="L119" s="26"/>
      <c r="M119" s="16"/>
    </row>
    <row r="120" spans="1:13" x14ac:dyDescent="0.25">
      <c r="A120" s="107" t="s">
        <v>111</v>
      </c>
      <c r="B120" s="107"/>
      <c r="C120" s="107"/>
      <c r="D120" s="107"/>
      <c r="E120" s="107"/>
      <c r="F120" s="107"/>
      <c r="G120" s="107"/>
      <c r="H120" s="107"/>
      <c r="I120" s="107"/>
      <c r="J120" s="107"/>
      <c r="K120" s="107"/>
      <c r="L120" s="126"/>
      <c r="M120" s="16"/>
    </row>
    <row r="121" spans="1:13" ht="45" x14ac:dyDescent="0.25">
      <c r="A121" s="121" t="s">
        <v>89</v>
      </c>
      <c r="B121" s="121"/>
      <c r="C121" s="121"/>
      <c r="D121" s="121"/>
      <c r="E121" s="121"/>
      <c r="F121" s="63" t="s">
        <v>8</v>
      </c>
      <c r="G121" s="63" t="s">
        <v>69</v>
      </c>
      <c r="H121" s="63" t="s">
        <v>70</v>
      </c>
      <c r="I121" s="63" t="s">
        <v>80</v>
      </c>
      <c r="J121" s="63" t="s">
        <v>74</v>
      </c>
      <c r="K121" s="32" t="s">
        <v>75</v>
      </c>
      <c r="L121" s="33"/>
      <c r="M121" s="16"/>
    </row>
    <row r="122" spans="1:13" ht="15.75" thickBot="1" x14ac:dyDescent="0.3">
      <c r="A122" s="95" t="s">
        <v>112</v>
      </c>
      <c r="B122" s="95"/>
      <c r="C122" s="95"/>
      <c r="D122" s="95"/>
      <c r="E122" s="95"/>
      <c r="F122" s="15"/>
      <c r="G122" s="15"/>
      <c r="H122" s="12"/>
      <c r="I122" s="12">
        <f>20000*31.68%</f>
        <v>6335.9999999999991</v>
      </c>
      <c r="J122" s="15">
        <f>J116</f>
        <v>1300</v>
      </c>
      <c r="K122" s="62">
        <f>I122/J122</f>
        <v>4.8738461538461531</v>
      </c>
      <c r="L122" s="35"/>
      <c r="M122" s="16"/>
    </row>
    <row r="123" spans="1:13" hidden="1" x14ac:dyDescent="0.25">
      <c r="A123" s="95" t="s">
        <v>97</v>
      </c>
      <c r="B123" s="95"/>
      <c r="C123" s="95"/>
      <c r="D123" s="95"/>
      <c r="E123" s="95"/>
      <c r="F123" s="15" t="s">
        <v>28</v>
      </c>
      <c r="G123" s="15"/>
      <c r="H123" s="12"/>
      <c r="I123" s="82">
        <f>G123*H123</f>
        <v>0</v>
      </c>
      <c r="J123" s="15">
        <f>J122</f>
        <v>1300</v>
      </c>
      <c r="K123" s="79">
        <f>I123/J123</f>
        <v>0</v>
      </c>
      <c r="L123" s="35"/>
      <c r="M123" s="16"/>
    </row>
    <row r="124" spans="1:13" ht="15.75" thickBot="1" x14ac:dyDescent="0.3">
      <c r="A124" s="113" t="s">
        <v>114</v>
      </c>
      <c r="B124" s="114"/>
      <c r="C124" s="114"/>
      <c r="D124" s="114"/>
      <c r="E124" s="114"/>
      <c r="F124" s="114"/>
      <c r="G124" s="114"/>
      <c r="H124" s="114"/>
      <c r="I124" s="80">
        <f>SUM(I122:I123)</f>
        <v>6335.9999999999991</v>
      </c>
      <c r="J124" s="83">
        <f>J122</f>
        <v>1300</v>
      </c>
      <c r="K124" s="80">
        <f t="shared" ref="K124" si="18">SUM(K122:K123)</f>
        <v>4.8738461538461531</v>
      </c>
      <c r="L124" s="26"/>
      <c r="M124" s="16"/>
    </row>
    <row r="125" spans="1:13" s="2" customFormat="1" x14ac:dyDescent="0.25">
      <c r="A125" s="16"/>
      <c r="B125" s="16"/>
      <c r="C125" s="16"/>
      <c r="D125" s="16"/>
      <c r="E125" s="16"/>
      <c r="F125" s="61"/>
      <c r="G125" s="61"/>
      <c r="H125" s="61"/>
      <c r="I125" s="61"/>
      <c r="J125" s="61"/>
      <c r="K125" s="61"/>
      <c r="L125" s="61"/>
      <c r="M125" s="16"/>
    </row>
    <row r="126" spans="1:13" s="2" customFormat="1" ht="12.75" customHeight="1" x14ac:dyDescent="0.25">
      <c r="A126" s="107" t="s">
        <v>29</v>
      </c>
      <c r="B126" s="107"/>
      <c r="C126" s="107"/>
      <c r="D126" s="107"/>
      <c r="E126" s="107"/>
      <c r="F126" s="107"/>
      <c r="G126" s="107"/>
      <c r="H126" s="107"/>
      <c r="I126" s="107"/>
      <c r="J126" s="107"/>
      <c r="K126" s="107"/>
      <c r="L126" s="107"/>
      <c r="M126" s="16"/>
    </row>
    <row r="127" spans="1:13" s="2" customFormat="1" ht="15" customHeight="1" x14ac:dyDescent="0.25">
      <c r="A127" s="108" t="s">
        <v>30</v>
      </c>
      <c r="B127" s="108"/>
      <c r="C127" s="108"/>
      <c r="D127" s="96" t="s">
        <v>31</v>
      </c>
      <c r="E127" s="97"/>
      <c r="F127" s="97"/>
      <c r="G127" s="97"/>
      <c r="H127" s="97"/>
      <c r="I127" s="97"/>
      <c r="J127" s="98"/>
      <c r="K127" s="108" t="s">
        <v>41</v>
      </c>
      <c r="L127" s="108"/>
      <c r="M127" s="16"/>
    </row>
    <row r="128" spans="1:13" s="2" customFormat="1" ht="30.75" thickBot="1" x14ac:dyDescent="0.3">
      <c r="A128" s="15" t="s">
        <v>32</v>
      </c>
      <c r="B128" s="29" t="s">
        <v>33</v>
      </c>
      <c r="C128" s="15" t="s">
        <v>34</v>
      </c>
      <c r="D128" s="15" t="s">
        <v>35</v>
      </c>
      <c r="E128" s="15" t="s">
        <v>36</v>
      </c>
      <c r="F128" s="15" t="s">
        <v>37</v>
      </c>
      <c r="G128" s="15" t="s">
        <v>38</v>
      </c>
      <c r="H128" s="15" t="s">
        <v>129</v>
      </c>
      <c r="I128" s="15" t="s">
        <v>39</v>
      </c>
      <c r="J128" s="15" t="s">
        <v>40</v>
      </c>
      <c r="K128" s="109"/>
      <c r="L128" s="109"/>
      <c r="M128" s="16"/>
    </row>
    <row r="129" spans="1:14" s="2" customFormat="1" ht="15.75" thickBot="1" x14ac:dyDescent="0.3">
      <c r="A129" s="15">
        <f>K60</f>
        <v>2025.5269685538465</v>
      </c>
      <c r="B129" s="15"/>
      <c r="C129" s="15"/>
      <c r="D129" s="15">
        <f>K69</f>
        <v>463.40164910769232</v>
      </c>
      <c r="E129" s="15">
        <f>K80</f>
        <v>43.703778461538455</v>
      </c>
      <c r="F129" s="15"/>
      <c r="G129" s="15">
        <f>K93</f>
        <v>9.9426461538461535</v>
      </c>
      <c r="H129" s="15">
        <f>K106</f>
        <v>15.446181046153844</v>
      </c>
      <c r="I129" s="15">
        <f>K100</f>
        <v>474.60058315384612</v>
      </c>
      <c r="J129" s="66">
        <f>K112+K118+K124</f>
        <v>12.184615384615384</v>
      </c>
      <c r="K129" s="102">
        <f>SUM(A129:J129)</f>
        <v>3044.8064218615386</v>
      </c>
      <c r="L129" s="103"/>
      <c r="M129" s="16"/>
    </row>
    <row r="130" spans="1:14" s="2" customFormat="1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</row>
    <row r="131" spans="1:14" ht="16.5" thickBot="1" x14ac:dyDescent="0.3">
      <c r="A131" s="49" t="s">
        <v>65</v>
      </c>
      <c r="B131" s="50"/>
      <c r="C131" s="50"/>
      <c r="D131" s="50"/>
      <c r="E131" s="50"/>
      <c r="F131" s="104" t="str">
        <f>'Услуга №1'!F121:H121</f>
        <v xml:space="preserve">          О.Е. Федичкина</v>
      </c>
      <c r="G131" s="105"/>
      <c r="H131" s="105"/>
      <c r="I131" s="16"/>
      <c r="J131" s="16"/>
      <c r="K131" s="16"/>
      <c r="L131" s="16"/>
      <c r="M131" s="16"/>
      <c r="N131" s="2"/>
    </row>
    <row r="132" spans="1:14" ht="15.75" thickBot="1" x14ac:dyDescent="0.3">
      <c r="A132" s="16"/>
      <c r="B132" s="16"/>
      <c r="C132" s="16"/>
      <c r="D132" s="16"/>
      <c r="E132" s="16"/>
      <c r="F132" s="16"/>
      <c r="G132" s="16"/>
      <c r="H132" s="16"/>
      <c r="I132" s="84">
        <f>I60+I69+I80+I93+I100+I106+I112+I118+I124</f>
        <v>3958248.3484200006</v>
      </c>
      <c r="J132" s="16"/>
      <c r="K132" s="84">
        <f>K129*J122</f>
        <v>3958248.3484200002</v>
      </c>
      <c r="L132" s="16"/>
      <c r="M132" s="16"/>
      <c r="N132" s="2"/>
    </row>
    <row r="133" spans="1:14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2"/>
    </row>
    <row r="134" spans="1:14" x14ac:dyDescent="0.25">
      <c r="A134" s="52" t="str">
        <f>'Услуга №1'!A124:C124</f>
        <v>Лонская Клавдия Алексеевна</v>
      </c>
      <c r="B134" s="17"/>
      <c r="C134" s="52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2"/>
    </row>
    <row r="135" spans="1:14" x14ac:dyDescent="0.25">
      <c r="A135" s="5" t="s">
        <v>59</v>
      </c>
      <c r="C135" s="5"/>
      <c r="I135" s="17"/>
    </row>
  </sheetData>
  <mergeCells count="127">
    <mergeCell ref="A126:L126"/>
    <mergeCell ref="A127:C127"/>
    <mergeCell ref="D127:J127"/>
    <mergeCell ref="K127:L128"/>
    <mergeCell ref="K129:L129"/>
    <mergeCell ref="F131:H131"/>
    <mergeCell ref="A118:H118"/>
    <mergeCell ref="A120:L120"/>
    <mergeCell ref="A121:E121"/>
    <mergeCell ref="A122:E122"/>
    <mergeCell ref="A123:E123"/>
    <mergeCell ref="A124:H124"/>
    <mergeCell ref="A111:E111"/>
    <mergeCell ref="A112:H112"/>
    <mergeCell ref="A114:L114"/>
    <mergeCell ref="A115:E115"/>
    <mergeCell ref="A116:E116"/>
    <mergeCell ref="A117:E117"/>
    <mergeCell ref="A104:E104"/>
    <mergeCell ref="A105:E105"/>
    <mergeCell ref="A106:H106"/>
    <mergeCell ref="A108:L108"/>
    <mergeCell ref="A109:E109"/>
    <mergeCell ref="A110:E110"/>
    <mergeCell ref="A96:E96"/>
    <mergeCell ref="A97:E97"/>
    <mergeCell ref="A98:E98"/>
    <mergeCell ref="A99:E99"/>
    <mergeCell ref="A102:L102"/>
    <mergeCell ref="A103:E103"/>
    <mergeCell ref="A89:E89"/>
    <mergeCell ref="A90:E90"/>
    <mergeCell ref="A91:E91"/>
    <mergeCell ref="A92:E92"/>
    <mergeCell ref="A93:H93"/>
    <mergeCell ref="A95:L95"/>
    <mergeCell ref="A82:L82"/>
    <mergeCell ref="A83:E83"/>
    <mergeCell ref="A84:E84"/>
    <mergeCell ref="A85:H85"/>
    <mergeCell ref="A87:L87"/>
    <mergeCell ref="A88:E88"/>
    <mergeCell ref="A75:E75"/>
    <mergeCell ref="A76:E76"/>
    <mergeCell ref="A77:E77"/>
    <mergeCell ref="A78:E78"/>
    <mergeCell ref="A79:E79"/>
    <mergeCell ref="A80:H80"/>
    <mergeCell ref="A68:E68"/>
    <mergeCell ref="A69:H69"/>
    <mergeCell ref="A71:L71"/>
    <mergeCell ref="A72:E72"/>
    <mergeCell ref="A73:E73"/>
    <mergeCell ref="A74:E74"/>
    <mergeCell ref="A62:L62"/>
    <mergeCell ref="A63:E63"/>
    <mergeCell ref="A64:E64"/>
    <mergeCell ref="A65:E65"/>
    <mergeCell ref="A66:E66"/>
    <mergeCell ref="A67:E67"/>
    <mergeCell ref="A55:E55"/>
    <mergeCell ref="A56:E56"/>
    <mergeCell ref="A57:E57"/>
    <mergeCell ref="A58:E58"/>
    <mergeCell ref="A59:E59"/>
    <mergeCell ref="A60:E60"/>
    <mergeCell ref="A49:E49"/>
    <mergeCell ref="A50:E50"/>
    <mergeCell ref="A51:E51"/>
    <mergeCell ref="A52:E52"/>
    <mergeCell ref="A53:E53"/>
    <mergeCell ref="A54:E54"/>
    <mergeCell ref="A43:E43"/>
    <mergeCell ref="A44:E44"/>
    <mergeCell ref="A45:E45"/>
    <mergeCell ref="A46:E46"/>
    <mergeCell ref="A47:E47"/>
    <mergeCell ref="A48:E48"/>
    <mergeCell ref="A37:E37"/>
    <mergeCell ref="G37:K37"/>
    <mergeCell ref="A38:E38"/>
    <mergeCell ref="G38:K38"/>
    <mergeCell ref="A41:E41"/>
    <mergeCell ref="A42:E42"/>
    <mergeCell ref="A34:E34"/>
    <mergeCell ref="G34:K34"/>
    <mergeCell ref="A35:E35"/>
    <mergeCell ref="G35:K35"/>
    <mergeCell ref="A36:E36"/>
    <mergeCell ref="G36:K36"/>
    <mergeCell ref="A31:E31"/>
    <mergeCell ref="G31:K31"/>
    <mergeCell ref="A32:E32"/>
    <mergeCell ref="G32:K32"/>
    <mergeCell ref="A33:E33"/>
    <mergeCell ref="G33:K33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24:E24"/>
    <mergeCell ref="G24:K24"/>
    <mergeCell ref="A11:M11"/>
    <mergeCell ref="A19:E19"/>
    <mergeCell ref="G19:K19"/>
    <mergeCell ref="A20:E20"/>
    <mergeCell ref="G20:K20"/>
    <mergeCell ref="A21:E21"/>
    <mergeCell ref="G21:K21"/>
    <mergeCell ref="A3:D3"/>
    <mergeCell ref="A4:F4"/>
    <mergeCell ref="A5:F5"/>
    <mergeCell ref="A7:F7"/>
    <mergeCell ref="A9:M9"/>
    <mergeCell ref="A10:M10"/>
    <mergeCell ref="A22:E22"/>
    <mergeCell ref="G22:K22"/>
    <mergeCell ref="A23:E23"/>
    <mergeCell ref="G23:K23"/>
  </mergeCells>
  <pageMargins left="0.70866141732283472" right="0.52" top="0.49" bottom="0.35" header="0.31496062992125984" footer="0.31496062992125984"/>
  <pageSetup paperSize="9" scale="8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</vt:lpstr>
      <vt:lpstr>Услуга №2 </vt:lpstr>
      <vt:lpstr>Услуга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2020-12-11T10:09:15Z</dcterms:modified>
</cp:coreProperties>
</file>