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calcPr calcId="124519"/>
</workbook>
</file>

<file path=xl/calcChain.xml><?xml version="1.0" encoding="utf-8"?>
<calcChain xmlns="http://schemas.openxmlformats.org/spreadsheetml/2006/main">
  <c r="K43" i="6"/>
  <c r="F43"/>
  <c r="J34"/>
  <c r="J35"/>
  <c r="J36"/>
  <c r="J37"/>
  <c r="J38"/>
  <c r="J39"/>
  <c r="J33"/>
  <c r="F34"/>
  <c r="F35"/>
  <c r="F36"/>
  <c r="F37"/>
  <c r="F33"/>
  <c r="F56" i="5"/>
  <c r="F57"/>
  <c r="F58"/>
  <c r="F59"/>
  <c r="F60"/>
  <c r="F55"/>
  <c r="J26" i="7"/>
  <c r="J27"/>
  <c r="J28"/>
  <c r="J29"/>
  <c r="J25"/>
  <c r="F26"/>
  <c r="F27"/>
  <c r="F28"/>
  <c r="F25"/>
  <c r="J13"/>
  <c r="J14"/>
  <c r="J15"/>
  <c r="J16"/>
  <c r="J12"/>
  <c r="F13"/>
  <c r="F14"/>
  <c r="F15"/>
  <c r="F12"/>
  <c r="J8"/>
  <c r="J9"/>
  <c r="J10"/>
  <c r="J11"/>
  <c r="J7"/>
  <c r="F8"/>
  <c r="F9"/>
  <c r="F10"/>
  <c r="F7"/>
  <c r="K23" i="6"/>
  <c r="K22"/>
  <c r="F23"/>
  <c r="F22"/>
  <c r="J8"/>
  <c r="J9"/>
  <c r="J10"/>
  <c r="J7"/>
  <c r="J12"/>
  <c r="J13"/>
  <c r="J14"/>
  <c r="J15"/>
  <c r="J16"/>
  <c r="J17"/>
  <c r="J11"/>
  <c r="J18"/>
  <c r="F12"/>
  <c r="F13"/>
  <c r="F14"/>
  <c r="F15"/>
  <c r="F16"/>
  <c r="F17"/>
  <c r="F11"/>
  <c r="F8"/>
  <c r="F9"/>
  <c r="F7"/>
  <c r="J19" i="5"/>
  <c r="J32"/>
  <c r="F21"/>
  <c r="F22"/>
  <c r="F23"/>
  <c r="F24"/>
  <c r="F25"/>
  <c r="F26"/>
  <c r="F27"/>
  <c r="F28"/>
  <c r="F29"/>
  <c r="F30"/>
  <c r="F31"/>
  <c r="F20"/>
  <c r="F8"/>
  <c r="F9"/>
  <c r="F10"/>
  <c r="F11"/>
  <c r="F12"/>
  <c r="F13"/>
  <c r="F14"/>
  <c r="F15"/>
  <c r="F16"/>
  <c r="F17"/>
  <c r="F18"/>
  <c r="F7"/>
  <c r="D13" i="4"/>
  <c r="D29"/>
  <c r="D15" i="1"/>
  <c r="L17"/>
  <c r="D22"/>
  <c r="L30"/>
  <c r="K10" i="6"/>
  <c r="H22"/>
  <c r="L22"/>
  <c r="E14" i="4" l="1"/>
  <c r="E15" s="1"/>
  <c r="E13"/>
  <c r="E9"/>
  <c r="E10" s="1"/>
  <c r="E8"/>
  <c r="E8" i="6" s="1"/>
  <c r="H14" i="7"/>
  <c r="H26" i="5"/>
  <c r="H23"/>
  <c r="H23" i="6"/>
  <c r="H12" i="5"/>
  <c r="H59"/>
  <c r="G8" i="6" l="1"/>
  <c r="I8" s="1"/>
  <c r="H27" i="7"/>
  <c r="K61" i="5" l="1"/>
  <c r="D18" i="1"/>
  <c r="D16" l="1"/>
  <c r="K16" i="7"/>
  <c r="K29" l="1"/>
  <c r="E25"/>
  <c r="K11"/>
  <c r="E33" i="6"/>
  <c r="E43"/>
  <c r="E55" i="5"/>
  <c r="K39" i="6"/>
  <c r="E34" l="1"/>
  <c r="G33"/>
  <c r="I33" s="1"/>
  <c r="G25" i="7"/>
  <c r="I25" s="1"/>
  <c r="E26"/>
  <c r="G43" i="6"/>
  <c r="J43" s="1"/>
  <c r="E35" l="1"/>
  <c r="G34"/>
  <c r="I34" s="1"/>
  <c r="E37"/>
  <c r="E27" i="7"/>
  <c r="G26"/>
  <c r="I26" s="1"/>
  <c r="G37" i="6"/>
  <c r="I37" s="1"/>
  <c r="M43"/>
  <c r="G35" l="1"/>
  <c r="I35" s="1"/>
  <c r="E36"/>
  <c r="E28" i="7"/>
  <c r="G27"/>
  <c r="I27" s="1"/>
  <c r="G36" i="6" l="1"/>
  <c r="I36" s="1"/>
  <c r="G28" i="7"/>
  <c r="I28" s="1"/>
  <c r="I29" l="1"/>
  <c r="I39" i="6"/>
  <c r="G29" i="4" l="1"/>
  <c r="I29" s="1"/>
  <c r="G32"/>
  <c r="I32" s="1"/>
  <c r="G31"/>
  <c r="I31" s="1"/>
  <c r="G30"/>
  <c r="I30" s="1"/>
  <c r="I33" l="1"/>
  <c r="J33" s="1"/>
  <c r="E56" i="5"/>
  <c r="E60"/>
  <c r="G55"/>
  <c r="I55" s="1"/>
  <c r="J55" s="1"/>
  <c r="E58" l="1"/>
  <c r="G56"/>
  <c r="I56" s="1"/>
  <c r="J56" s="1"/>
  <c r="G58"/>
  <c r="I58" s="1"/>
  <c r="J58" s="1"/>
  <c r="E57"/>
  <c r="L33" i="4"/>
  <c r="G60" i="5"/>
  <c r="I60" s="1"/>
  <c r="J60" s="1"/>
  <c r="G57" l="1"/>
  <c r="I57" s="1"/>
  <c r="J57" s="1"/>
  <c r="E59"/>
  <c r="G59" l="1"/>
  <c r="I59" s="1"/>
  <c r="J59" s="1"/>
  <c r="I28" i="1"/>
  <c r="I8"/>
  <c r="I7"/>
  <c r="C17"/>
  <c r="I29"/>
  <c r="I27"/>
  <c r="I26"/>
  <c r="I25"/>
  <c r="I24"/>
  <c r="I23"/>
  <c r="I22"/>
  <c r="I21"/>
  <c r="I9"/>
  <c r="I10"/>
  <c r="I11"/>
  <c r="I12"/>
  <c r="I13"/>
  <c r="I14"/>
  <c r="I15"/>
  <c r="I16"/>
  <c r="I61" i="5" l="1"/>
  <c r="J61" s="1"/>
  <c r="E20"/>
  <c r="E7"/>
  <c r="K18" i="6"/>
  <c r="E11"/>
  <c r="E7"/>
  <c r="E28" i="5" l="1"/>
  <c r="E21"/>
  <c r="E22" i="6"/>
  <c r="E12"/>
  <c r="E29" i="5"/>
  <c r="E11"/>
  <c r="E9" i="6"/>
  <c r="E27" i="5"/>
  <c r="E31"/>
  <c r="E23"/>
  <c r="E30"/>
  <c r="E22"/>
  <c r="E16"/>
  <c r="E10"/>
  <c r="E15"/>
  <c r="E9"/>
  <c r="E14"/>
  <c r="E18"/>
  <c r="E8"/>
  <c r="E12"/>
  <c r="E17"/>
  <c r="E12" i="7"/>
  <c r="E7"/>
  <c r="G10" i="1"/>
  <c r="E25" i="5" l="1"/>
  <c r="G7" i="7"/>
  <c r="I7" s="1"/>
  <c r="G25" i="5"/>
  <c r="I25" s="1"/>
  <c r="E26"/>
  <c r="E13"/>
  <c r="E24"/>
  <c r="E13" i="6"/>
  <c r="G12"/>
  <c r="I12" s="1"/>
  <c r="E8" i="7"/>
  <c r="E13"/>
  <c r="G22" i="6"/>
  <c r="J22" s="1"/>
  <c r="G10" i="5"/>
  <c r="I10" s="1"/>
  <c r="G12"/>
  <c r="I12" s="1"/>
  <c r="G16"/>
  <c r="I16" s="1"/>
  <c r="G24" l="1"/>
  <c r="I24" s="1"/>
  <c r="L7" i="7"/>
  <c r="E9"/>
  <c r="G26" i="5"/>
  <c r="I26" s="1"/>
  <c r="G13"/>
  <c r="I13" s="1"/>
  <c r="E14" i="6"/>
  <c r="E15"/>
  <c r="E14" i="7"/>
  <c r="G13" i="6"/>
  <c r="I13" s="1"/>
  <c r="G27" i="1"/>
  <c r="H27" s="1"/>
  <c r="G29" i="5"/>
  <c r="I29" s="1"/>
  <c r="G28"/>
  <c r="I28" s="1"/>
  <c r="G17"/>
  <c r="I17" s="1"/>
  <c r="G15"/>
  <c r="I15" s="1"/>
  <c r="G14" i="6" l="1"/>
  <c r="I14" s="1"/>
  <c r="E10" i="7"/>
  <c r="G9"/>
  <c r="I9" s="1"/>
  <c r="E16" i="6"/>
  <c r="G15"/>
  <c r="I15" s="1"/>
  <c r="E15" i="7"/>
  <c r="G14"/>
  <c r="I14" s="1"/>
  <c r="J27" i="1"/>
  <c r="G10" i="7"/>
  <c r="L14" l="1"/>
  <c r="L9"/>
  <c r="E17" i="6"/>
  <c r="G15" i="7"/>
  <c r="I15" s="1"/>
  <c r="G13"/>
  <c r="I13" s="1"/>
  <c r="G12"/>
  <c r="I12" s="1"/>
  <c r="I10"/>
  <c r="G8"/>
  <c r="I8" s="1"/>
  <c r="D20" i="1"/>
  <c r="H10"/>
  <c r="G11"/>
  <c r="H11" s="1"/>
  <c r="G12"/>
  <c r="H12" s="1"/>
  <c r="G13"/>
  <c r="H13" s="1"/>
  <c r="G14"/>
  <c r="H14" s="1"/>
  <c r="G15"/>
  <c r="H15" s="1"/>
  <c r="G16"/>
  <c r="H16" s="1"/>
  <c r="D32"/>
  <c r="G23"/>
  <c r="H23" s="1"/>
  <c r="G24"/>
  <c r="H24" s="1"/>
  <c r="G25"/>
  <c r="H25" s="1"/>
  <c r="G26"/>
  <c r="H26" s="1"/>
  <c r="G28"/>
  <c r="H28" s="1"/>
  <c r="G29"/>
  <c r="H29" s="1"/>
  <c r="L15" i="7" l="1"/>
  <c r="L13"/>
  <c r="L12"/>
  <c r="L10"/>
  <c r="L8"/>
  <c r="I11"/>
  <c r="G17" i="6"/>
  <c r="I17" s="1"/>
  <c r="E23"/>
  <c r="I16" i="7"/>
  <c r="J16" i="1"/>
  <c r="J15"/>
  <c r="J14"/>
  <c r="J13"/>
  <c r="J12"/>
  <c r="J11"/>
  <c r="J10"/>
  <c r="D33"/>
  <c r="J29"/>
  <c r="J28"/>
  <c r="J26"/>
  <c r="J25"/>
  <c r="J24"/>
  <c r="J23"/>
  <c r="L16" i="7" l="1"/>
  <c r="L11"/>
  <c r="C30" i="1"/>
  <c r="G23" i="6"/>
  <c r="J23" s="1"/>
  <c r="G16"/>
  <c r="I16" s="1"/>
  <c r="G11"/>
  <c r="I11" s="1"/>
  <c r="G9"/>
  <c r="I9" s="1"/>
  <c r="G7"/>
  <c r="I7" s="1"/>
  <c r="G31" i="5"/>
  <c r="I31" s="1"/>
  <c r="G30"/>
  <c r="I30" s="1"/>
  <c r="G27"/>
  <c r="I27" s="1"/>
  <c r="G23"/>
  <c r="G22"/>
  <c r="I22" s="1"/>
  <c r="G21"/>
  <c r="I21" s="1"/>
  <c r="G20"/>
  <c r="I20" s="1"/>
  <c r="G18"/>
  <c r="I18" s="1"/>
  <c r="G14"/>
  <c r="I14" s="1"/>
  <c r="G9"/>
  <c r="I9" s="1"/>
  <c r="G11"/>
  <c r="G8"/>
  <c r="I8" s="1"/>
  <c r="G7"/>
  <c r="I7" s="1"/>
  <c r="G8" i="4"/>
  <c r="I8" s="1"/>
  <c r="G7"/>
  <c r="I7" s="1"/>
  <c r="G15"/>
  <c r="I15" s="1"/>
  <c r="G14"/>
  <c r="I14" s="1"/>
  <c r="G13"/>
  <c r="I13" s="1"/>
  <c r="G12"/>
  <c r="I12" s="1"/>
  <c r="G9"/>
  <c r="I9" s="1"/>
  <c r="G10"/>
  <c r="I10" s="1"/>
  <c r="L11" i="6" l="1"/>
  <c r="M23"/>
  <c r="M22"/>
  <c r="I18"/>
  <c r="I17" i="4"/>
  <c r="J17" s="1"/>
  <c r="L17" s="1"/>
  <c r="I10" i="6"/>
  <c r="I11" i="4"/>
  <c r="J11" s="1"/>
  <c r="I23" i="5"/>
  <c r="I32" s="1"/>
  <c r="I11"/>
  <c r="I19" s="1"/>
  <c r="I16" i="4" l="1"/>
  <c r="G7" i="1" l="1"/>
  <c r="H7" s="1"/>
  <c r="L11" i="4" l="1"/>
  <c r="J7" i="1"/>
  <c r="G22"/>
  <c r="H22" s="1"/>
  <c r="J22" s="1"/>
  <c r="G9"/>
  <c r="H9" s="1"/>
  <c r="G8"/>
  <c r="H8" s="1"/>
  <c r="J9" l="1"/>
  <c r="J8"/>
  <c r="G21"/>
  <c r="H21" s="1"/>
  <c r="J21" s="1"/>
  <c r="J30" s="1"/>
  <c r="K30" s="1"/>
  <c r="M30" l="1"/>
  <c r="J17"/>
  <c r="K17" s="1"/>
  <c r="M17" l="1"/>
</calcChain>
</file>

<file path=xl/sharedStrings.xml><?xml version="1.0" encoding="utf-8"?>
<sst xmlns="http://schemas.openxmlformats.org/spreadsheetml/2006/main" count="352" uniqueCount="106">
  <si>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</si>
  <si>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</si>
  <si>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</si>
  <si>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</si>
  <si>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</si>
  <si>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</si>
  <si>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</si>
  <si>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</si>
  <si>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</si>
  <si>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</si>
  <si>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</si>
  <si>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</si>
  <si>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</si>
  <si>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СЮТ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</si>
  <si>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</si>
  <si>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</si>
  <si>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</si>
  <si>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</si>
  <si>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</si>
  <si>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</si>
  <si>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</si>
  <si>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</si>
  <si>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</si>
  <si>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</si>
  <si>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</si>
  <si>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</si>
  <si>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</si>
  <si>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</si>
  <si>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</si>
  <si>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</si>
  <si>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</si>
  <si>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</si>
  <si>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</si>
  <si>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</si>
  <si>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</si>
  <si>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</si>
  <si>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</si>
  <si>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</si>
  <si>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</si>
  <si>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</si>
  <si>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Возмещение расходов на содержание общего имущества жилого дома</t>
  </si>
  <si>
    <t>Обслуживание аварийного освещения</t>
  </si>
  <si>
    <t>Промывка, опресовка теплосетей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</si>
  <si>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</si>
  <si>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</si>
  <si>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</si>
  <si>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</si>
  <si>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автострахование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</si>
  <si>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</si>
  <si>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</si>
  <si>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</si>
  <si>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</si>
  <si>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</si>
  <si>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Директор</t>
  </si>
  <si>
    <t>Зам.директора</t>
  </si>
  <si>
    <t>завхоз</t>
  </si>
  <si>
    <t>костюмер</t>
  </si>
  <si>
    <t>делопроизводитель</t>
  </si>
  <si>
    <t>гардеробщик</t>
  </si>
  <si>
    <t>уборщик служебного помещения</t>
  </si>
  <si>
    <t>рабочий по комплексному обслуживанию здания</t>
  </si>
  <si>
    <t>сторож</t>
  </si>
  <si>
    <t>дворник</t>
  </si>
  <si>
    <t>техник по эксплуатации и ремонту спортивной техники</t>
  </si>
  <si>
    <t>оператор ЭВМ</t>
  </si>
  <si>
    <t>водитель</t>
  </si>
  <si>
    <t>ремонтировщик плоскостных сооружений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</si>
  <si>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</si>
  <si>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</si>
  <si>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</si>
  <si>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</si>
  <si>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</si>
  <si>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Тариф (цена 1 кв.м.), руб.</t>
  </si>
  <si>
    <t>Хозтовары</t>
  </si>
  <si>
    <t>Обучение персонала</t>
  </si>
  <si>
    <t>техосмотр и диагностика атотр.средств</t>
  </si>
  <si>
    <t>норма</t>
  </si>
  <si>
    <t>бюджет</t>
  </si>
  <si>
    <t>ремонт орг.техники</t>
  </si>
  <si>
    <t>запасные части</t>
  </si>
  <si>
    <t>заправка огнетушителей</t>
  </si>
  <si>
    <t>Обслуживание системы "Стрелец Мониторинг"</t>
  </si>
  <si>
    <t>6=гр.5/человеко/час</t>
  </si>
  <si>
    <t>Время использования имущ.комплекса на 1человеко/час</t>
  </si>
  <si>
    <t>ДШ</t>
  </si>
  <si>
    <t>Показатель объема, человеко - часы</t>
  </si>
  <si>
    <t>аккарицидная обработка, обсл.территории на закл.</t>
  </si>
  <si>
    <t>приобрретение ЭЦП</t>
  </si>
  <si>
    <t>вахтер</t>
  </si>
  <si>
    <t>УСЛУГА "Организация отдыха детей и молодежи"</t>
  </si>
  <si>
    <t>Спутник</t>
  </si>
  <si>
    <t>Лабораторные исследования</t>
  </si>
  <si>
    <t>спутник</t>
  </si>
  <si>
    <t>тех.обслуживание</t>
  </si>
  <si>
    <t>ГСМ</t>
  </si>
  <si>
    <t>Антифриз, масло</t>
  </si>
  <si>
    <t>обслуживание системы ГЛОНАСС</t>
  </si>
  <si>
    <t>Приобретение угля</t>
  </si>
  <si>
    <t>Медицинское освидетельствование</t>
  </si>
  <si>
    <t>Обслуживание камер видеонаблюдения</t>
  </si>
  <si>
    <t>54353 и 38312 объем услуги на 2021 год</t>
  </si>
  <si>
    <t>449 объем услуги на 2020 год</t>
  </si>
  <si>
    <r>
      <t>Общее полезное время использования: 1) 248*8*(449/</t>
    </r>
    <r>
      <rPr>
        <b/>
        <sz val="12"/>
        <color rgb="FFFF0000"/>
        <rFont val="Calibri"/>
        <family val="2"/>
        <charset val="204"/>
        <scheme val="minor"/>
      </rPr>
      <t>1979</t>
    </r>
    <r>
      <rPr>
        <b/>
        <sz val="12"/>
        <color theme="1"/>
        <rFont val="Calibri"/>
        <family val="2"/>
        <charset val="204"/>
        <scheme val="minor"/>
      </rPr>
      <t>) =1984*</t>
    </r>
    <r>
      <rPr>
        <b/>
        <sz val="12"/>
        <color rgb="FFFF0000"/>
        <rFont val="Calibri"/>
        <family val="2"/>
        <charset val="204"/>
        <scheme val="minor"/>
      </rPr>
      <t>0,22688</t>
    </r>
    <r>
      <rPr>
        <b/>
        <sz val="12"/>
        <color theme="1"/>
        <rFont val="Calibri"/>
        <family val="2"/>
        <charset val="204"/>
        <scheme val="minor"/>
      </rPr>
      <t>=450,13</t>
    </r>
  </si>
  <si>
    <t>Время использования имущественного комплекса на 1 уч.: 1)450,13/449=1,00252</t>
  </si>
  <si>
    <r>
      <t>Общее полезное время использования: 1) 248*8*(54353/</t>
    </r>
    <r>
      <rPr>
        <b/>
        <sz val="12"/>
        <color rgb="FFFF0000"/>
        <rFont val="Calibri"/>
        <family val="2"/>
        <charset val="204"/>
        <scheme val="minor"/>
      </rPr>
      <t>1979</t>
    </r>
    <r>
      <rPr>
        <b/>
        <sz val="12"/>
        <color theme="1"/>
        <rFont val="Calibri"/>
        <family val="2"/>
        <charset val="204"/>
        <scheme val="minor"/>
      </rPr>
      <t>) =1984*</t>
    </r>
    <r>
      <rPr>
        <b/>
        <sz val="12"/>
        <color rgb="FFFF0000"/>
        <rFont val="Calibri"/>
        <family val="2"/>
        <charset val="204"/>
        <scheme val="minor"/>
      </rPr>
      <t>27,46</t>
    </r>
    <r>
      <rPr>
        <b/>
        <sz val="12"/>
        <color theme="1"/>
        <rFont val="Calibri"/>
        <family val="2"/>
        <charset val="204"/>
        <scheme val="minor"/>
      </rPr>
      <t>=54480,64; 2) 247*8*(</t>
    </r>
    <r>
      <rPr>
        <b/>
        <sz val="12"/>
        <color rgb="FFFF0000"/>
        <rFont val="Calibri"/>
        <family val="2"/>
        <charset val="204"/>
        <scheme val="minor"/>
      </rPr>
      <t>38312/1979</t>
    </r>
    <r>
      <rPr>
        <b/>
        <sz val="12"/>
        <color theme="1"/>
        <rFont val="Calibri"/>
        <family val="2"/>
        <charset val="204"/>
        <scheme val="minor"/>
      </rPr>
      <t>)=1984*</t>
    </r>
    <r>
      <rPr>
        <b/>
        <sz val="12"/>
        <color rgb="FFFF0000"/>
        <rFont val="Calibri"/>
        <family val="2"/>
        <charset val="204"/>
        <scheme val="minor"/>
      </rPr>
      <t>19,36</t>
    </r>
    <r>
      <rPr>
        <b/>
        <sz val="12"/>
        <color theme="1"/>
        <rFont val="Calibri"/>
        <family val="2"/>
        <charset val="204"/>
        <scheme val="minor"/>
      </rPr>
      <t>=38410,24</t>
    </r>
  </si>
  <si>
    <t>Время использования имущественного комплекса на 1 уч.: 1)54480,64/54353=1,0023; 2) 38410,24/38312= 1,0026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</si>
</sst>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00"/>
    <numFmt numFmtId="166" formatCode="0.0"/>
    <numFmt numFmtId="167" formatCode="0.0000000"/>
    <numFmt numFmtId="168" formatCode="0.0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0" fillId="0" borderId="3" xfId="0" applyBorder="1"/>
    <xf numFmtId="0" fontId="1" fillId="0" borderId="3" xfId="0" applyFont="1" applyBorder="1"/>
    <xf numFmtId="2" fontId="0" fillId="0" borderId="3" xfId="0" applyNumberFormat="1" applyBorder="1"/>
    <xf numFmtId="2" fontId="1" fillId="0" borderId="3" xfId="0" applyNumberFormat="1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1" fontId="0" fillId="0" borderId="1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0" fillId="0" borderId="14" xfId="0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7" fillId="0" borderId="0" xfId="0" applyFont="1"/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4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166" fontId="1" fillId="0" borderId="0" xfId="0" applyNumberFormat="1" applyFont="1"/>
    <xf numFmtId="2" fontId="3" fillId="0" borderId="2" xfId="0" applyNumberFormat="1" applyFont="1" applyBorder="1"/>
    <xf numFmtId="2" fontId="2" fillId="0" borderId="2" xfId="0" applyNumberFormat="1" applyFont="1" applyBorder="1"/>
    <xf numFmtId="0" fontId="1" fillId="0" borderId="16" xfId="0" applyFont="1" applyBorder="1" applyAlignment="1">
      <alignment wrapText="1"/>
    </xf>
    <xf numFmtId="167" fontId="0" fillId="0" borderId="5" xfId="0" applyNumberFormat="1" applyBorder="1" applyAlignment="1">
      <alignment horizontal="center"/>
    </xf>
    <xf numFmtId="167" fontId="0" fillId="0" borderId="1" xfId="0" applyNumberFormat="1" applyBorder="1" applyAlignment="1">
      <alignment horizontal="center"/>
    </xf>
    <xf numFmtId="0" fontId="1" fillId="0" borderId="3" xfId="0" applyFont="1" applyBorder="1" applyAlignment="1">
      <alignment wrapText="1"/>
    </xf>
    <xf numFmtId="167" fontId="0" fillId="0" borderId="3" xfId="0" applyNumberFormat="1" applyBorder="1" applyAlignment="1">
      <alignment horizontal="center"/>
    </xf>
    <xf numFmtId="0" fontId="1" fillId="0" borderId="16" xfId="0" applyFont="1" applyBorder="1"/>
    <xf numFmtId="2" fontId="9" fillId="0" borderId="1" xfId="0" applyNumberFormat="1" applyFont="1" applyBorder="1"/>
    <xf numFmtId="0" fontId="5" fillId="0" borderId="10" xfId="0" applyFont="1" applyBorder="1" applyAlignment="1">
      <alignment horizontal="center" wrapText="1"/>
    </xf>
    <xf numFmtId="0" fontId="3" fillId="0" borderId="0" xfId="0" applyFont="1"/>
    <xf numFmtId="0" fontId="1" fillId="2" borderId="3" xfId="0" applyFont="1" applyFill="1" applyBorder="1"/>
    <xf numFmtId="165" fontId="1" fillId="2" borderId="3" xfId="0" applyNumberFormat="1" applyFont="1" applyFill="1" applyBorder="1"/>
    <xf numFmtId="0" fontId="1" fillId="2" borderId="10" xfId="0" applyFont="1" applyFill="1" applyBorder="1"/>
    <xf numFmtId="165" fontId="1" fillId="2" borderId="1" xfId="0" applyNumberFormat="1" applyFont="1" applyFill="1" applyBorder="1"/>
    <xf numFmtId="168" fontId="2" fillId="0" borderId="1" xfId="0" applyNumberFormat="1" applyFont="1" applyBorder="1"/>
    <xf numFmtId="0" fontId="1" fillId="2" borderId="2" xfId="0" applyFont="1" applyFill="1" applyBorder="1"/>
    <xf numFmtId="0" fontId="1" fillId="3" borderId="5" xfId="0" applyFont="1" applyFill="1" applyBorder="1"/>
    <xf numFmtId="0" fontId="1" fillId="3" borderId="1" xfId="0" applyFont="1" applyFill="1" applyBorder="1"/>
    <xf numFmtId="2" fontId="1" fillId="3" borderId="0" xfId="0" applyNumberFormat="1" applyFont="1" applyFill="1"/>
    <xf numFmtId="0" fontId="1" fillId="3" borderId="0" xfId="0" applyFont="1" applyFill="1"/>
    <xf numFmtId="0" fontId="10" fillId="0" borderId="0" xfId="0" applyFont="1"/>
    <xf numFmtId="0" fontId="11" fillId="0" borderId="0" xfId="0" applyFont="1"/>
    <xf numFmtId="0" fontId="9" fillId="0" borderId="0" xfId="0" applyFont="1"/>
    <xf numFmtId="165" fontId="1" fillId="0" borderId="13" xfId="0" applyNumberFormat="1" applyFont="1" applyBorder="1"/>
    <xf numFmtId="165" fontId="2" fillId="0" borderId="11" xfId="0" applyNumberFormat="1" applyFont="1" applyBorder="1"/>
    <xf numFmtId="165" fontId="1" fillId="0" borderId="8" xfId="0" applyNumberFormat="1" applyFont="1" applyBorder="1"/>
    <xf numFmtId="165" fontId="1" fillId="0" borderId="6" xfId="0" applyNumberFormat="1" applyFont="1" applyBorder="1"/>
    <xf numFmtId="165" fontId="2" fillId="0" borderId="15" xfId="0" applyNumberFormat="1" applyFont="1" applyBorder="1"/>
    <xf numFmtId="165" fontId="2" fillId="0" borderId="3" xfId="0" applyNumberFormat="1" applyFont="1" applyBorder="1"/>
    <xf numFmtId="165" fontId="2" fillId="0" borderId="1" xfId="0" applyNumberFormat="1" applyFont="1" applyBorder="1"/>
    <xf numFmtId="0" fontId="1" fillId="4" borderId="0" xfId="0" applyFont="1" applyFill="1"/>
    <xf numFmtId="2" fontId="1" fillId="4" borderId="0" xfId="0" applyNumberFormat="1" applyFont="1" applyFill="1"/>
    <xf numFmtId="166" fontId="1" fillId="4" borderId="0" xfId="0" applyNumberFormat="1" applyFont="1" applyFill="1"/>
    <xf numFmtId="166" fontId="1" fillId="3" borderId="0" xfId="0" applyNumberFormat="1" applyFont="1" applyFill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S37"/>
  <sheetViews>
    <sheetView workbookViewId="0">
      <selection activeCell="K17" sqref="K17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1.85546875" style="1" customWidth="1"/>
    <col min="5" max="5" width="13.85546875" style="1" customWidth="1"/>
    <col min="6" max="6" width="13.42578125" style="1" customWidth="1"/>
    <col min="7" max="7" width="12.5703125" customWidth="1"/>
    <col min="8" max="8" width="10.5703125" customWidth="1"/>
    <col min="9" max="10" width="10.85546875" style="1" customWidth="1"/>
    <col min="11" max="11" width="10.140625" style="1" customWidth="1"/>
    <col min="12" max="12" width="9.140625" style="1" customWidth="1"/>
    <col min="13" max="19" width="9.140625" style="1"/>
  </cols>
  <sheetData>
    <row r="1" spans="1:12">
      <c r="A1" s="3" t="s">
        <v>3</v>
      </c>
    </row>
    <row r="3" spans="1:12" ht="15" customHeight="1">
      <c r="A3" s="91" t="s">
        <v>19</v>
      </c>
      <c r="B3" s="91"/>
      <c r="C3" s="91"/>
      <c r="D3" s="91"/>
      <c r="E3" s="91"/>
      <c r="F3" s="91"/>
      <c r="G3" s="91"/>
      <c r="H3" s="91"/>
      <c r="I3" s="91"/>
    </row>
    <row r="4" spans="1:12" ht="15.75" thickBot="1"/>
    <row r="5" spans="1:12" ht="105">
      <c r="A5" s="29" t="s">
        <v>2</v>
      </c>
      <c r="B5" s="30" t="s">
        <v>20</v>
      </c>
      <c r="C5" s="30" t="s">
        <v>15</v>
      </c>
      <c r="D5" s="30" t="s">
        <v>17</v>
      </c>
      <c r="E5" s="30" t="s">
        <v>28</v>
      </c>
      <c r="F5" s="30" t="s">
        <v>83</v>
      </c>
      <c r="G5" s="30" t="s">
        <v>29</v>
      </c>
      <c r="H5" s="30" t="s">
        <v>30</v>
      </c>
      <c r="I5" s="31" t="s">
        <v>11</v>
      </c>
      <c r="J5" s="2" t="s">
        <v>33</v>
      </c>
      <c r="K5" s="2" t="s">
        <v>34</v>
      </c>
      <c r="L5" s="2"/>
    </row>
    <row r="6" spans="1:12" ht="25.5" thickBot="1">
      <c r="A6" s="32">
        <v>1</v>
      </c>
      <c r="B6" s="33">
        <v>2</v>
      </c>
      <c r="C6" s="33">
        <v>3</v>
      </c>
      <c r="D6" s="33">
        <v>4</v>
      </c>
      <c r="E6" s="33">
        <v>5</v>
      </c>
      <c r="F6" s="65" t="s">
        <v>82</v>
      </c>
      <c r="G6" s="33" t="s">
        <v>31</v>
      </c>
      <c r="H6" s="34">
        <v>8</v>
      </c>
      <c r="I6" s="35" t="s">
        <v>32</v>
      </c>
    </row>
    <row r="7" spans="1:12">
      <c r="A7" s="28" t="s">
        <v>84</v>
      </c>
      <c r="B7" s="14" t="s">
        <v>21</v>
      </c>
      <c r="C7" s="42" t="s">
        <v>25</v>
      </c>
      <c r="D7" s="14">
        <v>11000</v>
      </c>
      <c r="E7" s="67">
        <v>54480.639999999999</v>
      </c>
      <c r="F7" s="68">
        <v>1.0023</v>
      </c>
      <c r="G7" s="47">
        <f>D7/E7*F7</f>
        <v>0.20237097067875853</v>
      </c>
      <c r="H7" s="15">
        <v>7.6466200000000004</v>
      </c>
      <c r="I7" s="80">
        <f>H7*G7</f>
        <v>1.5474539118116086</v>
      </c>
    </row>
    <row r="8" spans="1:12">
      <c r="A8" s="21"/>
      <c r="B8" s="7" t="s">
        <v>22</v>
      </c>
      <c r="C8" s="43" t="s">
        <v>26</v>
      </c>
      <c r="D8" s="7">
        <v>525.56259999999997</v>
      </c>
      <c r="E8" s="67">
        <f>E7</f>
        <v>54480.639999999999</v>
      </c>
      <c r="F8" s="68">
        <v>1.0023</v>
      </c>
      <c r="G8" s="47">
        <f>D8/E8*F8</f>
        <v>9.6689648649501917E-3</v>
      </c>
      <c r="H8" s="8">
        <v>1690.46</v>
      </c>
      <c r="I8" s="80">
        <f t="shared" ref="I8:I10" si="0">H8*G8</f>
        <v>16.344998345603702</v>
      </c>
    </row>
    <row r="9" spans="1:12">
      <c r="A9" s="39"/>
      <c r="B9" s="40" t="s">
        <v>23</v>
      </c>
      <c r="C9" s="44" t="s">
        <v>27</v>
      </c>
      <c r="D9" s="40">
        <v>229</v>
      </c>
      <c r="E9" s="67">
        <f t="shared" ref="E9:E10" si="1">E8</f>
        <v>54480.639999999999</v>
      </c>
      <c r="F9" s="68">
        <v>1.0023</v>
      </c>
      <c r="G9" s="47">
        <f t="shared" ref="G9:G10" si="2">D9/E9*F9</f>
        <v>4.2129956623123367E-3</v>
      </c>
      <c r="H9" s="41">
        <v>40.96</v>
      </c>
      <c r="I9" s="80">
        <f t="shared" si="0"/>
        <v>0.17256430232831332</v>
      </c>
    </row>
    <row r="10" spans="1:12">
      <c r="A10" s="39"/>
      <c r="B10" s="40" t="s">
        <v>24</v>
      </c>
      <c r="C10" s="44" t="s">
        <v>27</v>
      </c>
      <c r="D10" s="40">
        <v>229</v>
      </c>
      <c r="E10" s="67">
        <f t="shared" si="1"/>
        <v>54480.639999999999</v>
      </c>
      <c r="F10" s="68">
        <v>1.0023</v>
      </c>
      <c r="G10" s="47">
        <f t="shared" si="2"/>
        <v>4.2129956623123367E-3</v>
      </c>
      <c r="H10" s="41">
        <v>59.65</v>
      </c>
      <c r="I10" s="80">
        <f t="shared" si="0"/>
        <v>0.2513051912569309</v>
      </c>
    </row>
    <row r="11" spans="1:12" s="1" customFormat="1" ht="15.75" thickBot="1">
      <c r="A11" s="22"/>
      <c r="B11" s="23"/>
      <c r="C11" s="23"/>
      <c r="D11" s="23"/>
      <c r="E11" s="69"/>
      <c r="F11" s="72"/>
      <c r="G11" s="48"/>
      <c r="H11" s="27"/>
      <c r="I11" s="81">
        <f>SUM(I7:I10)</f>
        <v>18.316321751000558</v>
      </c>
      <c r="J11" s="76">
        <f>I11*54353</f>
        <v>995547.03613213333</v>
      </c>
      <c r="K11" s="90">
        <v>995547</v>
      </c>
      <c r="L11" s="1">
        <f>K11-J11</f>
        <v>-3.6132133333012462E-2</v>
      </c>
    </row>
    <row r="12" spans="1:12" s="1" customFormat="1">
      <c r="A12" s="17" t="s">
        <v>13</v>
      </c>
      <c r="B12" s="14" t="s">
        <v>21</v>
      </c>
      <c r="C12" s="42" t="s">
        <v>25</v>
      </c>
      <c r="D12" s="18"/>
      <c r="E12" s="67">
        <v>38410.239999999998</v>
      </c>
      <c r="F12" s="70">
        <v>1.0025999999999999</v>
      </c>
      <c r="G12" s="47">
        <f>D12/E12*F12</f>
        <v>0</v>
      </c>
      <c r="H12" s="15">
        <v>7.6466200000000004</v>
      </c>
      <c r="I12" s="80">
        <f>H12*G12</f>
        <v>0</v>
      </c>
    </row>
    <row r="13" spans="1:12" s="1" customFormat="1">
      <c r="A13" s="21"/>
      <c r="B13" s="7" t="s">
        <v>22</v>
      </c>
      <c r="C13" s="43" t="s">
        <v>26</v>
      </c>
      <c r="D13" s="7">
        <f>185.604</f>
        <v>185.60400000000001</v>
      </c>
      <c r="E13" s="67">
        <f>E12</f>
        <v>38410.239999999998</v>
      </c>
      <c r="F13" s="70">
        <v>1.0025999999999999</v>
      </c>
      <c r="G13" s="47">
        <f t="shared" ref="G13:G15" si="3">D13/E13*F13</f>
        <v>4.8447125141628895E-3</v>
      </c>
      <c r="H13" s="8">
        <v>1690.46</v>
      </c>
      <c r="I13" s="80">
        <f>H13*G13</f>
        <v>8.1897927166917981</v>
      </c>
    </row>
    <row r="14" spans="1:12" s="1" customFormat="1">
      <c r="A14" s="21"/>
      <c r="B14" s="40" t="s">
        <v>23</v>
      </c>
      <c r="C14" s="44" t="s">
        <v>27</v>
      </c>
      <c r="D14" s="7"/>
      <c r="E14" s="67">
        <f t="shared" ref="E14:E15" si="4">E13</f>
        <v>38410.239999999998</v>
      </c>
      <c r="F14" s="70">
        <v>1.0025999999999999</v>
      </c>
      <c r="G14" s="47">
        <f t="shared" si="3"/>
        <v>0</v>
      </c>
      <c r="H14" s="41">
        <v>40.96</v>
      </c>
      <c r="I14" s="80">
        <f t="shared" ref="I14:I15" si="5">H14*G14</f>
        <v>0</v>
      </c>
    </row>
    <row r="15" spans="1:12" s="1" customFormat="1">
      <c r="A15" s="21"/>
      <c r="B15" s="40" t="s">
        <v>24</v>
      </c>
      <c r="C15" s="44" t="s">
        <v>27</v>
      </c>
      <c r="D15" s="7"/>
      <c r="E15" s="67">
        <f t="shared" si="4"/>
        <v>38410.239999999998</v>
      </c>
      <c r="F15" s="70">
        <v>1.0025999999999999</v>
      </c>
      <c r="G15" s="47">
        <f t="shared" si="3"/>
        <v>0</v>
      </c>
      <c r="H15" s="41">
        <v>59.65</v>
      </c>
      <c r="I15" s="80">
        <f t="shared" si="5"/>
        <v>0</v>
      </c>
    </row>
    <row r="16" spans="1:12" s="1" customFormat="1">
      <c r="A16" s="21"/>
      <c r="B16" s="7"/>
      <c r="C16" s="7"/>
      <c r="D16" s="7"/>
      <c r="E16" s="7"/>
      <c r="F16" s="9"/>
      <c r="G16" s="26"/>
      <c r="H16" s="8"/>
      <c r="I16" s="82">
        <f t="shared" ref="I16" si="6">F16*H16</f>
        <v>0</v>
      </c>
    </row>
    <row r="17" spans="1:19" s="1" customFormat="1" ht="15.75" thickBot="1">
      <c r="A17" s="22"/>
      <c r="B17" s="23"/>
      <c r="C17" s="25"/>
      <c r="D17" s="23"/>
      <c r="E17" s="23"/>
      <c r="F17" s="23"/>
      <c r="G17" s="36"/>
      <c r="H17" s="27"/>
      <c r="I17" s="81">
        <f>SUM(I12:I16)</f>
        <v>8.1897927166917981</v>
      </c>
      <c r="J17" s="75">
        <f>I17*38312</f>
        <v>313767.33856189618</v>
      </c>
      <c r="K17" s="76">
        <v>313767</v>
      </c>
      <c r="L17" s="4">
        <f>K17-J17</f>
        <v>-0.33856189617654309</v>
      </c>
    </row>
    <row r="19" spans="1:19" ht="15.75">
      <c r="A19" s="45" t="s">
        <v>104</v>
      </c>
    </row>
    <row r="20" spans="1:19" ht="15.75">
      <c r="A20" s="45" t="s">
        <v>105</v>
      </c>
    </row>
    <row r="21" spans="1:19">
      <c r="A21" s="66" t="s">
        <v>100</v>
      </c>
    </row>
    <row r="23" spans="1:19" s="79" customFormat="1">
      <c r="A23" s="77" t="s">
        <v>89</v>
      </c>
      <c r="B23" s="78"/>
      <c r="C23" s="78"/>
      <c r="D23" s="78"/>
      <c r="E23" s="78"/>
      <c r="F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</row>
    <row r="25" spans="1:19" ht="15" customHeight="1">
      <c r="A25" s="91" t="s">
        <v>19</v>
      </c>
      <c r="B25" s="91"/>
      <c r="C25" s="91"/>
      <c r="D25" s="91"/>
      <c r="E25" s="91"/>
      <c r="F25" s="91"/>
      <c r="G25" s="91"/>
      <c r="H25" s="91"/>
      <c r="I25" s="91"/>
    </row>
    <row r="26" spans="1:19" ht="15.75" thickBot="1"/>
    <row r="27" spans="1:19" ht="105">
      <c r="A27" s="29" t="s">
        <v>2</v>
      </c>
      <c r="B27" s="30" t="s">
        <v>20</v>
      </c>
      <c r="C27" s="30" t="s">
        <v>15</v>
      </c>
      <c r="D27" s="30" t="s">
        <v>17</v>
      </c>
      <c r="E27" s="30" t="s">
        <v>28</v>
      </c>
      <c r="F27" s="30" t="s">
        <v>83</v>
      </c>
      <c r="G27" s="30" t="s">
        <v>29</v>
      </c>
      <c r="H27" s="30" t="s">
        <v>30</v>
      </c>
      <c r="I27" s="31" t="s">
        <v>11</v>
      </c>
      <c r="J27" s="2" t="s">
        <v>33</v>
      </c>
      <c r="K27" s="2" t="s">
        <v>34</v>
      </c>
      <c r="L27" s="2"/>
    </row>
    <row r="28" spans="1:19" ht="25.5" thickBot="1">
      <c r="A28" s="32">
        <v>1</v>
      </c>
      <c r="B28" s="33">
        <v>2</v>
      </c>
      <c r="C28" s="33">
        <v>3</v>
      </c>
      <c r="D28" s="33">
        <v>4</v>
      </c>
      <c r="E28" s="33">
        <v>5</v>
      </c>
      <c r="F28" s="65" t="s">
        <v>82</v>
      </c>
      <c r="G28" s="33" t="s">
        <v>31</v>
      </c>
      <c r="H28" s="34">
        <v>8</v>
      </c>
      <c r="I28" s="35" t="s">
        <v>32</v>
      </c>
    </row>
    <row r="29" spans="1:19">
      <c r="A29" s="28" t="s">
        <v>84</v>
      </c>
      <c r="B29" s="14" t="s">
        <v>21</v>
      </c>
      <c r="C29" s="42" t="s">
        <v>25</v>
      </c>
      <c r="D29" s="14">
        <f>42000+469.61</f>
        <v>42469.61</v>
      </c>
      <c r="E29" s="67">
        <v>450.13</v>
      </c>
      <c r="F29" s="68">
        <v>1.0025200000000001</v>
      </c>
      <c r="G29" s="47">
        <f>D29/E29*F29</f>
        <v>94.587415673694281</v>
      </c>
      <c r="H29" s="15">
        <v>7.6466200000000004</v>
      </c>
      <c r="I29" s="80">
        <f>H29*G29</f>
        <v>723.27402443878418</v>
      </c>
    </row>
    <row r="30" spans="1:19">
      <c r="A30" s="21">
        <v>449</v>
      </c>
      <c r="B30" s="7" t="s">
        <v>22</v>
      </c>
      <c r="C30" s="43" t="s">
        <v>26</v>
      </c>
      <c r="D30" s="7"/>
      <c r="E30" s="67">
        <v>450.13</v>
      </c>
      <c r="F30" s="68">
        <v>1.0025200000000001</v>
      </c>
      <c r="G30" s="47">
        <f>D30/E30*F30</f>
        <v>0</v>
      </c>
      <c r="H30" s="8"/>
      <c r="I30" s="80">
        <f t="shared" ref="I30:I32" si="7">H30*G30</f>
        <v>0</v>
      </c>
    </row>
    <row r="31" spans="1:19">
      <c r="A31" s="39"/>
      <c r="B31" s="40" t="s">
        <v>23</v>
      </c>
      <c r="C31" s="44" t="s">
        <v>27</v>
      </c>
      <c r="D31" s="40"/>
      <c r="E31" s="67">
        <v>450.13</v>
      </c>
      <c r="F31" s="68">
        <v>1.0025200000000001</v>
      </c>
      <c r="G31" s="47">
        <f t="shared" ref="G31:G32" si="8">D31/E31*F31</f>
        <v>0</v>
      </c>
      <c r="H31" s="41"/>
      <c r="I31" s="80">
        <f t="shared" si="7"/>
        <v>0</v>
      </c>
    </row>
    <row r="32" spans="1:19">
      <c r="A32" s="39"/>
      <c r="B32" s="40" t="s">
        <v>24</v>
      </c>
      <c r="C32" s="44" t="s">
        <v>27</v>
      </c>
      <c r="D32" s="40"/>
      <c r="E32" s="67">
        <v>450.13</v>
      </c>
      <c r="F32" s="68">
        <v>1.0025200000000001</v>
      </c>
      <c r="G32" s="47">
        <f t="shared" si="8"/>
        <v>0</v>
      </c>
      <c r="H32" s="41"/>
      <c r="I32" s="80">
        <f t="shared" si="7"/>
        <v>0</v>
      </c>
    </row>
    <row r="33" spans="1:12" s="1" customFormat="1" ht="15.75" thickBot="1">
      <c r="A33" s="22"/>
      <c r="B33" s="23"/>
      <c r="C33" s="23"/>
      <c r="D33" s="23"/>
      <c r="E33" s="69"/>
      <c r="F33" s="72"/>
      <c r="G33" s="48"/>
      <c r="H33" s="27"/>
      <c r="I33" s="81">
        <f>SUM(I29:I32)</f>
        <v>723.27402443878418</v>
      </c>
      <c r="J33" s="76">
        <f>I33*449</f>
        <v>324750.03697301412</v>
      </c>
      <c r="K33" s="90">
        <v>324750</v>
      </c>
      <c r="L33" s="1">
        <f>K33-J33</f>
        <v>-3.6973014124669135E-2</v>
      </c>
    </row>
    <row r="35" spans="1:12" ht="15.75">
      <c r="A35" s="45" t="s">
        <v>102</v>
      </c>
      <c r="J35" s="1">
        <v>324749.65700000001</v>
      </c>
      <c r="K35" s="1">
        <v>324750</v>
      </c>
    </row>
    <row r="36" spans="1:12" ht="15.75">
      <c r="A36" s="45" t="s">
        <v>103</v>
      </c>
    </row>
    <row r="37" spans="1:12">
      <c r="A37" s="66" t="s">
        <v>101</v>
      </c>
    </row>
  </sheetData>
  <mergeCells count="2">
    <mergeCell ref="A3:I3"/>
    <mergeCell ref="A25:I25"/>
  </mergeCells>
  <pageMargins left="0.31496062992125984" right="0" top="0.35433070866141736" bottom="0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S61"/>
  <sheetViews>
    <sheetView tabSelected="1" workbookViewId="0">
      <selection activeCell="H18" sqref="H18"/>
    </sheetView>
  </sheetViews>
  <sheetFormatPr defaultRowHeight="15"/>
  <cols>
    <col min="1" max="1" width="8.85546875" customWidth="1"/>
    <col min="2" max="2" width="40.42578125" style="1" customWidth="1"/>
    <col min="3" max="3" width="13.42578125" style="1" customWidth="1"/>
    <col min="4" max="4" width="8.28515625" style="1" customWidth="1"/>
    <col min="5" max="5" width="11.42578125" style="1" customWidth="1"/>
    <col min="6" max="6" width="13.5703125" style="1" customWidth="1"/>
    <col min="7" max="7" width="14.5703125" customWidth="1"/>
    <col min="8" max="8" width="10.85546875" style="1" customWidth="1"/>
    <col min="9" max="9" width="11.42578125" style="1" customWidth="1"/>
    <col min="10" max="10" width="11.7109375" style="1" customWidth="1"/>
    <col min="11" max="11" width="9.42578125" style="1" bestFit="1" customWidth="1"/>
    <col min="12" max="18" width="9.140625" style="1"/>
  </cols>
  <sheetData>
    <row r="1" spans="1:11">
      <c r="A1" s="3" t="s">
        <v>3</v>
      </c>
    </row>
    <row r="3" spans="1:11" ht="18.75">
      <c r="A3" s="92" t="s">
        <v>35</v>
      </c>
      <c r="B3" s="92"/>
      <c r="C3" s="92"/>
      <c r="D3" s="92"/>
      <c r="E3" s="92"/>
      <c r="F3" s="92"/>
      <c r="G3" s="92"/>
      <c r="H3" s="92"/>
    </row>
    <row r="4" spans="1:11" ht="15.75" thickBot="1"/>
    <row r="5" spans="1:11" ht="105">
      <c r="A5" s="29" t="s">
        <v>2</v>
      </c>
      <c r="B5" s="30" t="s">
        <v>16</v>
      </c>
      <c r="C5" s="30" t="s">
        <v>15</v>
      </c>
      <c r="D5" s="30" t="s">
        <v>17</v>
      </c>
      <c r="E5" s="30" t="s">
        <v>28</v>
      </c>
      <c r="F5" s="30" t="s">
        <v>83</v>
      </c>
      <c r="G5" s="30" t="s">
        <v>29</v>
      </c>
      <c r="H5" s="30" t="s">
        <v>30</v>
      </c>
      <c r="I5" s="30" t="s">
        <v>11</v>
      </c>
      <c r="J5" s="2" t="s">
        <v>33</v>
      </c>
      <c r="K5" s="2" t="s">
        <v>34</v>
      </c>
    </row>
    <row r="6" spans="1:11" ht="15.75" thickBot="1">
      <c r="A6" s="49">
        <v>1</v>
      </c>
      <c r="B6" s="12">
        <v>2</v>
      </c>
      <c r="C6" s="12">
        <v>3</v>
      </c>
      <c r="D6" s="12">
        <v>4</v>
      </c>
      <c r="E6" s="33">
        <v>5</v>
      </c>
      <c r="F6" s="12">
        <v>6</v>
      </c>
      <c r="G6" s="12" t="s">
        <v>31</v>
      </c>
      <c r="H6" s="11">
        <v>8</v>
      </c>
      <c r="I6" s="50" t="s">
        <v>32</v>
      </c>
    </row>
    <row r="7" spans="1:11">
      <c r="A7" s="17" t="s">
        <v>84</v>
      </c>
      <c r="B7" s="18" t="s">
        <v>36</v>
      </c>
      <c r="C7" s="18" t="s">
        <v>18</v>
      </c>
      <c r="D7" s="18">
        <v>1</v>
      </c>
      <c r="E7" s="14">
        <f>ком.усл!E7</f>
        <v>54480.639999999999</v>
      </c>
      <c r="F7" s="37">
        <f>E7/54353</f>
        <v>1.0023483524368479</v>
      </c>
      <c r="G7" s="59">
        <f>D7/E7*F7</f>
        <v>1.8398248486744059E-5</v>
      </c>
      <c r="H7" s="19">
        <v>28280</v>
      </c>
      <c r="I7" s="83">
        <f>H7*G7</f>
        <v>0.52030246720512197</v>
      </c>
    </row>
    <row r="8" spans="1:11" s="1" customFormat="1">
      <c r="A8" s="21"/>
      <c r="B8" s="7" t="s">
        <v>37</v>
      </c>
      <c r="C8" s="7" t="s">
        <v>18</v>
      </c>
      <c r="D8" s="7">
        <v>1</v>
      </c>
      <c r="E8" s="14">
        <f>E7</f>
        <v>54480.639999999999</v>
      </c>
      <c r="F8" s="37">
        <f t="shared" ref="F8:F18" si="0">E8/54353</f>
        <v>1.0023483524368479</v>
      </c>
      <c r="G8" s="60">
        <f>D8/E8*F8</f>
        <v>1.8398248486744059E-5</v>
      </c>
      <c r="H8" s="8">
        <v>6000</v>
      </c>
      <c r="I8" s="82">
        <f t="shared" ref="I8:I18" si="1">H8*G8</f>
        <v>0.11038949092046435</v>
      </c>
    </row>
    <row r="9" spans="1:11" s="1" customFormat="1">
      <c r="A9" s="21"/>
      <c r="B9" s="7" t="s">
        <v>41</v>
      </c>
      <c r="C9" s="7" t="s">
        <v>18</v>
      </c>
      <c r="D9" s="7">
        <v>1</v>
      </c>
      <c r="E9" s="14">
        <f>E7</f>
        <v>54480.639999999999</v>
      </c>
      <c r="F9" s="37">
        <f t="shared" si="0"/>
        <v>1.0023483524368479</v>
      </c>
      <c r="G9" s="60">
        <f>D9/E9*F9</f>
        <v>1.8398248486744059E-5</v>
      </c>
      <c r="H9" s="8">
        <v>12000</v>
      </c>
      <c r="I9" s="82">
        <f t="shared" ref="I9:I10" si="2">H9*G9</f>
        <v>0.2207789818409287</v>
      </c>
    </row>
    <row r="10" spans="1:11" s="1" customFormat="1">
      <c r="A10" s="21"/>
      <c r="B10" s="7" t="s">
        <v>81</v>
      </c>
      <c r="C10" s="7" t="s">
        <v>18</v>
      </c>
      <c r="D10" s="7">
        <v>1</v>
      </c>
      <c r="E10" s="14">
        <f>E7</f>
        <v>54480.639999999999</v>
      </c>
      <c r="F10" s="37">
        <f t="shared" si="0"/>
        <v>1.0023483524368479</v>
      </c>
      <c r="G10" s="60">
        <f>D10/E10*F10</f>
        <v>1.8398248486744059E-5</v>
      </c>
      <c r="H10" s="8">
        <v>30000</v>
      </c>
      <c r="I10" s="82">
        <f t="shared" si="2"/>
        <v>0.55194745460232175</v>
      </c>
    </row>
    <row r="11" spans="1:11" s="1" customFormat="1">
      <c r="A11" s="21"/>
      <c r="B11" s="7" t="s">
        <v>38</v>
      </c>
      <c r="C11" s="7" t="s">
        <v>18</v>
      </c>
      <c r="D11" s="7">
        <v>1</v>
      </c>
      <c r="E11" s="14">
        <f>E7</f>
        <v>54480.639999999999</v>
      </c>
      <c r="F11" s="37">
        <f t="shared" si="0"/>
        <v>1.0023483524368479</v>
      </c>
      <c r="G11" s="60">
        <f t="shared" ref="G11" si="3">D11/E11*F11</f>
        <v>1.8398248486744059E-5</v>
      </c>
      <c r="H11" s="8">
        <v>20982.720000000001</v>
      </c>
      <c r="I11" s="82">
        <f t="shared" si="1"/>
        <v>0.3860452964877743</v>
      </c>
    </row>
    <row r="12" spans="1:11" s="1" customFormat="1">
      <c r="A12" s="21"/>
      <c r="B12" s="7" t="s">
        <v>91</v>
      </c>
      <c r="C12" s="7" t="s">
        <v>18</v>
      </c>
      <c r="D12" s="7">
        <v>1</v>
      </c>
      <c r="E12" s="14">
        <f>E7</f>
        <v>54480.639999999999</v>
      </c>
      <c r="F12" s="37">
        <f t="shared" si="0"/>
        <v>1.0023483524368479</v>
      </c>
      <c r="G12" s="60">
        <f t="shared" ref="G12:G13" si="4">D12/E12*F12</f>
        <v>1.8398248486744059E-5</v>
      </c>
      <c r="H12" s="8">
        <f>7641+41317.49</f>
        <v>48958.49</v>
      </c>
      <c r="I12" s="82">
        <f t="shared" si="1"/>
        <v>0.90075046455577412</v>
      </c>
    </row>
    <row r="13" spans="1:11" s="1" customFormat="1" ht="14.25" customHeight="1">
      <c r="A13" s="21"/>
      <c r="B13" s="7" t="s">
        <v>86</v>
      </c>
      <c r="C13" s="7" t="s">
        <v>18</v>
      </c>
      <c r="D13" s="7">
        <v>1</v>
      </c>
      <c r="E13" s="14">
        <f>E8</f>
        <v>54480.639999999999</v>
      </c>
      <c r="F13" s="37">
        <f t="shared" si="0"/>
        <v>1.0023483524368479</v>
      </c>
      <c r="G13" s="60">
        <f t="shared" si="4"/>
        <v>1.8398248486744059E-5</v>
      </c>
      <c r="H13" s="9">
        <v>3000</v>
      </c>
      <c r="I13" s="82">
        <f t="shared" ref="I13" si="5">H13*G13</f>
        <v>5.5194745460232175E-2</v>
      </c>
    </row>
    <row r="14" spans="1:11" s="1" customFormat="1" ht="14.25" customHeight="1">
      <c r="A14" s="21"/>
      <c r="B14" s="7" t="s">
        <v>39</v>
      </c>
      <c r="C14" s="7" t="s">
        <v>18</v>
      </c>
      <c r="D14" s="7">
        <v>1</v>
      </c>
      <c r="E14" s="14">
        <f>E7</f>
        <v>54480.639999999999</v>
      </c>
      <c r="F14" s="37">
        <f t="shared" si="0"/>
        <v>1.0023483524368479</v>
      </c>
      <c r="G14" s="60">
        <f t="shared" ref="G14:G18" si="6">D14/E14*F14</f>
        <v>1.8398248486744059E-5</v>
      </c>
      <c r="H14" s="9">
        <v>11779.2</v>
      </c>
      <c r="I14" s="82">
        <f t="shared" si="1"/>
        <v>0.21671664857505563</v>
      </c>
    </row>
    <row r="15" spans="1:11" s="1" customFormat="1">
      <c r="A15" s="21"/>
      <c r="B15" s="7" t="s">
        <v>43</v>
      </c>
      <c r="C15" s="7" t="s">
        <v>18</v>
      </c>
      <c r="D15" s="7">
        <v>1</v>
      </c>
      <c r="E15" s="14">
        <f>E7</f>
        <v>54480.639999999999</v>
      </c>
      <c r="F15" s="37">
        <f t="shared" si="0"/>
        <v>1.0023483524368479</v>
      </c>
      <c r="G15" s="60">
        <f t="shared" ref="G15:G17" si="7">D15/E15*F15</f>
        <v>1.8398248486744059E-5</v>
      </c>
      <c r="H15" s="9">
        <v>6489.56</v>
      </c>
      <c r="I15" s="82">
        <f t="shared" si="1"/>
        <v>0.11939653744963478</v>
      </c>
    </row>
    <row r="16" spans="1:11" s="1" customFormat="1">
      <c r="A16" s="21"/>
      <c r="B16" s="7" t="s">
        <v>99</v>
      </c>
      <c r="C16" s="7" t="s">
        <v>18</v>
      </c>
      <c r="D16" s="7">
        <v>1</v>
      </c>
      <c r="E16" s="14">
        <f>E7</f>
        <v>54480.639999999999</v>
      </c>
      <c r="F16" s="37">
        <f t="shared" si="0"/>
        <v>1.0023483524368479</v>
      </c>
      <c r="G16" s="60">
        <f t="shared" ref="G16" si="8">D16/E16*F16</f>
        <v>1.8398248486744059E-5</v>
      </c>
      <c r="H16" s="9">
        <v>12000</v>
      </c>
      <c r="I16" s="82">
        <f t="shared" si="1"/>
        <v>0.2207789818409287</v>
      </c>
    </row>
    <row r="17" spans="1:11" s="1" customFormat="1">
      <c r="A17" s="21"/>
      <c r="B17" s="7" t="s">
        <v>87</v>
      </c>
      <c r="C17" s="7" t="s">
        <v>18</v>
      </c>
      <c r="D17" s="7">
        <v>1</v>
      </c>
      <c r="E17" s="14">
        <f>E7</f>
        <v>54480.639999999999</v>
      </c>
      <c r="F17" s="37">
        <f t="shared" si="0"/>
        <v>1.0023483524368479</v>
      </c>
      <c r="G17" s="60">
        <f t="shared" si="7"/>
        <v>1.8398248486744059E-5</v>
      </c>
      <c r="H17" s="9">
        <v>5985</v>
      </c>
      <c r="I17" s="82">
        <f t="shared" si="1"/>
        <v>0.11011351719316319</v>
      </c>
    </row>
    <row r="18" spans="1:11" s="1" customFormat="1" ht="30">
      <c r="A18" s="21"/>
      <c r="B18" s="46" t="s">
        <v>40</v>
      </c>
      <c r="C18" s="7" t="s">
        <v>18</v>
      </c>
      <c r="D18" s="7">
        <v>1</v>
      </c>
      <c r="E18" s="14">
        <f>E7</f>
        <v>54480.639999999999</v>
      </c>
      <c r="F18" s="37">
        <f t="shared" si="0"/>
        <v>1.0023483524368479</v>
      </c>
      <c r="G18" s="60">
        <f t="shared" si="6"/>
        <v>1.8398248486744059E-5</v>
      </c>
      <c r="H18" s="9">
        <v>372590.4</v>
      </c>
      <c r="I18" s="82">
        <f t="shared" si="1"/>
        <v>6.8550107629753638</v>
      </c>
    </row>
    <row r="19" spans="1:11" s="1" customFormat="1" ht="15.75" thickBot="1">
      <c r="A19" s="22"/>
      <c r="B19" s="23"/>
      <c r="C19" s="23"/>
      <c r="D19" s="23"/>
      <c r="E19" s="23"/>
      <c r="F19" s="40"/>
      <c r="G19" s="27"/>
      <c r="H19" s="52"/>
      <c r="I19" s="81">
        <f>SUM(I7:I18)</f>
        <v>10.267425349106764</v>
      </c>
      <c r="J19" s="75">
        <f>I19*54353</f>
        <v>558065.37</v>
      </c>
      <c r="K19" s="75">
        <v>558065.37</v>
      </c>
    </row>
    <row r="20" spans="1:11" s="1" customFormat="1">
      <c r="A20" s="17" t="s">
        <v>13</v>
      </c>
      <c r="B20" s="18" t="s">
        <v>36</v>
      </c>
      <c r="C20" s="18" t="s">
        <v>18</v>
      </c>
      <c r="D20" s="18">
        <v>1</v>
      </c>
      <c r="E20" s="18">
        <f>ком.усл!E12</f>
        <v>38410.239999999998</v>
      </c>
      <c r="F20" s="37">
        <f>E20/38312</f>
        <v>1.0025642096471079</v>
      </c>
      <c r="G20" s="59">
        <f>D20/E20*F20</f>
        <v>2.6101482564209647E-5</v>
      </c>
      <c r="H20" s="19">
        <v>35066</v>
      </c>
      <c r="I20" s="83">
        <f>H20*G20</f>
        <v>0.91527458759657554</v>
      </c>
    </row>
    <row r="21" spans="1:11" s="1" customFormat="1">
      <c r="A21" s="21"/>
      <c r="B21" s="7" t="s">
        <v>37</v>
      </c>
      <c r="C21" s="7" t="s">
        <v>18</v>
      </c>
      <c r="D21" s="7">
        <v>1</v>
      </c>
      <c r="E21" s="7">
        <f>E20</f>
        <v>38410.239999999998</v>
      </c>
      <c r="F21" s="37">
        <f t="shared" ref="F21:F31" si="9">E21/38312</f>
        <v>1.0025642096471079</v>
      </c>
      <c r="G21" s="60">
        <f t="shared" ref="G21:G23" si="10">D21/E21*F21</f>
        <v>2.6101482564209647E-5</v>
      </c>
      <c r="H21" s="8">
        <v>22728</v>
      </c>
      <c r="I21" s="82">
        <f>H21*G21</f>
        <v>0.59323449571935682</v>
      </c>
    </row>
    <row r="22" spans="1:11" s="1" customFormat="1">
      <c r="A22" s="21"/>
      <c r="B22" s="7" t="s">
        <v>41</v>
      </c>
      <c r="C22" s="7" t="s">
        <v>18</v>
      </c>
      <c r="D22" s="7">
        <v>1</v>
      </c>
      <c r="E22" s="7">
        <f>E20</f>
        <v>38410.239999999998</v>
      </c>
      <c r="F22" s="37">
        <f t="shared" si="9"/>
        <v>1.0025642096471079</v>
      </c>
      <c r="G22" s="60">
        <f t="shared" si="10"/>
        <v>2.6101482564209647E-5</v>
      </c>
      <c r="H22" s="8">
        <v>11448</v>
      </c>
      <c r="I22" s="82">
        <f t="shared" ref="I22:I31" si="11">H22*G22</f>
        <v>0.29880977239507206</v>
      </c>
    </row>
    <row r="23" spans="1:11" s="1" customFormat="1">
      <c r="A23" s="21"/>
      <c r="B23" s="7" t="s">
        <v>38</v>
      </c>
      <c r="C23" s="7" t="s">
        <v>18</v>
      </c>
      <c r="D23" s="7">
        <v>1</v>
      </c>
      <c r="E23" s="7">
        <f>E20</f>
        <v>38410.239999999998</v>
      </c>
      <c r="F23" s="37">
        <f t="shared" si="9"/>
        <v>1.0025642096471079</v>
      </c>
      <c r="G23" s="60">
        <f t="shared" si="10"/>
        <v>2.6101482564209647E-5</v>
      </c>
      <c r="H23" s="8">
        <f>6360+14817.6</f>
        <v>21177.599999999999</v>
      </c>
      <c r="I23" s="82">
        <f t="shared" si="11"/>
        <v>0.55276675715180623</v>
      </c>
    </row>
    <row r="24" spans="1:11" s="1" customFormat="1">
      <c r="A24" s="21"/>
      <c r="B24" s="7" t="s">
        <v>81</v>
      </c>
      <c r="C24" s="7" t="s">
        <v>18</v>
      </c>
      <c r="D24" s="7">
        <v>1</v>
      </c>
      <c r="E24" s="7">
        <f>E21</f>
        <v>38410.239999999998</v>
      </c>
      <c r="F24" s="37">
        <f t="shared" si="9"/>
        <v>1.0025642096471079</v>
      </c>
      <c r="G24" s="60">
        <f t="shared" ref="G24" si="12">D24/E24*F24</f>
        <v>2.6101482564209647E-5</v>
      </c>
      <c r="H24" s="8">
        <v>38160</v>
      </c>
      <c r="I24" s="82">
        <f t="shared" ref="I24" si="13">H24*G24</f>
        <v>0.99603257465024009</v>
      </c>
    </row>
    <row r="25" spans="1:11" s="1" customFormat="1">
      <c r="A25" s="21"/>
      <c r="B25" s="7" t="s">
        <v>99</v>
      </c>
      <c r="C25" s="7" t="s">
        <v>18</v>
      </c>
      <c r="D25" s="7">
        <v>1</v>
      </c>
      <c r="E25" s="7">
        <f>E22</f>
        <v>38410.239999999998</v>
      </c>
      <c r="F25" s="37">
        <f t="shared" si="9"/>
        <v>1.0025642096471079</v>
      </c>
      <c r="G25" s="60">
        <f t="shared" ref="G25" si="14">D25/E25*F25</f>
        <v>2.6101482564209647E-5</v>
      </c>
      <c r="H25" s="8">
        <v>12000</v>
      </c>
      <c r="I25" s="82">
        <f t="shared" ref="I25" si="15">H25*G25</f>
        <v>0.31321779077051576</v>
      </c>
    </row>
    <row r="26" spans="1:11" s="1" customFormat="1">
      <c r="A26" s="21"/>
      <c r="B26" s="7" t="s">
        <v>91</v>
      </c>
      <c r="C26" s="7" t="s">
        <v>18</v>
      </c>
      <c r="D26" s="7">
        <v>1</v>
      </c>
      <c r="E26" s="7">
        <f>E22</f>
        <v>38410.239999999998</v>
      </c>
      <c r="F26" s="37">
        <f t="shared" si="9"/>
        <v>1.0025642096471079</v>
      </c>
      <c r="G26" s="60">
        <f t="shared" ref="G26" si="16">D26/E26*F26</f>
        <v>2.6101482564209647E-5</v>
      </c>
      <c r="H26" s="8">
        <f>14581.1</f>
        <v>14581.1</v>
      </c>
      <c r="I26" s="82">
        <f t="shared" ref="I26" si="17">H26*G26</f>
        <v>0.38058832741699727</v>
      </c>
    </row>
    <row r="27" spans="1:11" s="1" customFormat="1">
      <c r="A27" s="21"/>
      <c r="B27" s="7" t="s">
        <v>39</v>
      </c>
      <c r="C27" s="7" t="s">
        <v>18</v>
      </c>
      <c r="D27" s="7">
        <v>1</v>
      </c>
      <c r="E27" s="7">
        <f>E20</f>
        <v>38410.239999999998</v>
      </c>
      <c r="F27" s="37">
        <f t="shared" si="9"/>
        <v>1.0025642096471079</v>
      </c>
      <c r="G27" s="60">
        <f t="shared" ref="G27:G31" si="18">D27/E27*F27</f>
        <v>2.6101482564209647E-5</v>
      </c>
      <c r="H27" s="9">
        <v>12399.84</v>
      </c>
      <c r="I27" s="82">
        <f t="shared" si="11"/>
        <v>0.32365420755898938</v>
      </c>
    </row>
    <row r="28" spans="1:11" s="1" customFormat="1">
      <c r="A28" s="21"/>
      <c r="B28" s="7" t="s">
        <v>87</v>
      </c>
      <c r="C28" s="7" t="s">
        <v>18</v>
      </c>
      <c r="D28" s="7">
        <v>1</v>
      </c>
      <c r="E28" s="7">
        <f>E20</f>
        <v>38410.239999999998</v>
      </c>
      <c r="F28" s="37">
        <f t="shared" si="9"/>
        <v>1.0025642096471079</v>
      </c>
      <c r="G28" s="60">
        <f t="shared" ref="G28:G29" si="19">D28/E28*F28</f>
        <v>2.6101482564209647E-5</v>
      </c>
      <c r="H28" s="9">
        <v>5985</v>
      </c>
      <c r="I28" s="82">
        <f t="shared" ref="I28:I29" si="20">H28*G28</f>
        <v>0.15621737314679474</v>
      </c>
    </row>
    <row r="29" spans="1:11" s="1" customFormat="1">
      <c r="A29" s="21"/>
      <c r="B29" s="7" t="s">
        <v>86</v>
      </c>
      <c r="C29" s="7" t="s">
        <v>18</v>
      </c>
      <c r="D29" s="7">
        <v>1</v>
      </c>
      <c r="E29" s="7">
        <f>E20</f>
        <v>38410.239999999998</v>
      </c>
      <c r="F29" s="37">
        <f t="shared" si="9"/>
        <v>1.0025642096471079</v>
      </c>
      <c r="G29" s="60">
        <f t="shared" si="19"/>
        <v>2.6101482564209647E-5</v>
      </c>
      <c r="H29" s="9">
        <v>6000</v>
      </c>
      <c r="I29" s="82">
        <f t="shared" si="20"/>
        <v>0.15660889538525788</v>
      </c>
    </row>
    <row r="30" spans="1:11" s="1" customFormat="1">
      <c r="A30" s="21"/>
      <c r="B30" s="7" t="s">
        <v>42</v>
      </c>
      <c r="C30" s="7" t="s">
        <v>18</v>
      </c>
      <c r="D30" s="7">
        <v>1</v>
      </c>
      <c r="E30" s="7">
        <f>E20</f>
        <v>38410.239999999998</v>
      </c>
      <c r="F30" s="37">
        <f t="shared" si="9"/>
        <v>1.0025642096471079</v>
      </c>
      <c r="G30" s="60">
        <f t="shared" si="18"/>
        <v>2.6101482564209647E-5</v>
      </c>
      <c r="H30" s="9">
        <v>12566</v>
      </c>
      <c r="I30" s="82">
        <f t="shared" si="11"/>
        <v>0.32799122990185842</v>
      </c>
    </row>
    <row r="31" spans="1:11" s="1" customFormat="1">
      <c r="A31" s="21"/>
      <c r="B31" s="7" t="s">
        <v>43</v>
      </c>
      <c r="C31" s="7" t="s">
        <v>18</v>
      </c>
      <c r="D31" s="7">
        <v>1</v>
      </c>
      <c r="E31" s="7">
        <f>E20</f>
        <v>38410.239999999998</v>
      </c>
      <c r="F31" s="37">
        <f t="shared" si="9"/>
        <v>1.0025642096471079</v>
      </c>
      <c r="G31" s="60">
        <f t="shared" si="18"/>
        <v>2.6101482564209647E-5</v>
      </c>
      <c r="H31" s="9">
        <v>6200</v>
      </c>
      <c r="I31" s="82">
        <f t="shared" si="11"/>
        <v>0.1618291918980998</v>
      </c>
    </row>
    <row r="32" spans="1:11" s="1" customFormat="1" ht="15.75" thickBot="1">
      <c r="A32" s="22"/>
      <c r="B32" s="23"/>
      <c r="C32" s="25"/>
      <c r="D32" s="23"/>
      <c r="E32" s="23"/>
      <c r="F32" s="23"/>
      <c r="G32" s="27"/>
      <c r="H32" s="52"/>
      <c r="I32" s="81">
        <f>SUM(I20:I31)</f>
        <v>5.1762252035915637</v>
      </c>
      <c r="J32" s="90">
        <f>I32*38312</f>
        <v>198311.53999999998</v>
      </c>
      <c r="K32" s="90">
        <v>198311.5</v>
      </c>
    </row>
    <row r="48" spans="1:7" s="1" customFormat="1">
      <c r="A48"/>
      <c r="G48"/>
    </row>
    <row r="49" spans="1:19" s="79" customFormat="1">
      <c r="A49" s="77" t="s">
        <v>89</v>
      </c>
      <c r="B49" s="78"/>
      <c r="C49" s="78"/>
      <c r="D49" s="78"/>
      <c r="E49" s="78"/>
      <c r="F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1" spans="1:19" ht="18.75">
      <c r="A51" s="92" t="s">
        <v>35</v>
      </c>
      <c r="B51" s="92"/>
      <c r="C51" s="92"/>
      <c r="D51" s="92"/>
      <c r="E51" s="92"/>
      <c r="F51" s="92"/>
      <c r="G51" s="92"/>
      <c r="H51" s="92"/>
    </row>
    <row r="52" spans="1:19" ht="15.75" thickBot="1"/>
    <row r="53" spans="1:19" ht="105">
      <c r="A53" s="29" t="s">
        <v>2</v>
      </c>
      <c r="B53" s="30" t="s">
        <v>16</v>
      </c>
      <c r="C53" s="30" t="s">
        <v>15</v>
      </c>
      <c r="D53" s="30" t="s">
        <v>17</v>
      </c>
      <c r="E53" s="30" t="s">
        <v>28</v>
      </c>
      <c r="F53" s="30" t="s">
        <v>83</v>
      </c>
      <c r="G53" s="30" t="s">
        <v>29</v>
      </c>
      <c r="H53" s="30" t="s">
        <v>30</v>
      </c>
      <c r="I53" s="30" t="s">
        <v>11</v>
      </c>
      <c r="J53" s="2" t="s">
        <v>33</v>
      </c>
      <c r="K53" s="2" t="s">
        <v>34</v>
      </c>
    </row>
    <row r="54" spans="1:19" ht="15.75" thickBot="1">
      <c r="A54" s="49">
        <v>1</v>
      </c>
      <c r="B54" s="12">
        <v>2</v>
      </c>
      <c r="C54" s="12">
        <v>3</v>
      </c>
      <c r="D54" s="12">
        <v>4</v>
      </c>
      <c r="E54" s="33">
        <v>5</v>
      </c>
      <c r="F54" s="12">
        <v>6</v>
      </c>
      <c r="G54" s="12" t="s">
        <v>31</v>
      </c>
      <c r="H54" s="11">
        <v>8</v>
      </c>
      <c r="I54" s="50" t="s">
        <v>32</v>
      </c>
    </row>
    <row r="55" spans="1:19">
      <c r="A55" s="17" t="s">
        <v>84</v>
      </c>
      <c r="B55" s="7" t="s">
        <v>96</v>
      </c>
      <c r="C55" s="18" t="s">
        <v>18</v>
      </c>
      <c r="D55" s="18">
        <v>1</v>
      </c>
      <c r="E55" s="14">
        <f>ком.усл!E29</f>
        <v>450.13</v>
      </c>
      <c r="F55" s="37">
        <f>E55/449</f>
        <v>1.0025167037861915</v>
      </c>
      <c r="G55" s="59">
        <f>D55/E55*F55</f>
        <v>2.2271714922048997E-3</v>
      </c>
      <c r="H55" s="19">
        <v>10560</v>
      </c>
      <c r="I55" s="83">
        <f>H55*G55</f>
        <v>23.51893095768374</v>
      </c>
      <c r="J55" s="87">
        <f>I55*449</f>
        <v>10559.999999999998</v>
      </c>
      <c r="K55" s="87">
        <v>10560</v>
      </c>
      <c r="L55" s="87"/>
    </row>
    <row r="56" spans="1:19" s="1" customFormat="1">
      <c r="A56" s="21" t="s">
        <v>90</v>
      </c>
      <c r="B56" s="7" t="s">
        <v>37</v>
      </c>
      <c r="C56" s="7" t="s">
        <v>18</v>
      </c>
      <c r="D56" s="7">
        <v>1</v>
      </c>
      <c r="E56" s="14">
        <f>E55</f>
        <v>450.13</v>
      </c>
      <c r="F56" s="37">
        <f t="shared" ref="F56:F60" si="21">E56/449</f>
        <v>1.0025167037861915</v>
      </c>
      <c r="G56" s="60">
        <f>D56/E56*F56</f>
        <v>2.2271714922048997E-3</v>
      </c>
      <c r="H56" s="8">
        <v>38400</v>
      </c>
      <c r="I56" s="82">
        <f t="shared" ref="I56:I60" si="22">H56*G56</f>
        <v>85.523385300668153</v>
      </c>
      <c r="J56" s="87">
        <f t="shared" ref="J56:J61" si="23">I56*449</f>
        <v>38400</v>
      </c>
      <c r="K56" s="87">
        <v>38400</v>
      </c>
      <c r="L56" s="87"/>
    </row>
    <row r="57" spans="1:19" s="1" customFormat="1">
      <c r="A57" s="21"/>
      <c r="B57" s="7" t="s">
        <v>99</v>
      </c>
      <c r="C57" s="7" t="s">
        <v>18</v>
      </c>
      <c r="D57" s="7">
        <v>1</v>
      </c>
      <c r="E57" s="14">
        <f t="shared" ref="E57" si="24">E56</f>
        <v>450.13</v>
      </c>
      <c r="F57" s="37">
        <f t="shared" si="21"/>
        <v>1.0025167037861915</v>
      </c>
      <c r="G57" s="60">
        <f t="shared" ref="G57:G59" si="25">D57/E57*F57</f>
        <v>2.2271714922048997E-3</v>
      </c>
      <c r="H57" s="8">
        <v>12000</v>
      </c>
      <c r="I57" s="82">
        <f t="shared" ref="I57:I59" si="26">H57*G57</f>
        <v>26.726057906458795</v>
      </c>
      <c r="J57" s="87">
        <f t="shared" si="23"/>
        <v>11999.999999999998</v>
      </c>
      <c r="K57" s="87">
        <v>12000</v>
      </c>
      <c r="L57" s="87"/>
    </row>
    <row r="58" spans="1:19" s="1" customFormat="1">
      <c r="A58" s="21"/>
      <c r="B58" s="7" t="s">
        <v>86</v>
      </c>
      <c r="C58" s="7" t="s">
        <v>18</v>
      </c>
      <c r="D58" s="7">
        <v>1</v>
      </c>
      <c r="E58" s="14">
        <f>E56</f>
        <v>450.13</v>
      </c>
      <c r="F58" s="37">
        <f t="shared" si="21"/>
        <v>1.0025167037861915</v>
      </c>
      <c r="G58" s="60">
        <f t="shared" ref="G58" si="27">D58/E58*F58</f>
        <v>2.2271714922048997E-3</v>
      </c>
      <c r="H58" s="8">
        <v>22935.56</v>
      </c>
      <c r="I58" s="82">
        <f t="shared" ref="I58" si="28">H58*G58</f>
        <v>51.081425389755012</v>
      </c>
      <c r="J58" s="87">
        <f t="shared" si="23"/>
        <v>22935.56</v>
      </c>
      <c r="K58" s="87">
        <v>22935.56</v>
      </c>
      <c r="L58" s="87"/>
    </row>
    <row r="59" spans="1:19" s="1" customFormat="1">
      <c r="A59" s="21"/>
      <c r="B59" s="7" t="s">
        <v>91</v>
      </c>
      <c r="C59" s="7" t="s">
        <v>18</v>
      </c>
      <c r="D59" s="7">
        <v>1</v>
      </c>
      <c r="E59" s="14">
        <f>E57</f>
        <v>450.13</v>
      </c>
      <c r="F59" s="37">
        <f t="shared" si="21"/>
        <v>1.0025167037861915</v>
      </c>
      <c r="G59" s="60">
        <f t="shared" si="25"/>
        <v>2.2271714922048997E-3</v>
      </c>
      <c r="H59" s="8">
        <f>22926+73495.8</f>
        <v>96421.8</v>
      </c>
      <c r="I59" s="82">
        <f t="shared" si="26"/>
        <v>214.74788418708241</v>
      </c>
      <c r="J59" s="87">
        <f t="shared" si="23"/>
        <v>96421.8</v>
      </c>
      <c r="K59" s="87">
        <v>96421.8</v>
      </c>
      <c r="L59" s="87"/>
    </row>
    <row r="60" spans="1:19" s="1" customFormat="1">
      <c r="A60" s="21"/>
      <c r="B60" s="7" t="s">
        <v>81</v>
      </c>
      <c r="C60" s="7" t="s">
        <v>18</v>
      </c>
      <c r="D60" s="7">
        <v>1</v>
      </c>
      <c r="E60" s="14">
        <f>E55</f>
        <v>450.13</v>
      </c>
      <c r="F60" s="37">
        <f t="shared" si="21"/>
        <v>1.0025167037861915</v>
      </c>
      <c r="G60" s="60">
        <f>D60/E60*F60</f>
        <v>2.2271714922048997E-3</v>
      </c>
      <c r="H60" s="8">
        <v>36000</v>
      </c>
      <c r="I60" s="82">
        <f t="shared" si="22"/>
        <v>80.178173719376389</v>
      </c>
      <c r="J60" s="87">
        <f t="shared" si="23"/>
        <v>36000</v>
      </c>
      <c r="K60" s="87">
        <v>36000</v>
      </c>
      <c r="L60" s="87"/>
    </row>
    <row r="61" spans="1:19" s="1" customFormat="1" ht="15.75" thickBot="1">
      <c r="A61" s="22"/>
      <c r="B61" s="23"/>
      <c r="C61" s="23"/>
      <c r="D61" s="23"/>
      <c r="E61" s="23"/>
      <c r="F61" s="40"/>
      <c r="G61" s="27"/>
      <c r="H61" s="52"/>
      <c r="I61" s="81">
        <f>SUM(I55:I60)</f>
        <v>481.77585746102449</v>
      </c>
      <c r="J61" s="87">
        <f t="shared" si="23"/>
        <v>216317.36</v>
      </c>
      <c r="K61" s="88">
        <f>SUM(K55:K60)</f>
        <v>216317.36</v>
      </c>
      <c r="L61" s="87"/>
    </row>
  </sheetData>
  <mergeCells count="2">
    <mergeCell ref="A3:H3"/>
    <mergeCell ref="A51:H51"/>
  </mergeCells>
  <pageMargins left="0.51181102362204722" right="0" top="0.15748031496062992" bottom="0" header="0.31496062992125984" footer="0.31496062992125984"/>
  <pageSetup paperSize="9" scale="7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R44"/>
  <sheetViews>
    <sheetView workbookViewId="0">
      <selection activeCell="L22" sqref="L22"/>
    </sheetView>
  </sheetViews>
  <sheetFormatPr defaultRowHeight="15"/>
  <cols>
    <col min="1" max="1" width="8.85546875" customWidth="1"/>
    <col min="2" max="2" width="20.85546875" style="1" customWidth="1"/>
    <col min="3" max="3" width="14.7109375" style="1" customWidth="1"/>
    <col min="4" max="4" width="8.28515625" style="1" customWidth="1"/>
    <col min="5" max="5" width="12.42578125" style="1" customWidth="1"/>
    <col min="6" max="6" width="12.5703125" style="1" customWidth="1"/>
    <col min="7" max="7" width="12.28515625" customWidth="1"/>
    <col min="8" max="9" width="10.85546875" style="1" customWidth="1"/>
    <col min="10" max="10" width="11.140625" style="1" customWidth="1"/>
    <col min="11" max="11" width="8.85546875" style="1" customWidth="1"/>
    <col min="12" max="12" width="9.140625" style="1"/>
    <col min="13" max="13" width="2.7109375" style="1" customWidth="1"/>
    <col min="14" max="17" width="9.140625" style="1"/>
  </cols>
  <sheetData>
    <row r="1" spans="1:12">
      <c r="A1" s="3" t="s">
        <v>3</v>
      </c>
    </row>
    <row r="3" spans="1:12" ht="18.75">
      <c r="A3" s="92" t="s">
        <v>44</v>
      </c>
      <c r="B3" s="92"/>
      <c r="C3" s="92"/>
      <c r="D3" s="92"/>
      <c r="E3" s="92"/>
      <c r="F3" s="92"/>
      <c r="G3" s="92"/>
      <c r="H3" s="92"/>
    </row>
    <row r="4" spans="1:12" ht="15.75" thickBot="1"/>
    <row r="5" spans="1:12" ht="95.25" customHeight="1">
      <c r="A5" s="29" t="s">
        <v>2</v>
      </c>
      <c r="B5" s="30" t="s">
        <v>16</v>
      </c>
      <c r="C5" s="30" t="s">
        <v>15</v>
      </c>
      <c r="D5" s="30" t="s">
        <v>17</v>
      </c>
      <c r="E5" s="30" t="s">
        <v>28</v>
      </c>
      <c r="F5" s="30" t="s">
        <v>83</v>
      </c>
      <c r="G5" s="30" t="s">
        <v>29</v>
      </c>
      <c r="H5" s="30" t="s">
        <v>30</v>
      </c>
      <c r="I5" s="30" t="s">
        <v>11</v>
      </c>
      <c r="J5" s="2" t="s">
        <v>76</v>
      </c>
      <c r="K5" s="2" t="s">
        <v>77</v>
      </c>
    </row>
    <row r="6" spans="1:12" ht="15.75" thickBot="1">
      <c r="A6" s="49">
        <v>1</v>
      </c>
      <c r="B6" s="12">
        <v>2</v>
      </c>
      <c r="C6" s="12">
        <v>3</v>
      </c>
      <c r="D6" s="12">
        <v>4</v>
      </c>
      <c r="E6" s="33">
        <v>5</v>
      </c>
      <c r="F6" s="12">
        <v>6</v>
      </c>
      <c r="G6" s="12" t="s">
        <v>31</v>
      </c>
      <c r="H6" s="11">
        <v>8</v>
      </c>
      <c r="I6" s="50" t="s">
        <v>32</v>
      </c>
    </row>
    <row r="7" spans="1:12" ht="30">
      <c r="A7" s="17" t="s">
        <v>84</v>
      </c>
      <c r="B7" s="18" t="s">
        <v>45</v>
      </c>
      <c r="C7" s="54" t="s">
        <v>46</v>
      </c>
      <c r="D7" s="18">
        <v>3</v>
      </c>
      <c r="E7" s="14">
        <f>ком.усл!E7</f>
        <v>54480.639999999999</v>
      </c>
      <c r="F7" s="37">
        <f>E7/54353</f>
        <v>1.0023483524368479</v>
      </c>
      <c r="G7" s="59">
        <f>D7/E7*F7</f>
        <v>5.5194745460232179E-5</v>
      </c>
      <c r="H7" s="19">
        <v>4666.67</v>
      </c>
      <c r="I7" s="83">
        <f>H7*G7</f>
        <v>0.25757566279690169</v>
      </c>
      <c r="J7" s="75">
        <f>I7*54353</f>
        <v>14000.009999999998</v>
      </c>
      <c r="K7" s="76">
        <v>14000</v>
      </c>
    </row>
    <row r="8" spans="1:12">
      <c r="A8" s="28"/>
      <c r="B8" s="40" t="s">
        <v>79</v>
      </c>
      <c r="C8" s="7" t="s">
        <v>18</v>
      </c>
      <c r="D8" s="7">
        <v>1</v>
      </c>
      <c r="E8" s="14">
        <f>ком.усл!E8</f>
        <v>54480.639999999999</v>
      </c>
      <c r="F8" s="37">
        <f t="shared" ref="F8:F9" si="0">E8/54353</f>
        <v>1.0023483524368479</v>
      </c>
      <c r="G8" s="60">
        <f>D8/E8*F8</f>
        <v>1.8398248486744059E-5</v>
      </c>
      <c r="H8" s="8">
        <v>46360</v>
      </c>
      <c r="I8" s="82">
        <f t="shared" ref="I8" si="1">H8*G8</f>
        <v>0.85294279984545451</v>
      </c>
      <c r="J8" s="75">
        <f t="shared" ref="J8:J10" si="2">I8*54353</f>
        <v>46359.999999999993</v>
      </c>
      <c r="K8" s="76">
        <v>46360</v>
      </c>
    </row>
    <row r="9" spans="1:12" s="1" customFormat="1">
      <c r="A9" s="21"/>
      <c r="B9" s="14" t="s">
        <v>80</v>
      </c>
      <c r="C9" s="7" t="s">
        <v>18</v>
      </c>
      <c r="D9" s="7">
        <v>1</v>
      </c>
      <c r="E9" s="14">
        <f>E7</f>
        <v>54480.639999999999</v>
      </c>
      <c r="F9" s="37">
        <f t="shared" si="0"/>
        <v>1.0023483524368479</v>
      </c>
      <c r="G9" s="60">
        <f>D9/E9*F9</f>
        <v>1.8398248486744059E-5</v>
      </c>
      <c r="H9" s="8">
        <v>4200</v>
      </c>
      <c r="I9" s="82">
        <f t="shared" ref="I9" si="3">H9*G9</f>
        <v>7.727264364432504E-2</v>
      </c>
      <c r="J9" s="75">
        <f t="shared" si="2"/>
        <v>4199.9999999999991</v>
      </c>
      <c r="K9" s="76">
        <v>4200</v>
      </c>
    </row>
    <row r="10" spans="1:12" s="1" customFormat="1" ht="15.75" thickBot="1">
      <c r="A10" s="39"/>
      <c r="B10" s="40"/>
      <c r="C10" s="40"/>
      <c r="D10" s="40"/>
      <c r="E10" s="40"/>
      <c r="F10" s="40"/>
      <c r="G10" s="56"/>
      <c r="H10" s="57"/>
      <c r="I10" s="84">
        <f>SUM(I7:I9)</f>
        <v>1.1877911062866813</v>
      </c>
      <c r="J10" s="75">
        <f t="shared" si="2"/>
        <v>64560.009999999987</v>
      </c>
      <c r="K10" s="75">
        <f>K9+K8+K7</f>
        <v>64560</v>
      </c>
    </row>
    <row r="11" spans="1:12" s="1" customFormat="1" ht="30">
      <c r="A11" s="17" t="s">
        <v>13</v>
      </c>
      <c r="B11" s="18" t="s">
        <v>45</v>
      </c>
      <c r="C11" s="58" t="s">
        <v>46</v>
      </c>
      <c r="D11" s="18">
        <v>3</v>
      </c>
      <c r="E11" s="63">
        <f>ком.усл!E12</f>
        <v>38410.239999999998</v>
      </c>
      <c r="F11" s="37">
        <f>E11/38312</f>
        <v>1.0025642096471079</v>
      </c>
      <c r="G11" s="53">
        <f>D11/E11*F11</f>
        <v>7.8304447692628942E-5</v>
      </c>
      <c r="H11" s="19">
        <v>5600</v>
      </c>
      <c r="I11" s="83">
        <f t="shared" ref="I11:I17" si="4">H11*G11</f>
        <v>0.43850490707872208</v>
      </c>
      <c r="J11" s="75">
        <f>I11*38312</f>
        <v>16800</v>
      </c>
      <c r="K11" s="76">
        <v>16800</v>
      </c>
      <c r="L11" s="4">
        <f>K11-J11</f>
        <v>0</v>
      </c>
    </row>
    <row r="12" spans="1:12" s="1" customFormat="1" ht="15" customHeight="1">
      <c r="A12" s="28"/>
      <c r="B12" s="14" t="s">
        <v>80</v>
      </c>
      <c r="C12" s="7" t="s">
        <v>18</v>
      </c>
      <c r="D12" s="14">
        <v>1</v>
      </c>
      <c r="E12" s="7">
        <f>E11</f>
        <v>38410.239999999998</v>
      </c>
      <c r="F12" s="37">
        <f t="shared" ref="F12:F17" si="5">E12/38312</f>
        <v>1.0025642096471079</v>
      </c>
      <c r="G12" s="51">
        <f>D12/E12*F12</f>
        <v>2.6101482564209647E-5</v>
      </c>
      <c r="H12" s="15"/>
      <c r="I12" s="82">
        <f>H12*G12</f>
        <v>0</v>
      </c>
      <c r="J12" s="75">
        <f t="shared" ref="J12:J17" si="6">I12*38312</f>
        <v>0</v>
      </c>
      <c r="K12" s="76"/>
    </row>
    <row r="13" spans="1:12" s="1" customFormat="1" ht="29.25" customHeight="1">
      <c r="A13" s="21"/>
      <c r="B13" s="46" t="s">
        <v>75</v>
      </c>
      <c r="C13" s="7" t="s">
        <v>18</v>
      </c>
      <c r="D13" s="7">
        <v>1</v>
      </c>
      <c r="E13" s="7">
        <f>E12</f>
        <v>38410.239999999998</v>
      </c>
      <c r="F13" s="37">
        <f t="shared" si="5"/>
        <v>1.0025642096471079</v>
      </c>
      <c r="G13" s="51">
        <f>D13/E13*F13</f>
        <v>2.6101482564209647E-5</v>
      </c>
      <c r="H13" s="8">
        <v>1138</v>
      </c>
      <c r="I13" s="82">
        <f t="shared" si="4"/>
        <v>2.9703487158070578E-2</v>
      </c>
      <c r="J13" s="75">
        <f t="shared" si="6"/>
        <v>1138</v>
      </c>
      <c r="K13" s="76">
        <v>1138</v>
      </c>
    </row>
    <row r="14" spans="1:12" s="1" customFormat="1" ht="18.75" customHeight="1">
      <c r="A14" s="21"/>
      <c r="B14" s="7" t="s">
        <v>94</v>
      </c>
      <c r="C14" s="7" t="s">
        <v>18</v>
      </c>
      <c r="D14" s="7">
        <v>1</v>
      </c>
      <c r="E14" s="7">
        <f>E13</f>
        <v>38410.239999999998</v>
      </c>
      <c r="F14" s="37">
        <f t="shared" si="5"/>
        <v>1.0025642096471079</v>
      </c>
      <c r="G14" s="51">
        <f>D14/E14*F14</f>
        <v>2.6101482564209647E-5</v>
      </c>
      <c r="H14" s="8">
        <v>306533.2</v>
      </c>
      <c r="I14" s="82">
        <f t="shared" ref="I14" si="7">H14*G14</f>
        <v>8.0009709751513896</v>
      </c>
      <c r="J14" s="75">
        <f t="shared" si="6"/>
        <v>306533.2</v>
      </c>
      <c r="K14" s="76">
        <v>306533.2</v>
      </c>
    </row>
    <row r="15" spans="1:12" s="1" customFormat="1" ht="18.399999999999999" customHeight="1">
      <c r="A15" s="21"/>
      <c r="B15" s="7" t="s">
        <v>78</v>
      </c>
      <c r="C15" s="7" t="s">
        <v>18</v>
      </c>
      <c r="D15" s="7">
        <v>1</v>
      </c>
      <c r="E15" s="7">
        <f>E13</f>
        <v>38410.239999999998</v>
      </c>
      <c r="F15" s="37">
        <f t="shared" si="5"/>
        <v>1.0025642096471079</v>
      </c>
      <c r="G15" s="51">
        <f>D15/E15*F15</f>
        <v>2.6101482564209647E-5</v>
      </c>
      <c r="H15" s="8">
        <v>5500</v>
      </c>
      <c r="I15" s="82">
        <f t="shared" si="4"/>
        <v>0.14355815410315306</v>
      </c>
      <c r="J15" s="75">
        <f t="shared" si="6"/>
        <v>5500</v>
      </c>
      <c r="K15" s="76">
        <v>5500</v>
      </c>
    </row>
    <row r="16" spans="1:12" s="1" customFormat="1">
      <c r="A16" s="21"/>
      <c r="B16" s="7" t="s">
        <v>47</v>
      </c>
      <c r="C16" s="7" t="s">
        <v>18</v>
      </c>
      <c r="D16" s="7">
        <v>1</v>
      </c>
      <c r="E16" s="7">
        <f>E15</f>
        <v>38410.239999999998</v>
      </c>
      <c r="F16" s="37">
        <f t="shared" si="5"/>
        <v>1.0025642096471079</v>
      </c>
      <c r="G16" s="51">
        <f t="shared" ref="G16" si="8">D16/E16*F16</f>
        <v>2.6101482564209647E-5</v>
      </c>
      <c r="H16" s="8">
        <v>3030</v>
      </c>
      <c r="I16" s="82">
        <f t="shared" si="4"/>
        <v>7.9087492169555226E-2</v>
      </c>
      <c r="J16" s="75">
        <f t="shared" si="6"/>
        <v>3030</v>
      </c>
      <c r="K16" s="76">
        <v>3030</v>
      </c>
    </row>
    <row r="17" spans="1:18" s="1" customFormat="1">
      <c r="A17" s="39"/>
      <c r="B17" s="40" t="s">
        <v>79</v>
      </c>
      <c r="C17" s="40" t="s">
        <v>18</v>
      </c>
      <c r="D17" s="40">
        <v>1</v>
      </c>
      <c r="E17" s="7">
        <f>E16</f>
        <v>38410.239999999998</v>
      </c>
      <c r="F17" s="37">
        <f t="shared" si="5"/>
        <v>1.0025642096471079</v>
      </c>
      <c r="G17" s="51">
        <f t="shared" ref="G17" si="9">D17/E17*F17</f>
        <v>2.6101482564209647E-5</v>
      </c>
      <c r="H17" s="8">
        <v>187320</v>
      </c>
      <c r="I17" s="82">
        <f t="shared" si="4"/>
        <v>4.8893297139277507</v>
      </c>
      <c r="J17" s="75">
        <f t="shared" si="6"/>
        <v>187320</v>
      </c>
      <c r="K17" s="76">
        <v>187310</v>
      </c>
    </row>
    <row r="18" spans="1:18" s="1" customFormat="1" ht="15.75" thickBot="1">
      <c r="A18" s="22"/>
      <c r="B18" s="23"/>
      <c r="C18" s="25"/>
      <c r="D18" s="23"/>
      <c r="E18" s="23"/>
      <c r="F18" s="23"/>
      <c r="G18" s="27"/>
      <c r="H18" s="52"/>
      <c r="I18" s="81">
        <f>SUM(I11:I17)</f>
        <v>13.581154729588642</v>
      </c>
      <c r="J18" s="75">
        <f>I18*38312</f>
        <v>520321.2</v>
      </c>
      <c r="K18" s="76">
        <f>SUM(K11:K17)</f>
        <v>520311.2</v>
      </c>
    </row>
    <row r="19" spans="1:18" ht="15.75" thickBot="1"/>
    <row r="20" spans="1:18" ht="94.35" customHeight="1">
      <c r="A20" s="29" t="s">
        <v>2</v>
      </c>
      <c r="B20" s="30" t="s">
        <v>16</v>
      </c>
      <c r="C20" s="30" t="s">
        <v>15</v>
      </c>
      <c r="D20" s="30" t="s">
        <v>17</v>
      </c>
      <c r="E20" s="30" t="s">
        <v>28</v>
      </c>
      <c r="F20" s="30" t="s">
        <v>83</v>
      </c>
      <c r="G20" s="30" t="s">
        <v>29</v>
      </c>
      <c r="H20" s="30" t="s">
        <v>30</v>
      </c>
      <c r="I20" s="30" t="s">
        <v>50</v>
      </c>
      <c r="J20" s="30" t="s">
        <v>11</v>
      </c>
      <c r="K20" s="2"/>
    </row>
    <row r="21" spans="1:18" ht="15.75" thickBot="1">
      <c r="A21" s="32">
        <v>1</v>
      </c>
      <c r="B21" s="33">
        <v>2</v>
      </c>
      <c r="C21" s="33">
        <v>3</v>
      </c>
      <c r="D21" s="33">
        <v>4</v>
      </c>
      <c r="E21" s="33">
        <v>5</v>
      </c>
      <c r="F21" s="33">
        <v>6</v>
      </c>
      <c r="G21" s="33" t="s">
        <v>31</v>
      </c>
      <c r="H21" s="34">
        <v>8</v>
      </c>
      <c r="I21" s="35">
        <v>9</v>
      </c>
      <c r="J21" s="35" t="s">
        <v>51</v>
      </c>
    </row>
    <row r="22" spans="1:18" ht="15.75" customHeight="1">
      <c r="A22" s="13" t="s">
        <v>84</v>
      </c>
      <c r="B22" s="14" t="s">
        <v>48</v>
      </c>
      <c r="C22" s="61" t="s">
        <v>49</v>
      </c>
      <c r="D22" s="14">
        <v>2</v>
      </c>
      <c r="E22" s="14">
        <f>E7</f>
        <v>54480.639999999999</v>
      </c>
      <c r="F22" s="38">
        <f>E22/54353</f>
        <v>1.0023483524368479</v>
      </c>
      <c r="G22" s="62">
        <f>D22/E22*F22</f>
        <v>3.6796496973488117E-5</v>
      </c>
      <c r="H22" s="15">
        <f>1010+273.33</f>
        <v>1283.33</v>
      </c>
      <c r="I22" s="16">
        <v>12</v>
      </c>
      <c r="J22" s="85">
        <f>I22*H22*G22</f>
        <v>0.56666458153183807</v>
      </c>
      <c r="K22" s="75">
        <f>J22*54353</f>
        <v>30799.919999999995</v>
      </c>
      <c r="L22" s="75">
        <f>30800</f>
        <v>30800</v>
      </c>
      <c r="M22" s="75">
        <f>L22-K22</f>
        <v>8.0000000005384209E-2</v>
      </c>
    </row>
    <row r="23" spans="1:18" s="1" customFormat="1" ht="14.25" customHeight="1">
      <c r="A23" s="6" t="s">
        <v>13</v>
      </c>
      <c r="B23" s="7" t="s">
        <v>48</v>
      </c>
      <c r="C23" s="46" t="s">
        <v>49</v>
      </c>
      <c r="D23" s="7">
        <v>2</v>
      </c>
      <c r="E23" s="7">
        <f>E17</f>
        <v>38410.239999999998</v>
      </c>
      <c r="F23" s="37">
        <f>E23/38312</f>
        <v>1.0025642096471079</v>
      </c>
      <c r="G23" s="60">
        <f>D23/E23*F23</f>
        <v>5.2202965128419294E-5</v>
      </c>
      <c r="H23" s="64">
        <f>790+1.25+21.25-62.5</f>
        <v>750</v>
      </c>
      <c r="I23" s="9">
        <v>12</v>
      </c>
      <c r="J23" s="86">
        <f>I23*H23*G23</f>
        <v>0.46982668615577367</v>
      </c>
      <c r="K23" s="76">
        <f>J23*38312</f>
        <v>18000</v>
      </c>
      <c r="L23" s="90">
        <v>18000</v>
      </c>
      <c r="M23" s="75">
        <f>L23-K23</f>
        <v>0</v>
      </c>
    </row>
    <row r="27" spans="1:18" s="79" customFormat="1">
      <c r="A27" s="77" t="s">
        <v>89</v>
      </c>
      <c r="B27" s="78"/>
      <c r="C27" s="78"/>
      <c r="D27" s="78"/>
      <c r="E27" s="78"/>
      <c r="F27" s="78"/>
      <c r="I27" s="78"/>
      <c r="J27" s="78"/>
      <c r="K27" s="78"/>
      <c r="L27" s="78"/>
      <c r="M27" s="78"/>
      <c r="N27" s="78"/>
      <c r="O27" s="78"/>
      <c r="P27" s="78"/>
      <c r="Q27" s="78"/>
      <c r="R27" s="78"/>
    </row>
    <row r="29" spans="1:18" ht="18.75">
      <c r="A29" s="92" t="s">
        <v>44</v>
      </c>
      <c r="B29" s="92"/>
      <c r="C29" s="92"/>
      <c r="D29" s="92"/>
      <c r="E29" s="92"/>
      <c r="F29" s="92"/>
      <c r="G29" s="92"/>
      <c r="H29" s="92"/>
    </row>
    <row r="30" spans="1:18" ht="15.75" thickBot="1"/>
    <row r="31" spans="1:18" ht="105">
      <c r="A31" s="29" t="s">
        <v>2</v>
      </c>
      <c r="B31" s="30" t="s">
        <v>16</v>
      </c>
      <c r="C31" s="30" t="s">
        <v>15</v>
      </c>
      <c r="D31" s="30" t="s">
        <v>17</v>
      </c>
      <c r="E31" s="30" t="s">
        <v>28</v>
      </c>
      <c r="F31" s="30" t="s">
        <v>83</v>
      </c>
      <c r="G31" s="30" t="s">
        <v>29</v>
      </c>
      <c r="H31" s="30" t="s">
        <v>30</v>
      </c>
      <c r="I31" s="30" t="s">
        <v>11</v>
      </c>
      <c r="J31" s="2" t="s">
        <v>76</v>
      </c>
      <c r="K31" s="2" t="s">
        <v>77</v>
      </c>
    </row>
    <row r="32" spans="1:18" ht="15.75" thickBot="1">
      <c r="A32" s="49">
        <v>1</v>
      </c>
      <c r="B32" s="12">
        <v>2</v>
      </c>
      <c r="C32" s="12">
        <v>3</v>
      </c>
      <c r="D32" s="12">
        <v>4</v>
      </c>
      <c r="E32" s="33">
        <v>5</v>
      </c>
      <c r="F32" s="12">
        <v>6</v>
      </c>
      <c r="G32" s="12" t="s">
        <v>31</v>
      </c>
      <c r="H32" s="11">
        <v>8</v>
      </c>
      <c r="I32" s="50" t="s">
        <v>32</v>
      </c>
    </row>
    <row r="33" spans="1:13" ht="45">
      <c r="A33" s="17" t="s">
        <v>84</v>
      </c>
      <c r="B33" s="46" t="s">
        <v>75</v>
      </c>
      <c r="C33" s="7" t="s">
        <v>18</v>
      </c>
      <c r="D33" s="7">
        <v>1</v>
      </c>
      <c r="E33" s="7">
        <f>ком.усл!E29</f>
        <v>450.13</v>
      </c>
      <c r="F33" s="37">
        <f>E33/449</f>
        <v>1.0025167037861915</v>
      </c>
      <c r="G33" s="51">
        <f>D33/E33*F33</f>
        <v>2.2271714922048997E-3</v>
      </c>
      <c r="H33" s="8">
        <v>3904</v>
      </c>
      <c r="I33" s="82">
        <f t="shared" ref="I33:I37" si="10">H33*G33</f>
        <v>8.6948775055679288</v>
      </c>
      <c r="J33" s="88">
        <f>I33*449</f>
        <v>3904</v>
      </c>
      <c r="K33" s="87">
        <v>3904</v>
      </c>
    </row>
    <row r="34" spans="1:13">
      <c r="A34" s="28" t="s">
        <v>92</v>
      </c>
      <c r="B34" s="7" t="s">
        <v>93</v>
      </c>
      <c r="C34" s="7" t="s">
        <v>18</v>
      </c>
      <c r="D34" s="7">
        <v>1</v>
      </c>
      <c r="E34" s="7">
        <f>E33</f>
        <v>450.13</v>
      </c>
      <c r="F34" s="37">
        <f t="shared" ref="F34:F37" si="11">E34/449</f>
        <v>1.0025167037861915</v>
      </c>
      <c r="G34" s="51">
        <f>D34/E34*F34</f>
        <v>2.2271714922048997E-3</v>
      </c>
      <c r="H34" s="8"/>
      <c r="I34" s="82">
        <f t="shared" si="10"/>
        <v>0</v>
      </c>
      <c r="J34" s="88">
        <f t="shared" ref="J34:J39" si="12">I34*449</f>
        <v>0</v>
      </c>
      <c r="K34" s="87"/>
    </row>
    <row r="35" spans="1:13">
      <c r="A35" s="28"/>
      <c r="B35" s="7" t="s">
        <v>94</v>
      </c>
      <c r="C35" s="7" t="s">
        <v>18</v>
      </c>
      <c r="D35" s="7">
        <v>1</v>
      </c>
      <c r="E35" s="7">
        <f t="shared" ref="E35:E36" si="13">E34</f>
        <v>450.13</v>
      </c>
      <c r="F35" s="37">
        <f t="shared" si="11"/>
        <v>1.0025167037861915</v>
      </c>
      <c r="G35" s="51">
        <f t="shared" ref="G35:G36" si="14">D35/E35*F35</f>
        <v>2.2271714922048997E-3</v>
      </c>
      <c r="H35" s="8">
        <v>210350</v>
      </c>
      <c r="I35" s="82">
        <f t="shared" ref="I35:I36" si="15">H35*G35</f>
        <v>468.48552338530067</v>
      </c>
      <c r="J35" s="88">
        <f t="shared" si="12"/>
        <v>210350</v>
      </c>
      <c r="K35" s="87">
        <v>210350</v>
      </c>
    </row>
    <row r="36" spans="1:13">
      <c r="A36" s="28"/>
      <c r="B36" s="7" t="s">
        <v>95</v>
      </c>
      <c r="C36" s="7" t="s">
        <v>18</v>
      </c>
      <c r="D36" s="7">
        <v>1</v>
      </c>
      <c r="E36" s="7">
        <f t="shared" si="13"/>
        <v>450.13</v>
      </c>
      <c r="F36" s="37">
        <f t="shared" si="11"/>
        <v>1.0025167037861915</v>
      </c>
      <c r="G36" s="51">
        <f t="shared" si="14"/>
        <v>2.2271714922048997E-3</v>
      </c>
      <c r="H36" s="8"/>
      <c r="I36" s="82">
        <f t="shared" si="15"/>
        <v>0</v>
      </c>
      <c r="J36" s="88">
        <f t="shared" si="12"/>
        <v>0</v>
      </c>
      <c r="K36" s="87"/>
    </row>
    <row r="37" spans="1:13">
      <c r="A37" s="21"/>
      <c r="B37" s="7" t="s">
        <v>47</v>
      </c>
      <c r="C37" s="7" t="s">
        <v>18</v>
      </c>
      <c r="D37" s="7">
        <v>1</v>
      </c>
      <c r="E37" s="7">
        <f>E34</f>
        <v>450.13</v>
      </c>
      <c r="F37" s="37">
        <f t="shared" si="11"/>
        <v>1.0025167037861915</v>
      </c>
      <c r="G37" s="51">
        <f t="shared" ref="G37" si="16">D37/E37*F37</f>
        <v>2.2271714922048997E-3</v>
      </c>
      <c r="H37" s="8">
        <v>16720</v>
      </c>
      <c r="I37" s="82">
        <f t="shared" si="10"/>
        <v>37.238307349665924</v>
      </c>
      <c r="J37" s="88">
        <f t="shared" si="12"/>
        <v>16720</v>
      </c>
      <c r="K37" s="87">
        <v>16720</v>
      </c>
    </row>
    <row r="38" spans="1:13">
      <c r="A38" s="39"/>
      <c r="B38" s="40"/>
      <c r="C38" s="40"/>
      <c r="D38" s="40"/>
      <c r="E38" s="7"/>
      <c r="F38" s="37"/>
      <c r="G38" s="51"/>
      <c r="H38" s="8"/>
      <c r="I38" s="82"/>
      <c r="J38" s="88">
        <f t="shared" si="12"/>
        <v>0</v>
      </c>
      <c r="K38" s="87"/>
    </row>
    <row r="39" spans="1:13" ht="15.75" thickBot="1">
      <c r="A39" s="22"/>
      <c r="B39" s="23"/>
      <c r="C39" s="25"/>
      <c r="D39" s="23"/>
      <c r="E39" s="23"/>
      <c r="F39" s="23"/>
      <c r="G39" s="27"/>
      <c r="H39" s="52"/>
      <c r="I39" s="81">
        <f>SUM(I33:I38)</f>
        <v>514.41870824053456</v>
      </c>
      <c r="J39" s="88">
        <f t="shared" si="12"/>
        <v>230974.00000000003</v>
      </c>
      <c r="K39" s="87">
        <f>SUM(K33:K38)</f>
        <v>230974</v>
      </c>
    </row>
    <row r="40" spans="1:13" ht="15.75" thickBot="1"/>
    <row r="41" spans="1:13" ht="105">
      <c r="A41" s="29" t="s">
        <v>2</v>
      </c>
      <c r="B41" s="30" t="s">
        <v>16</v>
      </c>
      <c r="C41" s="30" t="s">
        <v>15</v>
      </c>
      <c r="D41" s="30" t="s">
        <v>17</v>
      </c>
      <c r="E41" s="30" t="s">
        <v>28</v>
      </c>
      <c r="F41" s="30" t="s">
        <v>83</v>
      </c>
      <c r="G41" s="30" t="s">
        <v>29</v>
      </c>
      <c r="H41" s="30" t="s">
        <v>30</v>
      </c>
      <c r="I41" s="30" t="s">
        <v>50</v>
      </c>
      <c r="J41" s="30" t="s">
        <v>11</v>
      </c>
      <c r="K41" s="2"/>
    </row>
    <row r="42" spans="1:13" ht="15.75" thickBot="1">
      <c r="A42" s="32">
        <v>1</v>
      </c>
      <c r="B42" s="33">
        <v>2</v>
      </c>
      <c r="C42" s="33">
        <v>3</v>
      </c>
      <c r="D42" s="33">
        <v>4</v>
      </c>
      <c r="E42" s="33">
        <v>5</v>
      </c>
      <c r="F42" s="33">
        <v>6</v>
      </c>
      <c r="G42" s="33" t="s">
        <v>31</v>
      </c>
      <c r="H42" s="34">
        <v>8</v>
      </c>
      <c r="I42" s="35">
        <v>9</v>
      </c>
      <c r="J42" s="35" t="s">
        <v>51</v>
      </c>
    </row>
    <row r="43" spans="1:13" ht="30">
      <c r="A43" s="13" t="s">
        <v>84</v>
      </c>
      <c r="B43" s="14" t="s">
        <v>48</v>
      </c>
      <c r="C43" s="61" t="s">
        <v>49</v>
      </c>
      <c r="D43" s="14"/>
      <c r="E43" s="14">
        <f>ком.усл!E29</f>
        <v>450.13</v>
      </c>
      <c r="F43" s="38">
        <f>E43/449</f>
        <v>1.0025167037861915</v>
      </c>
      <c r="G43" s="62">
        <f>D43/E43*F43</f>
        <v>0</v>
      </c>
      <c r="H43" s="15">
        <v>545.85</v>
      </c>
      <c r="I43" s="16">
        <v>12</v>
      </c>
      <c r="J43" s="85">
        <f>I43*H43*G43</f>
        <v>0</v>
      </c>
      <c r="K43" s="88">
        <f>J43*449</f>
        <v>0</v>
      </c>
      <c r="L43" s="88">
        <v>0</v>
      </c>
      <c r="M43" s="88">
        <f>L43-K43</f>
        <v>0</v>
      </c>
    </row>
    <row r="44" spans="1:13">
      <c r="A44" s="6"/>
      <c r="B44" s="7"/>
      <c r="C44" s="46"/>
      <c r="D44" s="7"/>
      <c r="E44" s="7"/>
      <c r="F44" s="37"/>
      <c r="G44" s="60"/>
      <c r="H44" s="64"/>
      <c r="I44" s="9"/>
      <c r="J44" s="71"/>
      <c r="L44" s="55"/>
      <c r="M44" s="4"/>
    </row>
  </sheetData>
  <mergeCells count="2">
    <mergeCell ref="A3:H3"/>
    <mergeCell ref="A29:H29"/>
  </mergeCells>
  <pageMargins left="0.51181102362204722" right="0" top="0.35433070866141736" bottom="0" header="0.31496062992125984" footer="0.31496062992125984"/>
  <pageSetup paperSize="9" scale="9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</sheetPr>
  <dimension ref="A1:T34"/>
  <sheetViews>
    <sheetView zoomScale="90" zoomScaleNormal="9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L30" sqref="L30"/>
    </sheetView>
  </sheetViews>
  <sheetFormatPr defaultRowHeight="15" outlineLevelRow="1"/>
  <cols>
    <col min="1" max="1" width="7.85546875" customWidth="1"/>
    <col min="2" max="2" width="46.85546875" style="1" customWidth="1"/>
    <col min="3" max="3" width="7.85546875" style="1" customWidth="1"/>
    <col min="4" max="4" width="11.140625" style="1" customWidth="1"/>
    <col min="5" max="5" width="11.42578125" style="1" customWidth="1"/>
    <col min="6" max="6" width="10" style="1" customWidth="1"/>
    <col min="7" max="7" width="12.5703125" customWidth="1"/>
    <col min="8" max="8" width="12" customWidth="1"/>
    <col min="9" max="10" width="10.85546875" style="1" customWidth="1"/>
    <col min="11" max="11" width="10.42578125" style="1" customWidth="1"/>
    <col min="12" max="12" width="11.140625" style="1" customWidth="1"/>
    <col min="13" max="13" width="3.7109375" style="1" customWidth="1"/>
    <col min="14" max="20" width="9.140625" style="1"/>
  </cols>
  <sheetData>
    <row r="1" spans="1:13">
      <c r="A1" s="3" t="s">
        <v>3</v>
      </c>
    </row>
    <row r="3" spans="1:13" ht="18.75">
      <c r="A3" s="92" t="s">
        <v>52</v>
      </c>
      <c r="B3" s="92"/>
      <c r="C3" s="92"/>
      <c r="D3" s="92"/>
      <c r="E3" s="92"/>
      <c r="F3" s="92"/>
      <c r="G3" s="92"/>
      <c r="H3" s="92"/>
      <c r="I3" s="92"/>
      <c r="J3" s="92"/>
    </row>
    <row r="5" spans="1:13" ht="105">
      <c r="A5" s="5" t="s">
        <v>2</v>
      </c>
      <c r="B5" s="5" t="s">
        <v>4</v>
      </c>
      <c r="C5" s="5" t="s">
        <v>0</v>
      </c>
      <c r="D5" s="5" t="s">
        <v>14</v>
      </c>
      <c r="E5" s="5" t="s">
        <v>85</v>
      </c>
      <c r="F5" s="5" t="s">
        <v>1</v>
      </c>
      <c r="G5" s="5" t="s">
        <v>5</v>
      </c>
      <c r="H5" s="5" t="s">
        <v>7</v>
      </c>
      <c r="I5" s="5" t="s">
        <v>9</v>
      </c>
      <c r="J5" s="5" t="s">
        <v>11</v>
      </c>
      <c r="K5" s="2" t="s">
        <v>76</v>
      </c>
      <c r="L5" s="2" t="s">
        <v>77</v>
      </c>
      <c r="M5" s="2"/>
    </row>
    <row r="6" spans="1:13" ht="15.75" thickBot="1">
      <c r="A6" s="11">
        <v>1</v>
      </c>
      <c r="B6" s="12">
        <v>2</v>
      </c>
      <c r="C6" s="12">
        <v>3</v>
      </c>
      <c r="D6" s="12">
        <v>4</v>
      </c>
      <c r="E6" s="12">
        <v>5</v>
      </c>
      <c r="F6" s="12">
        <v>6</v>
      </c>
      <c r="G6" s="12" t="s">
        <v>6</v>
      </c>
      <c r="H6" s="11" t="s">
        <v>8</v>
      </c>
      <c r="I6" s="12" t="s">
        <v>10</v>
      </c>
      <c r="J6" s="12" t="s">
        <v>12</v>
      </c>
    </row>
    <row r="7" spans="1:13">
      <c r="A7" s="17" t="s">
        <v>84</v>
      </c>
      <c r="B7" s="18" t="s">
        <v>53</v>
      </c>
      <c r="C7" s="73">
        <v>1</v>
      </c>
      <c r="D7" s="18">
        <v>30000</v>
      </c>
      <c r="E7" s="74">
        <v>54353</v>
      </c>
      <c r="F7" s="7">
        <v>1979</v>
      </c>
      <c r="G7" s="19">
        <f>C7*F7</f>
        <v>1979</v>
      </c>
      <c r="H7" s="19">
        <f>G7/E7</f>
        <v>3.6410133755266499E-2</v>
      </c>
      <c r="I7" s="20">
        <f>D7*12*1.302/1979</f>
        <v>236.84689236988379</v>
      </c>
      <c r="J7" s="83">
        <f>I7*H7</f>
        <v>8.6236270307066771</v>
      </c>
    </row>
    <row r="8" spans="1:13">
      <c r="A8" s="21"/>
      <c r="B8" s="7" t="s">
        <v>54</v>
      </c>
      <c r="C8" s="74">
        <v>2.5</v>
      </c>
      <c r="D8" s="7">
        <v>11000</v>
      </c>
      <c r="E8" s="74">
        <v>54353</v>
      </c>
      <c r="F8" s="7">
        <v>1979</v>
      </c>
      <c r="G8" s="8">
        <f t="shared" ref="G8:G9" si="0">C8*F8</f>
        <v>4947.5</v>
      </c>
      <c r="H8" s="8">
        <f>G8/E8</f>
        <v>9.1025334388166249E-2</v>
      </c>
      <c r="I8" s="9">
        <f>D8*12*1.302/1979</f>
        <v>86.843860535624046</v>
      </c>
      <c r="J8" s="82">
        <f t="shared" ref="J8:J9" si="1">I8*H8</f>
        <v>7.9049914448144536</v>
      </c>
    </row>
    <row r="9" spans="1:13">
      <c r="A9" s="21"/>
      <c r="B9" s="7" t="s">
        <v>55</v>
      </c>
      <c r="C9" s="74"/>
      <c r="D9" s="7"/>
      <c r="E9" s="74">
        <v>54353</v>
      </c>
      <c r="F9" s="7">
        <v>1979</v>
      </c>
      <c r="G9" s="8">
        <f t="shared" si="0"/>
        <v>0</v>
      </c>
      <c r="H9" s="8">
        <f t="shared" ref="H9" si="2">G9/E9</f>
        <v>0</v>
      </c>
      <c r="I9" s="9">
        <f t="shared" ref="I9:I16" si="3">D9*12*1.302/1979</f>
        <v>0</v>
      </c>
      <c r="J9" s="82">
        <f t="shared" si="1"/>
        <v>0</v>
      </c>
    </row>
    <row r="10" spans="1:13">
      <c r="A10" s="21"/>
      <c r="B10" s="7" t="s">
        <v>56</v>
      </c>
      <c r="C10" s="74"/>
      <c r="D10" s="7"/>
      <c r="E10" s="74">
        <v>54353</v>
      </c>
      <c r="F10" s="7">
        <v>1979</v>
      </c>
      <c r="G10" s="8">
        <f>C10*F10</f>
        <v>0</v>
      </c>
      <c r="H10" s="8">
        <f t="shared" ref="H10:H16" si="4">G10/E10</f>
        <v>0</v>
      </c>
      <c r="I10" s="9">
        <f t="shared" si="3"/>
        <v>0</v>
      </c>
      <c r="J10" s="82">
        <f t="shared" ref="J10:J16" si="5">I10*H10</f>
        <v>0</v>
      </c>
    </row>
    <row r="11" spans="1:13">
      <c r="A11" s="21"/>
      <c r="B11" s="7" t="s">
        <v>57</v>
      </c>
      <c r="C11" s="74">
        <v>1</v>
      </c>
      <c r="D11" s="7">
        <v>5000</v>
      </c>
      <c r="E11" s="74">
        <v>54353</v>
      </c>
      <c r="F11" s="7">
        <v>1979</v>
      </c>
      <c r="G11" s="8">
        <f t="shared" ref="G11:G16" si="6">C11*F11</f>
        <v>1979</v>
      </c>
      <c r="H11" s="8">
        <f t="shared" si="4"/>
        <v>3.6410133755266499E-2</v>
      </c>
      <c r="I11" s="9">
        <f t="shared" si="3"/>
        <v>39.474482061647294</v>
      </c>
      <c r="J11" s="82">
        <f t="shared" si="5"/>
        <v>1.437271171784446</v>
      </c>
    </row>
    <row r="12" spans="1:13">
      <c r="A12" s="21"/>
      <c r="B12" s="7" t="s">
        <v>58</v>
      </c>
      <c r="C12" s="74">
        <v>0.75</v>
      </c>
      <c r="D12" s="7">
        <v>6000</v>
      </c>
      <c r="E12" s="74">
        <v>54353</v>
      </c>
      <c r="F12" s="7">
        <v>1979</v>
      </c>
      <c r="G12" s="8">
        <f t="shared" si="6"/>
        <v>1484.25</v>
      </c>
      <c r="H12" s="8">
        <f t="shared" si="4"/>
        <v>2.7307600316449875E-2</v>
      </c>
      <c r="I12" s="9">
        <f t="shared" si="3"/>
        <v>47.369378473976759</v>
      </c>
      <c r="J12" s="82">
        <f t="shared" si="5"/>
        <v>1.2935440546060015</v>
      </c>
    </row>
    <row r="13" spans="1:13">
      <c r="A13" s="21"/>
      <c r="B13" s="7" t="s">
        <v>59</v>
      </c>
      <c r="C13" s="74">
        <v>2</v>
      </c>
      <c r="D13" s="7">
        <v>5000</v>
      </c>
      <c r="E13" s="74">
        <v>54353</v>
      </c>
      <c r="F13" s="7">
        <v>1979</v>
      </c>
      <c r="G13" s="8">
        <f t="shared" si="6"/>
        <v>3958</v>
      </c>
      <c r="H13" s="8">
        <f t="shared" si="4"/>
        <v>7.2820267510532999E-2</v>
      </c>
      <c r="I13" s="9">
        <f t="shared" si="3"/>
        <v>39.474482061647294</v>
      </c>
      <c r="J13" s="82">
        <f t="shared" si="5"/>
        <v>2.8745423435688919</v>
      </c>
    </row>
    <row r="14" spans="1:13">
      <c r="A14" s="21"/>
      <c r="B14" s="7" t="s">
        <v>88</v>
      </c>
      <c r="C14" s="74">
        <v>0.5</v>
      </c>
      <c r="D14" s="7">
        <v>9048</v>
      </c>
      <c r="E14" s="74">
        <v>54353</v>
      </c>
      <c r="F14" s="7">
        <v>1979</v>
      </c>
      <c r="G14" s="8">
        <f t="shared" si="6"/>
        <v>989.5</v>
      </c>
      <c r="H14" s="8">
        <f t="shared" si="4"/>
        <v>1.820506687763325E-2</v>
      </c>
      <c r="I14" s="9">
        <f t="shared" si="3"/>
        <v>71.433022738756961</v>
      </c>
      <c r="J14" s="82">
        <f t="shared" si="5"/>
        <v>1.300442956230567</v>
      </c>
    </row>
    <row r="15" spans="1:13">
      <c r="A15" s="21"/>
      <c r="B15" s="7" t="s">
        <v>61</v>
      </c>
      <c r="C15" s="74">
        <v>3</v>
      </c>
      <c r="D15" s="7">
        <f>19450-3000+500+88.34</f>
        <v>17038.34</v>
      </c>
      <c r="E15" s="74">
        <v>54353</v>
      </c>
      <c r="F15" s="7">
        <v>1979</v>
      </c>
      <c r="G15" s="8">
        <f t="shared" si="6"/>
        <v>5937</v>
      </c>
      <c r="H15" s="8">
        <f t="shared" si="4"/>
        <v>0.1092304012657995</v>
      </c>
      <c r="I15" s="9">
        <f t="shared" si="3"/>
        <v>134.51592933804955</v>
      </c>
      <c r="J15" s="82">
        <f t="shared" si="5"/>
        <v>14.693228938237082</v>
      </c>
    </row>
    <row r="16" spans="1:13">
      <c r="A16" s="21"/>
      <c r="B16" s="7" t="s">
        <v>62</v>
      </c>
      <c r="C16" s="74">
        <v>0.5</v>
      </c>
      <c r="D16" s="7">
        <f>8048+659.8</f>
        <v>8707.7999999999993</v>
      </c>
      <c r="E16" s="74">
        <v>54353</v>
      </c>
      <c r="F16" s="7">
        <v>1979</v>
      </c>
      <c r="G16" s="8">
        <f t="shared" si="6"/>
        <v>989.5</v>
      </c>
      <c r="H16" s="8">
        <f t="shared" si="4"/>
        <v>1.820506687763325E-2</v>
      </c>
      <c r="I16" s="9">
        <f t="shared" si="3"/>
        <v>68.747178979282467</v>
      </c>
      <c r="J16" s="82">
        <f t="shared" si="5"/>
        <v>1.25154699096646</v>
      </c>
    </row>
    <row r="17" spans="1:13" ht="15.75" thickBot="1">
      <c r="A17" s="22"/>
      <c r="B17" s="23"/>
      <c r="C17" s="23">
        <f>SUM(C7:C16)</f>
        <v>11.25</v>
      </c>
      <c r="D17" s="23"/>
      <c r="E17" s="23"/>
      <c r="F17" s="23"/>
      <c r="G17" s="24"/>
      <c r="H17" s="24"/>
      <c r="I17" s="25"/>
      <c r="J17" s="81">
        <f>SUM(J7:J16)</f>
        <v>39.379194930914579</v>
      </c>
      <c r="K17" s="75">
        <f>J17*E16</f>
        <v>2140377.3820799999</v>
      </c>
      <c r="L17" s="75">
        <f>6427560-4287182.52</f>
        <v>2140377.4800000004</v>
      </c>
      <c r="M17" s="55">
        <f>L17-K17</f>
        <v>9.7920000553131104E-2</v>
      </c>
    </row>
    <row r="18" spans="1:13" hidden="1" outlineLevel="1">
      <c r="A18" s="13"/>
      <c r="B18" s="14"/>
      <c r="C18" s="14"/>
      <c r="D18" s="14">
        <f>D7*12+D8*12+D9*12+D10*C10*12+D11*12+D12*12+D13*C13*12+D14*C14*12+D15*C15*12+D16*12</f>
        <v>1516161.84</v>
      </c>
      <c r="E18" s="14"/>
      <c r="F18" s="14"/>
      <c r="G18" s="15"/>
      <c r="H18" s="15"/>
      <c r="I18" s="16"/>
      <c r="J18" s="38"/>
    </row>
    <row r="19" spans="1:13" hidden="1" outlineLevel="1">
      <c r="A19" s="13"/>
      <c r="B19" s="14"/>
      <c r="C19" s="14"/>
      <c r="D19" s="14">
        <v>2248123</v>
      </c>
      <c r="E19" s="14"/>
      <c r="F19" s="14"/>
      <c r="G19" s="15"/>
      <c r="H19" s="15"/>
      <c r="I19" s="16"/>
      <c r="J19" s="38"/>
    </row>
    <row r="20" spans="1:13" ht="15.75" hidden="1" outlineLevel="1" thickBot="1">
      <c r="A20" s="6"/>
      <c r="B20" s="7"/>
      <c r="C20" s="7"/>
      <c r="D20" s="7">
        <f>D19-D18</f>
        <v>731961.15999999992</v>
      </c>
      <c r="E20" s="7"/>
      <c r="F20" s="7"/>
      <c r="G20" s="6"/>
      <c r="H20" s="8"/>
      <c r="I20" s="10"/>
      <c r="J20" s="37"/>
    </row>
    <row r="21" spans="1:13" collapsed="1">
      <c r="A21" s="6" t="s">
        <v>13</v>
      </c>
      <c r="B21" s="18" t="s">
        <v>53</v>
      </c>
      <c r="C21" s="74">
        <v>1</v>
      </c>
      <c r="D21" s="7">
        <v>30000</v>
      </c>
      <c r="E21" s="74">
        <v>38312</v>
      </c>
      <c r="F21" s="7">
        <v>1979</v>
      </c>
      <c r="G21" s="8">
        <f t="shared" ref="G21:G22" si="7">C21*F21</f>
        <v>1979</v>
      </c>
      <c r="H21" s="8">
        <f>G21/E21</f>
        <v>5.1654833994570895E-2</v>
      </c>
      <c r="I21" s="9">
        <f t="shared" ref="I21:I29" si="8">D21*12*1.302/1979</f>
        <v>236.84689236988379</v>
      </c>
      <c r="J21" s="37">
        <f t="shared" ref="J21:J22" si="9">I21*H21</f>
        <v>12.234286907496347</v>
      </c>
    </row>
    <row r="22" spans="1:13">
      <c r="A22" s="6"/>
      <c r="B22" s="7" t="s">
        <v>54</v>
      </c>
      <c r="C22" s="74">
        <v>2</v>
      </c>
      <c r="D22" s="7">
        <f>11000+600+20.02</f>
        <v>11620.02</v>
      </c>
      <c r="E22" s="74">
        <v>38312</v>
      </c>
      <c r="F22" s="7">
        <v>1979</v>
      </c>
      <c r="G22" s="8">
        <f t="shared" si="7"/>
        <v>3958</v>
      </c>
      <c r="H22" s="8">
        <f t="shared" ref="H22" si="10">G22/E22</f>
        <v>0.10330966798914179</v>
      </c>
      <c r="I22" s="9">
        <f t="shared" si="8"/>
        <v>91.73885420919656</v>
      </c>
      <c r="J22" s="37">
        <f t="shared" si="9"/>
        <v>9.4775105700563795</v>
      </c>
    </row>
    <row r="23" spans="1:13">
      <c r="A23" s="6"/>
      <c r="B23" s="7" t="s">
        <v>63</v>
      </c>
      <c r="C23" s="74">
        <v>0.375</v>
      </c>
      <c r="D23" s="7">
        <v>8930.5</v>
      </c>
      <c r="E23" s="74">
        <v>38312</v>
      </c>
      <c r="F23" s="7">
        <v>1979</v>
      </c>
      <c r="G23" s="8">
        <f t="shared" ref="G23:G29" si="11">C23*F23</f>
        <v>742.125</v>
      </c>
      <c r="H23" s="8">
        <f t="shared" ref="H23:H29" si="12">G23/E23</f>
        <v>1.9370562747964084E-2</v>
      </c>
      <c r="I23" s="9">
        <f t="shared" si="8"/>
        <v>70.50537241030824</v>
      </c>
      <c r="J23" s="37">
        <f t="shared" ref="J23:J29" si="13">I23*H23</f>
        <v>1.3657287403424514</v>
      </c>
    </row>
    <row r="24" spans="1:13">
      <c r="A24" s="6"/>
      <c r="B24" s="7" t="s">
        <v>57</v>
      </c>
      <c r="C24" s="74">
        <v>1</v>
      </c>
      <c r="D24" s="7">
        <v>9000</v>
      </c>
      <c r="E24" s="74">
        <v>38312</v>
      </c>
      <c r="F24" s="7">
        <v>1979</v>
      </c>
      <c r="G24" s="8">
        <f t="shared" si="11"/>
        <v>1979</v>
      </c>
      <c r="H24" s="8">
        <f t="shared" si="12"/>
        <v>5.1654833994570895E-2</v>
      </c>
      <c r="I24" s="9">
        <f t="shared" si="8"/>
        <v>71.054067710965128</v>
      </c>
      <c r="J24" s="37">
        <f t="shared" si="13"/>
        <v>3.6702860722489037</v>
      </c>
    </row>
    <row r="25" spans="1:13">
      <c r="A25" s="6"/>
      <c r="B25" s="7" t="s">
        <v>64</v>
      </c>
      <c r="C25" s="74">
        <v>0.70499999999999996</v>
      </c>
      <c r="D25" s="7">
        <v>8930.5</v>
      </c>
      <c r="E25" s="74">
        <v>38312</v>
      </c>
      <c r="F25" s="7">
        <v>1979</v>
      </c>
      <c r="G25" s="8">
        <f t="shared" si="11"/>
        <v>1395.1949999999999</v>
      </c>
      <c r="H25" s="8">
        <f t="shared" si="12"/>
        <v>3.6416657966172473E-2</v>
      </c>
      <c r="I25" s="9">
        <f t="shared" si="8"/>
        <v>70.50537241030824</v>
      </c>
      <c r="J25" s="37">
        <f t="shared" si="13"/>
        <v>2.5675700318438084</v>
      </c>
    </row>
    <row r="26" spans="1:13">
      <c r="A26" s="6"/>
      <c r="B26" s="7" t="s">
        <v>59</v>
      </c>
      <c r="C26" s="74">
        <v>1.125</v>
      </c>
      <c r="D26" s="7">
        <v>10000</v>
      </c>
      <c r="E26" s="74">
        <v>38312</v>
      </c>
      <c r="F26" s="7">
        <v>1979</v>
      </c>
      <c r="G26" s="8">
        <f t="shared" si="11"/>
        <v>2226.375</v>
      </c>
      <c r="H26" s="8">
        <f t="shared" si="12"/>
        <v>5.8111688243892255E-2</v>
      </c>
      <c r="I26" s="9">
        <f t="shared" si="8"/>
        <v>78.948964123294587</v>
      </c>
      <c r="J26" s="37">
        <f t="shared" si="13"/>
        <v>4.5878575903111294</v>
      </c>
    </row>
    <row r="27" spans="1:13">
      <c r="A27" s="6"/>
      <c r="B27" s="7" t="s">
        <v>60</v>
      </c>
      <c r="C27" s="7"/>
      <c r="D27" s="7"/>
      <c r="E27" s="74">
        <v>38312</v>
      </c>
      <c r="F27" s="7">
        <v>1979</v>
      </c>
      <c r="G27" s="8">
        <f t="shared" ref="G27" si="14">C27*F27</f>
        <v>0</v>
      </c>
      <c r="H27" s="8">
        <f t="shared" ref="H27" si="15">G27/E27</f>
        <v>0</v>
      </c>
      <c r="I27" s="9">
        <f t="shared" si="8"/>
        <v>0</v>
      </c>
      <c r="J27" s="37">
        <f t="shared" ref="J27" si="16">I27*H27</f>
        <v>0</v>
      </c>
    </row>
    <row r="28" spans="1:13">
      <c r="A28" s="6"/>
      <c r="B28" s="7" t="s">
        <v>65</v>
      </c>
      <c r="C28" s="74">
        <v>0.875</v>
      </c>
      <c r="D28" s="7">
        <v>11000</v>
      </c>
      <c r="E28" s="74">
        <v>38312</v>
      </c>
      <c r="F28" s="7">
        <v>1979</v>
      </c>
      <c r="G28" s="8">
        <f t="shared" si="11"/>
        <v>1731.625</v>
      </c>
      <c r="H28" s="8">
        <f t="shared" si="12"/>
        <v>4.5197979745249528E-2</v>
      </c>
      <c r="I28" s="9">
        <f t="shared" si="8"/>
        <v>86.843860535624046</v>
      </c>
      <c r="J28" s="37">
        <f t="shared" si="13"/>
        <v>3.9251670494884103</v>
      </c>
    </row>
    <row r="29" spans="1:13">
      <c r="A29" s="6"/>
      <c r="B29" s="7" t="s">
        <v>66</v>
      </c>
      <c r="C29" s="74">
        <v>1.3</v>
      </c>
      <c r="D29" s="7">
        <v>18000</v>
      </c>
      <c r="E29" s="74">
        <v>38312</v>
      </c>
      <c r="F29" s="7">
        <v>1979</v>
      </c>
      <c r="G29" s="8">
        <f t="shared" si="11"/>
        <v>2572.7000000000003</v>
      </c>
      <c r="H29" s="8">
        <f t="shared" si="12"/>
        <v>6.7151284192942168E-2</v>
      </c>
      <c r="I29" s="9">
        <f t="shared" si="8"/>
        <v>142.10813542193026</v>
      </c>
      <c r="J29" s="37">
        <f t="shared" si="13"/>
        <v>9.5427437878471508</v>
      </c>
    </row>
    <row r="30" spans="1:13">
      <c r="A30" s="6"/>
      <c r="B30" s="7"/>
      <c r="C30" s="10">
        <f>SUM(C21:C29)</f>
        <v>8.3800000000000008</v>
      </c>
      <c r="D30" s="7"/>
      <c r="E30" s="7"/>
      <c r="F30" s="7"/>
      <c r="G30" s="6"/>
      <c r="H30" s="8"/>
      <c r="I30" s="10"/>
      <c r="J30" s="86">
        <f>SUM(J21:J29)</f>
        <v>47.37115074963458</v>
      </c>
      <c r="K30" s="76">
        <f>J30*E29</f>
        <v>1814883.52752</v>
      </c>
      <c r="L30" s="75">
        <f>4852630-3037746.38</f>
        <v>1814883.62</v>
      </c>
      <c r="M30" s="55">
        <f>L30-K30</f>
        <v>9.2480000108480453E-2</v>
      </c>
    </row>
    <row r="31" spans="1:13" hidden="1" outlineLevel="1">
      <c r="D31" s="1">
        <v>1521803.1</v>
      </c>
    </row>
    <row r="32" spans="1:13" hidden="1" outlineLevel="1">
      <c r="D32" s="4">
        <f>D21*12+D22*C22*12+D23*12+D24*12+D25*C25*12+D26*C26*12+D28*C28*12+D29*12</f>
        <v>1396098.51</v>
      </c>
    </row>
    <row r="33" spans="4:4" hidden="1" outlineLevel="1">
      <c r="D33" s="4">
        <f>D31-D32</f>
        <v>125704.59000000008</v>
      </c>
    </row>
    <row r="34" spans="4:4" collapsed="1"/>
  </sheetData>
  <mergeCells count="1">
    <mergeCell ref="A3:J3"/>
  </mergeCells>
  <pageMargins left="0.11811023622047245" right="0" top="0.55118110236220474" bottom="0" header="0.31496062992125984" footer="0.31496062992125984"/>
  <pageSetup paperSize="9" scale="85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</sheetPr>
  <dimension ref="A1:S32"/>
  <sheetViews>
    <sheetView workbookViewId="0">
      <selection activeCell="J8" sqref="J8"/>
    </sheetView>
  </sheetViews>
  <sheetFormatPr defaultRowHeight="15"/>
  <cols>
    <col min="1" max="1" width="8.85546875" customWidth="1"/>
    <col min="2" max="2" width="35.7109375" style="1" customWidth="1"/>
    <col min="3" max="3" width="9.42578125" style="1" customWidth="1"/>
    <col min="4" max="4" width="8.28515625" style="1" customWidth="1"/>
    <col min="5" max="5" width="11.42578125" style="1" customWidth="1"/>
    <col min="6" max="6" width="11" style="1" customWidth="1"/>
    <col min="7" max="7" width="10.28515625" customWidth="1"/>
    <col min="8" max="9" width="10.85546875" style="1" customWidth="1"/>
    <col min="10" max="10" width="10.5703125" style="1" customWidth="1"/>
    <col min="11" max="11" width="10.42578125" style="1" customWidth="1"/>
    <col min="12" max="12" width="7.140625" style="1" customWidth="1"/>
    <col min="13" max="18" width="9.140625" style="1"/>
  </cols>
  <sheetData>
    <row r="1" spans="1:12">
      <c r="A1" s="3" t="s">
        <v>3</v>
      </c>
    </row>
    <row r="3" spans="1:12" ht="18.75">
      <c r="A3" s="92" t="s">
        <v>67</v>
      </c>
      <c r="B3" s="92"/>
      <c r="C3" s="92"/>
      <c r="D3" s="92"/>
      <c r="E3" s="92"/>
      <c r="F3" s="92"/>
      <c r="G3" s="92"/>
      <c r="H3" s="92"/>
    </row>
    <row r="4" spans="1:12" ht="15.75" thickBot="1"/>
    <row r="5" spans="1:12" ht="105">
      <c r="A5" s="29" t="s">
        <v>2</v>
      </c>
      <c r="B5" s="30" t="s">
        <v>68</v>
      </c>
      <c r="C5" s="30" t="s">
        <v>15</v>
      </c>
      <c r="D5" s="30" t="s">
        <v>17</v>
      </c>
      <c r="E5" s="30" t="s">
        <v>28</v>
      </c>
      <c r="F5" s="30" t="s">
        <v>83</v>
      </c>
      <c r="G5" s="30" t="s">
        <v>69</v>
      </c>
      <c r="H5" s="30" t="s">
        <v>72</v>
      </c>
      <c r="I5" s="30" t="s">
        <v>11</v>
      </c>
      <c r="J5" s="2" t="s">
        <v>76</v>
      </c>
      <c r="K5" s="2" t="s">
        <v>77</v>
      </c>
    </row>
    <row r="6" spans="1:12" ht="15.75" thickBot="1">
      <c r="A6" s="49">
        <v>1</v>
      </c>
      <c r="B6" s="12">
        <v>2</v>
      </c>
      <c r="C6" s="12">
        <v>3</v>
      </c>
      <c r="D6" s="12">
        <v>4</v>
      </c>
      <c r="E6" s="33">
        <v>5</v>
      </c>
      <c r="F6" s="33">
        <v>6</v>
      </c>
      <c r="G6" s="33" t="s">
        <v>31</v>
      </c>
      <c r="H6" s="34">
        <v>8</v>
      </c>
      <c r="I6" s="50" t="s">
        <v>32</v>
      </c>
    </row>
    <row r="7" spans="1:12">
      <c r="A7" s="17" t="s">
        <v>84</v>
      </c>
      <c r="B7" s="18" t="s">
        <v>70</v>
      </c>
      <c r="C7" s="7" t="s">
        <v>18</v>
      </c>
      <c r="D7" s="7">
        <v>1</v>
      </c>
      <c r="E7" s="14">
        <f>ком.усл!E7</f>
        <v>54480.639999999999</v>
      </c>
      <c r="F7" s="38">
        <f>E7/54353</f>
        <v>1.0023483524368479</v>
      </c>
      <c r="G7" s="62">
        <f>D7/E7*F7</f>
        <v>1.8398248486744059E-5</v>
      </c>
      <c r="H7" s="15">
        <v>15000</v>
      </c>
      <c r="I7" s="83">
        <f>H7*G7</f>
        <v>0.27597372730116088</v>
      </c>
      <c r="J7" s="88">
        <f>I7*54353</f>
        <v>14999.999999999996</v>
      </c>
      <c r="K7" s="87">
        <v>15000</v>
      </c>
      <c r="L7" s="4">
        <f>K7-J7</f>
        <v>0</v>
      </c>
    </row>
    <row r="8" spans="1:12" s="1" customFormat="1" ht="30" customHeight="1">
      <c r="A8" s="21"/>
      <c r="B8" s="46" t="s">
        <v>71</v>
      </c>
      <c r="C8" s="7" t="s">
        <v>18</v>
      </c>
      <c r="D8" s="7">
        <v>1</v>
      </c>
      <c r="E8" s="14">
        <f>E7</f>
        <v>54480.639999999999</v>
      </c>
      <c r="F8" s="38">
        <f t="shared" ref="F8:F10" si="0">E8/54353</f>
        <v>1.0023483524368479</v>
      </c>
      <c r="G8" s="60">
        <f>D8/E8*F8</f>
        <v>1.8398248486744059E-5</v>
      </c>
      <c r="H8" s="8">
        <v>29647.32</v>
      </c>
      <c r="I8" s="82">
        <f t="shared" ref="I8:I10" si="1">H8*G8</f>
        <v>0.54545876032601681</v>
      </c>
      <c r="J8" s="88">
        <f t="shared" ref="J8:J11" si="2">I8*54353</f>
        <v>29647.319999999992</v>
      </c>
      <c r="K8" s="87">
        <v>29647.32</v>
      </c>
      <c r="L8" s="4">
        <f t="shared" ref="L8:L16" si="3">K8-J8</f>
        <v>0</v>
      </c>
    </row>
    <row r="9" spans="1:12" s="1" customFormat="1">
      <c r="A9" s="21"/>
      <c r="B9" s="46" t="s">
        <v>74</v>
      </c>
      <c r="C9" s="7" t="s">
        <v>18</v>
      </c>
      <c r="D9" s="7">
        <v>1</v>
      </c>
      <c r="E9" s="14">
        <f>E8</f>
        <v>54480.639999999999</v>
      </c>
      <c r="F9" s="38">
        <f t="shared" si="0"/>
        <v>1.0023483524368479</v>
      </c>
      <c r="G9" s="60">
        <f>D9/E9*F9</f>
        <v>1.8398248486744059E-5</v>
      </c>
      <c r="H9" s="8">
        <v>11600</v>
      </c>
      <c r="I9" s="82">
        <f t="shared" si="1"/>
        <v>0.21341968244623108</v>
      </c>
      <c r="J9" s="88">
        <f t="shared" si="2"/>
        <v>11599.999999999998</v>
      </c>
      <c r="K9" s="87">
        <v>11600</v>
      </c>
      <c r="L9" s="4">
        <f t="shared" si="3"/>
        <v>0</v>
      </c>
    </row>
    <row r="10" spans="1:12" s="1" customFormat="1">
      <c r="A10" s="21"/>
      <c r="B10" s="7" t="s">
        <v>73</v>
      </c>
      <c r="C10" s="7" t="s">
        <v>18</v>
      </c>
      <c r="D10" s="7">
        <v>1</v>
      </c>
      <c r="E10" s="14">
        <f>E9</f>
        <v>54480.639999999999</v>
      </c>
      <c r="F10" s="38">
        <f t="shared" si="0"/>
        <v>1.0023483524368479</v>
      </c>
      <c r="G10" s="60">
        <f>D10/E10*F10</f>
        <v>1.8398248486744059E-5</v>
      </c>
      <c r="H10" s="8"/>
      <c r="I10" s="82">
        <f t="shared" si="1"/>
        <v>0</v>
      </c>
      <c r="J10" s="88">
        <f t="shared" si="2"/>
        <v>0</v>
      </c>
      <c r="K10" s="87"/>
      <c r="L10" s="4">
        <f t="shared" si="3"/>
        <v>0</v>
      </c>
    </row>
    <row r="11" spans="1:12" s="1" customFormat="1" ht="15.75" thickBot="1">
      <c r="A11" s="22"/>
      <c r="B11" s="23"/>
      <c r="C11" s="23"/>
      <c r="D11" s="23"/>
      <c r="E11" s="23"/>
      <c r="F11" s="23"/>
      <c r="G11" s="27"/>
      <c r="H11" s="52"/>
      <c r="I11" s="81">
        <f>SUM(I7:I10)</f>
        <v>1.0348521700734088</v>
      </c>
      <c r="J11" s="88">
        <f t="shared" si="2"/>
        <v>56247.319999999985</v>
      </c>
      <c r="K11" s="88">
        <f>SUM(K7:K10)</f>
        <v>56247.32</v>
      </c>
      <c r="L11" s="4">
        <f t="shared" si="3"/>
        <v>0</v>
      </c>
    </row>
    <row r="12" spans="1:12" s="1" customFormat="1">
      <c r="A12" s="17" t="s">
        <v>13</v>
      </c>
      <c r="B12" s="18" t="s">
        <v>70</v>
      </c>
      <c r="C12" s="7" t="s">
        <v>18</v>
      </c>
      <c r="D12" s="7">
        <v>1</v>
      </c>
      <c r="E12" s="7">
        <f>ком.усл!E12</f>
        <v>38410.239999999998</v>
      </c>
      <c r="F12" s="37">
        <f>E12/38312</f>
        <v>1.0025642096471079</v>
      </c>
      <c r="G12" s="53">
        <f>D12/E12*F12</f>
        <v>2.6101482564209647E-5</v>
      </c>
      <c r="H12" s="19">
        <v>15000</v>
      </c>
      <c r="I12" s="83">
        <f>H12*G12</f>
        <v>0.39152223846314471</v>
      </c>
      <c r="J12" s="88">
        <f>I12*38312</f>
        <v>15000</v>
      </c>
      <c r="K12" s="89">
        <v>15000</v>
      </c>
      <c r="L12" s="4">
        <f t="shared" si="3"/>
        <v>0</v>
      </c>
    </row>
    <row r="13" spans="1:12" s="1" customFormat="1" ht="17.25" customHeight="1">
      <c r="A13" s="21"/>
      <c r="B13" s="46" t="s">
        <v>98</v>
      </c>
      <c r="C13" s="7" t="s">
        <v>18</v>
      </c>
      <c r="D13" s="7">
        <v>1</v>
      </c>
      <c r="E13" s="7">
        <f>E12</f>
        <v>38410.239999999998</v>
      </c>
      <c r="F13" s="37">
        <f t="shared" ref="F13:F15" si="4">E13/38312</f>
        <v>1.0025642096471079</v>
      </c>
      <c r="G13" s="51">
        <f t="shared" ref="G13:G15" si="5">D13/E13*F13</f>
        <v>2.6101482564209647E-5</v>
      </c>
      <c r="H13" s="8">
        <v>9672</v>
      </c>
      <c r="I13" s="82">
        <f>H13*G13</f>
        <v>0.25245353936103571</v>
      </c>
      <c r="J13" s="88">
        <f t="shared" ref="J13:J16" si="6">I13*38312</f>
        <v>9672</v>
      </c>
      <c r="K13" s="87">
        <v>9672</v>
      </c>
      <c r="L13" s="4">
        <f t="shared" si="3"/>
        <v>0</v>
      </c>
    </row>
    <row r="14" spans="1:12" s="1" customFormat="1">
      <c r="A14" s="21"/>
      <c r="B14" s="46" t="s">
        <v>74</v>
      </c>
      <c r="C14" s="7" t="s">
        <v>18</v>
      </c>
      <c r="D14" s="7">
        <v>1</v>
      </c>
      <c r="E14" s="7">
        <f>E13</f>
        <v>38410.239999999998</v>
      </c>
      <c r="F14" s="37">
        <f t="shared" si="4"/>
        <v>1.0025642096471079</v>
      </c>
      <c r="G14" s="51">
        <f t="shared" ref="G14" si="7">D14/E14*F14</f>
        <v>2.6101482564209647E-5</v>
      </c>
      <c r="H14" s="8">
        <f>18000</f>
        <v>18000</v>
      </c>
      <c r="I14" s="82">
        <f>H14*G14</f>
        <v>0.46982668615577367</v>
      </c>
      <c r="J14" s="88">
        <f t="shared" si="6"/>
        <v>18000</v>
      </c>
      <c r="K14" s="87">
        <v>18000</v>
      </c>
      <c r="L14" s="4">
        <f t="shared" si="3"/>
        <v>0</v>
      </c>
    </row>
    <row r="15" spans="1:12" s="1" customFormat="1">
      <c r="A15" s="21"/>
      <c r="B15" s="7" t="s">
        <v>73</v>
      </c>
      <c r="C15" s="7" t="s">
        <v>18</v>
      </c>
      <c r="D15" s="7">
        <v>1</v>
      </c>
      <c r="E15" s="7">
        <f>E14</f>
        <v>38410.239999999998</v>
      </c>
      <c r="F15" s="37">
        <f t="shared" si="4"/>
        <v>1.0025642096471079</v>
      </c>
      <c r="G15" s="51">
        <f t="shared" si="5"/>
        <v>2.6101482564209647E-5</v>
      </c>
      <c r="H15" s="8"/>
      <c r="I15" s="82">
        <f t="shared" ref="I15" si="8">H15*G15</f>
        <v>0</v>
      </c>
      <c r="J15" s="88">
        <f t="shared" si="6"/>
        <v>0</v>
      </c>
      <c r="K15" s="87"/>
      <c r="L15" s="4">
        <f t="shared" si="3"/>
        <v>0</v>
      </c>
    </row>
    <row r="16" spans="1:12" s="1" customFormat="1" ht="15.75" thickBot="1">
      <c r="A16" s="22"/>
      <c r="B16" s="23"/>
      <c r="C16" s="25"/>
      <c r="D16" s="23"/>
      <c r="E16" s="23"/>
      <c r="F16" s="23"/>
      <c r="G16" s="27"/>
      <c r="H16" s="52"/>
      <c r="I16" s="81">
        <f>SUM(I12:I15)</f>
        <v>1.113802463979954</v>
      </c>
      <c r="J16" s="88">
        <f t="shared" si="6"/>
        <v>42672</v>
      </c>
      <c r="K16" s="89">
        <f>SUM(K12:K15)</f>
        <v>42672</v>
      </c>
      <c r="L16" s="4">
        <f t="shared" si="3"/>
        <v>0</v>
      </c>
    </row>
    <row r="18" spans="1:19" s="1" customFormat="1">
      <c r="A18"/>
      <c r="G18"/>
    </row>
    <row r="19" spans="1:19" s="79" customFormat="1">
      <c r="A19" s="77" t="s">
        <v>89</v>
      </c>
      <c r="B19" s="78"/>
      <c r="C19" s="78"/>
      <c r="D19" s="78"/>
      <c r="E19" s="78"/>
      <c r="F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</row>
    <row r="21" spans="1:19" ht="18.75">
      <c r="A21" s="92" t="s">
        <v>67</v>
      </c>
      <c r="B21" s="92"/>
      <c r="C21" s="92"/>
      <c r="D21" s="92"/>
      <c r="E21" s="92"/>
      <c r="F21" s="92"/>
      <c r="G21" s="92"/>
      <c r="H21" s="92"/>
    </row>
    <row r="22" spans="1:19" ht="15.75" thickBot="1"/>
    <row r="23" spans="1:19" ht="105">
      <c r="A23" s="29" t="s">
        <v>2</v>
      </c>
      <c r="B23" s="30" t="s">
        <v>68</v>
      </c>
      <c r="C23" s="30" t="s">
        <v>15</v>
      </c>
      <c r="D23" s="30" t="s">
        <v>17</v>
      </c>
      <c r="E23" s="30" t="s">
        <v>28</v>
      </c>
      <c r="F23" s="30" t="s">
        <v>83</v>
      </c>
      <c r="G23" s="30" t="s">
        <v>69</v>
      </c>
      <c r="H23" s="30" t="s">
        <v>72</v>
      </c>
      <c r="I23" s="30" t="s">
        <v>11</v>
      </c>
      <c r="J23" s="2"/>
      <c r="K23" s="2"/>
    </row>
    <row r="24" spans="1:19" ht="15.75" thickBot="1">
      <c r="A24" s="49">
        <v>1</v>
      </c>
      <c r="B24" s="12">
        <v>2</v>
      </c>
      <c r="C24" s="12">
        <v>3</v>
      </c>
      <c r="D24" s="12">
        <v>4</v>
      </c>
      <c r="E24" s="33">
        <v>5</v>
      </c>
      <c r="F24" s="33">
        <v>6</v>
      </c>
      <c r="G24" s="33" t="s">
        <v>31</v>
      </c>
      <c r="H24" s="34">
        <v>8</v>
      </c>
      <c r="I24" s="50" t="s">
        <v>32</v>
      </c>
    </row>
    <row r="25" spans="1:19">
      <c r="A25" s="17" t="s">
        <v>84</v>
      </c>
      <c r="B25" s="18" t="s">
        <v>97</v>
      </c>
      <c r="C25" s="7" t="s">
        <v>18</v>
      </c>
      <c r="D25" s="7">
        <v>1</v>
      </c>
      <c r="E25" s="14">
        <f>ком.усл!E29</f>
        <v>450.13</v>
      </c>
      <c r="F25" s="38">
        <f>E25/449</f>
        <v>1.0025167037861915</v>
      </c>
      <c r="G25" s="62">
        <f>D25/E25*F25</f>
        <v>2.2271714922048997E-3</v>
      </c>
      <c r="H25" s="15">
        <v>70700</v>
      </c>
      <c r="I25" s="83">
        <f>H25*G25</f>
        <v>157.46102449888642</v>
      </c>
      <c r="J25" s="88">
        <f>I25*449</f>
        <v>70700</v>
      </c>
      <c r="K25" s="87">
        <v>70700</v>
      </c>
    </row>
    <row r="26" spans="1:19" ht="18.75" customHeight="1">
      <c r="A26" s="21" t="s">
        <v>92</v>
      </c>
      <c r="B26" s="46" t="s">
        <v>98</v>
      </c>
      <c r="C26" s="7" t="s">
        <v>18</v>
      </c>
      <c r="D26" s="7">
        <v>1</v>
      </c>
      <c r="E26" s="14">
        <f>E25</f>
        <v>450.13</v>
      </c>
      <c r="F26" s="38">
        <f t="shared" ref="F26:F28" si="9">E26/449</f>
        <v>1.0025167037861915</v>
      </c>
      <c r="G26" s="60">
        <f>D26/E26*F26</f>
        <v>2.2271714922048997E-3</v>
      </c>
      <c r="H26" s="8">
        <v>22464</v>
      </c>
      <c r="I26" s="82">
        <f t="shared" ref="I26:I28" si="10">H26*G26</f>
        <v>50.031180400890868</v>
      </c>
      <c r="J26" s="88">
        <f t="shared" ref="J26:J29" si="11">I26*449</f>
        <v>22464</v>
      </c>
      <c r="K26" s="87">
        <v>22464</v>
      </c>
    </row>
    <row r="27" spans="1:19">
      <c r="A27" s="21"/>
      <c r="B27" s="46" t="s">
        <v>74</v>
      </c>
      <c r="C27" s="7" t="s">
        <v>18</v>
      </c>
      <c r="D27" s="7">
        <v>1</v>
      </c>
      <c r="E27" s="14">
        <f>E26</f>
        <v>450.13</v>
      </c>
      <c r="F27" s="38">
        <f t="shared" si="9"/>
        <v>1.0025167037861915</v>
      </c>
      <c r="G27" s="60">
        <f>D27/E27*F27</f>
        <v>2.2271714922048997E-3</v>
      </c>
      <c r="H27" s="8">
        <f>5800+3600+1000</f>
        <v>10400</v>
      </c>
      <c r="I27" s="82">
        <f t="shared" si="10"/>
        <v>23.162583518930958</v>
      </c>
      <c r="J27" s="88">
        <f t="shared" si="11"/>
        <v>10400</v>
      </c>
      <c r="K27" s="87">
        <v>10400</v>
      </c>
    </row>
    <row r="28" spans="1:19">
      <c r="A28" s="21"/>
      <c r="B28" s="7" t="s">
        <v>73</v>
      </c>
      <c r="C28" s="7" t="s">
        <v>18</v>
      </c>
      <c r="D28" s="7">
        <v>1</v>
      </c>
      <c r="E28" s="14">
        <f>E27</f>
        <v>450.13</v>
      </c>
      <c r="F28" s="38">
        <f t="shared" si="9"/>
        <v>1.0025167037861915</v>
      </c>
      <c r="G28" s="60">
        <f>D28/E28*F28</f>
        <v>2.2271714922048997E-3</v>
      </c>
      <c r="H28" s="8"/>
      <c r="I28" s="82">
        <f t="shared" si="10"/>
        <v>0</v>
      </c>
      <c r="J28" s="88">
        <f t="shared" si="11"/>
        <v>0</v>
      </c>
      <c r="K28" s="87"/>
    </row>
    <row r="29" spans="1:19" ht="15.75" thickBot="1">
      <c r="A29" s="22"/>
      <c r="B29" s="23"/>
      <c r="C29" s="23"/>
      <c r="D29" s="23"/>
      <c r="E29" s="23"/>
      <c r="F29" s="23"/>
      <c r="G29" s="27"/>
      <c r="H29" s="52"/>
      <c r="I29" s="81">
        <f>SUM(I25:I28)</f>
        <v>230.65478841870822</v>
      </c>
      <c r="J29" s="88">
        <f t="shared" si="11"/>
        <v>103563.99999999999</v>
      </c>
      <c r="K29" s="88">
        <f>SUM(K25:K28)</f>
        <v>103564</v>
      </c>
    </row>
    <row r="32" spans="1:19">
      <c r="H32" s="1" t="s">
        <v>84</v>
      </c>
    </row>
  </sheetData>
  <mergeCells count="2">
    <mergeCell ref="A3:H3"/>
    <mergeCell ref="A21:H21"/>
  </mergeCells>
  <pageMargins left="0.11811023622047245" right="0" top="0.15748031496062992" bottom="0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ком.усл</vt:lpstr>
      <vt:lpstr>сод.недв.им.</vt:lpstr>
      <vt:lpstr>сод.ОЦДИ</vt:lpstr>
      <vt:lpstr>з.пл.</vt:lpstr>
      <vt:lpstr>прочие общ.х.н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2021-01-11T11:25:26Z</dcterms:modified>
</cp:coreProperties>
</file>