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576" windowHeight="10752" activeTab="1"/>
  </bookViews>
  <sheets>
    <sheet name="Работа №1 на 01.01.2021" sheetId="13" r:id="rId1"/>
    <sheet name="Работа №2 на 01.01.2021" sheetId="14" r:id="rId2"/>
    <sheet name="Работа №3 на 01.01.2021" sheetId="15" r:id="rId3"/>
    <sheet name="Работа №4 на 01.01.2021" sheetId="16" r:id="rId4"/>
    <sheet name="Работа №5 на 01.01.2021" sheetId="17" r:id="rId5"/>
    <sheet name="свод" sheetId="18" state="hidden" r:id="rId6"/>
  </sheets>
  <definedNames>
    <definedName name="_xlnm.Print_Area" localSheetId="0">'Работа №1 на 01.01.2021'!$A$1:$M$202</definedName>
    <definedName name="_xlnm.Print_Area" localSheetId="1">'Работа №2 на 01.01.2021'!$A$1:$M$223</definedName>
    <definedName name="_xlnm.Print_Area" localSheetId="2">'Работа №3 на 01.01.2021'!$A$1:$M$214</definedName>
    <definedName name="_xlnm.Print_Area" localSheetId="3">'Работа №4 на 01.01.2021'!$A$1:$M$216</definedName>
    <definedName name="_xlnm.Print_Area" localSheetId="4">'Работа №5 на 01.01.2021'!$A$1:$M$220</definedName>
  </definedNames>
  <calcPr calcId="124519" refMode="R1C1"/>
</workbook>
</file>

<file path=xl/calcChain.xml><?xml version="1.0" encoding="utf-8"?>
<calcChain xmlns="http://schemas.openxmlformats.org/spreadsheetml/2006/main">
  <c r="N212" i="14"/>
  <c r="K210"/>
  <c r="E210"/>
  <c r="I210"/>
  <c r="I198"/>
  <c r="A203" i="17"/>
  <c r="D203"/>
  <c r="E203"/>
  <c r="G203"/>
  <c r="H203"/>
  <c r="I203"/>
  <c r="J203"/>
  <c r="K203"/>
  <c r="I187"/>
  <c r="I186"/>
  <c r="J121"/>
  <c r="J120"/>
  <c r="H112"/>
  <c r="H111"/>
  <c r="J111" s="1"/>
  <c r="H110"/>
  <c r="J110" s="1"/>
  <c r="H109"/>
  <c r="J109" s="1"/>
  <c r="I103"/>
  <c r="I102"/>
  <c r="I101"/>
  <c r="I100"/>
  <c r="I99"/>
  <c r="K99" s="1"/>
  <c r="I94"/>
  <c r="K94" s="1"/>
  <c r="I93"/>
  <c r="K93" s="1"/>
  <c r="I92"/>
  <c r="I91"/>
  <c r="I90"/>
  <c r="K90" s="1"/>
  <c r="F19"/>
  <c r="K187"/>
  <c r="K188" s="1"/>
  <c r="K186"/>
  <c r="L121"/>
  <c r="L120"/>
  <c r="J116"/>
  <c r="J115"/>
  <c r="J112"/>
  <c r="K103"/>
  <c r="K102"/>
  <c r="K101"/>
  <c r="K100"/>
  <c r="G93"/>
  <c r="K92"/>
  <c r="G92"/>
  <c r="K91"/>
  <c r="G91"/>
  <c r="G90"/>
  <c r="K202" i="16"/>
  <c r="K55"/>
  <c r="K95"/>
  <c r="K104"/>
  <c r="J113"/>
  <c r="L122"/>
  <c r="K155"/>
  <c r="K188"/>
  <c r="I194"/>
  <c r="K187"/>
  <c r="I187"/>
  <c r="I186"/>
  <c r="J121"/>
  <c r="L121" s="1"/>
  <c r="L120"/>
  <c r="J120"/>
  <c r="H112"/>
  <c r="J112" s="1"/>
  <c r="H111"/>
  <c r="J111" s="1"/>
  <c r="H110"/>
  <c r="J110" s="1"/>
  <c r="H109"/>
  <c r="J109" s="1"/>
  <c r="I103"/>
  <c r="K103" s="1"/>
  <c r="I102"/>
  <c r="K102" s="1"/>
  <c r="I101"/>
  <c r="K101" s="1"/>
  <c r="I100"/>
  <c r="K99"/>
  <c r="I99"/>
  <c r="I94"/>
  <c r="K94" s="1"/>
  <c r="I93"/>
  <c r="K93" s="1"/>
  <c r="G93"/>
  <c r="I92"/>
  <c r="K92" s="1"/>
  <c r="G92"/>
  <c r="I91"/>
  <c r="K91" s="1"/>
  <c r="G91"/>
  <c r="I90"/>
  <c r="K90" s="1"/>
  <c r="G90"/>
  <c r="K94" i="15"/>
  <c r="K104"/>
  <c r="I185"/>
  <c r="K185" s="1"/>
  <c r="K186" s="1"/>
  <c r="I184"/>
  <c r="J118"/>
  <c r="L118" s="1"/>
  <c r="J117"/>
  <c r="L117" s="1"/>
  <c r="H112"/>
  <c r="J112" s="1"/>
  <c r="H111"/>
  <c r="J111" s="1"/>
  <c r="H110"/>
  <c r="J110" s="1"/>
  <c r="H109"/>
  <c r="J109" s="1"/>
  <c r="J113" s="1"/>
  <c r="I103"/>
  <c r="K103" s="1"/>
  <c r="I102"/>
  <c r="K102" s="1"/>
  <c r="I101"/>
  <c r="K101" s="1"/>
  <c r="I100"/>
  <c r="K100" s="1"/>
  <c r="I99"/>
  <c r="I93"/>
  <c r="K93" s="1"/>
  <c r="I92"/>
  <c r="K92" s="1"/>
  <c r="I91"/>
  <c r="K91" s="1"/>
  <c r="I90"/>
  <c r="K90" s="1"/>
  <c r="I89"/>
  <c r="K89" s="1"/>
  <c r="K184"/>
  <c r="G92"/>
  <c r="G91"/>
  <c r="G90"/>
  <c r="G89"/>
  <c r="I188" i="17" l="1"/>
  <c r="N188" s="1"/>
  <c r="K95"/>
  <c r="L122"/>
  <c r="K104"/>
  <c r="J113"/>
  <c r="H113"/>
  <c r="N113" s="1"/>
  <c r="I104"/>
  <c r="N104" s="1"/>
  <c r="J122"/>
  <c r="I95"/>
  <c r="I188" i="16"/>
  <c r="N188" s="1"/>
  <c r="G202"/>
  <c r="K186"/>
  <c r="J202" s="1"/>
  <c r="J122"/>
  <c r="H113"/>
  <c r="N113" s="1"/>
  <c r="I104"/>
  <c r="N104" s="1"/>
  <c r="D202"/>
  <c r="K100"/>
  <c r="E202" s="1"/>
  <c r="I95"/>
  <c r="N95" s="1"/>
  <c r="L119" i="15"/>
  <c r="E202"/>
  <c r="K202"/>
  <c r="G202"/>
  <c r="D202"/>
  <c r="J202"/>
  <c r="I186"/>
  <c r="H113"/>
  <c r="N113" s="1"/>
  <c r="I104"/>
  <c r="N104" s="1"/>
  <c r="K99"/>
  <c r="I94"/>
  <c r="N94" s="1"/>
  <c r="I133" i="14"/>
  <c r="K55"/>
  <c r="A210"/>
  <c r="D184" i="13"/>
  <c r="H210" i="14"/>
  <c r="I192"/>
  <c r="I190"/>
  <c r="I193" s="1"/>
  <c r="N193" s="1"/>
  <c r="J124"/>
  <c r="J123"/>
  <c r="L123" s="1"/>
  <c r="H118"/>
  <c r="H113"/>
  <c r="J113" s="1"/>
  <c r="H112"/>
  <c r="H111"/>
  <c r="I104"/>
  <c r="I103"/>
  <c r="I102"/>
  <c r="I101"/>
  <c r="K101" s="1"/>
  <c r="I100"/>
  <c r="I94"/>
  <c r="I93"/>
  <c r="K93" s="1"/>
  <c r="I92"/>
  <c r="K92" s="1"/>
  <c r="I91"/>
  <c r="K91" s="1"/>
  <c r="K95" s="1"/>
  <c r="D210" s="1"/>
  <c r="I90"/>
  <c r="K90"/>
  <c r="K192"/>
  <c r="K190"/>
  <c r="L124"/>
  <c r="J118"/>
  <c r="J117"/>
  <c r="H117"/>
  <c r="H116"/>
  <c r="J116" s="1"/>
  <c r="J115"/>
  <c r="H115"/>
  <c r="J114"/>
  <c r="J112"/>
  <c r="H119"/>
  <c r="N119" s="1"/>
  <c r="K105"/>
  <c r="K104"/>
  <c r="K103"/>
  <c r="K102"/>
  <c r="K94"/>
  <c r="G93"/>
  <c r="G92"/>
  <c r="G91"/>
  <c r="G90"/>
  <c r="N95" i="17" l="1"/>
  <c r="N186" i="15"/>
  <c r="K193" i="14"/>
  <c r="J210" s="1"/>
  <c r="L125"/>
  <c r="G210" s="1"/>
  <c r="J125"/>
  <c r="N125" s="1"/>
  <c r="I106"/>
  <c r="N106" s="1"/>
  <c r="K100"/>
  <c r="K106" s="1"/>
  <c r="K191"/>
  <c r="I191"/>
  <c r="J111"/>
  <c r="J119" s="1"/>
  <c r="I95"/>
  <c r="N95" s="1"/>
  <c r="I110" i="13" l="1"/>
  <c r="I55"/>
  <c r="I67"/>
  <c r="F110" l="1"/>
  <c r="I136"/>
  <c r="N136" s="1"/>
  <c r="I168"/>
  <c r="I166"/>
  <c r="J100"/>
  <c r="J101"/>
  <c r="H95"/>
  <c r="J95" s="1"/>
  <c r="H90"/>
  <c r="H89"/>
  <c r="H88"/>
  <c r="H96" s="1"/>
  <c r="N96" s="1"/>
  <c r="H92"/>
  <c r="J92" s="1"/>
  <c r="H93"/>
  <c r="J93" s="1"/>
  <c r="H94"/>
  <c r="J94" s="1"/>
  <c r="I81"/>
  <c r="I80"/>
  <c r="I79"/>
  <c r="I78"/>
  <c r="I77"/>
  <c r="I71"/>
  <c r="K71" s="1"/>
  <c r="I70"/>
  <c r="I69"/>
  <c r="I68"/>
  <c r="G70"/>
  <c r="G69"/>
  <c r="G68"/>
  <c r="G67"/>
  <c r="K67"/>
  <c r="I72" l="1"/>
  <c r="N72" s="1"/>
  <c r="O44" i="14" l="1"/>
  <c r="N45"/>
  <c r="F129" i="17"/>
  <c r="F53"/>
  <c r="M20"/>
  <c r="N18"/>
  <c r="O17"/>
  <c r="M25"/>
  <c r="M24"/>
  <c r="M23"/>
  <c r="M22"/>
  <c r="M21"/>
  <c r="M19"/>
  <c r="M18"/>
  <c r="F22"/>
  <c r="F21"/>
  <c r="F20"/>
  <c r="F18"/>
  <c r="F129" i="16"/>
  <c r="F53"/>
  <c r="M25"/>
  <c r="M24"/>
  <c r="M23"/>
  <c r="M22"/>
  <c r="M21"/>
  <c r="M20"/>
  <c r="M19"/>
  <c r="M18"/>
  <c r="F22"/>
  <c r="F21"/>
  <c r="F20"/>
  <c r="F19"/>
  <c r="F18"/>
  <c r="F127" i="15"/>
  <c r="F53"/>
  <c r="M18"/>
  <c r="M19"/>
  <c r="M25"/>
  <c r="M24"/>
  <c r="M23"/>
  <c r="M22"/>
  <c r="M21"/>
  <c r="M20"/>
  <c r="F19"/>
  <c r="F22"/>
  <c r="F21"/>
  <c r="F20"/>
  <c r="F18"/>
  <c r="F133" i="14"/>
  <c r="F53"/>
  <c r="M18"/>
  <c r="F18"/>
  <c r="M25"/>
  <c r="M24"/>
  <c r="M23"/>
  <c r="M22"/>
  <c r="M21"/>
  <c r="M20"/>
  <c r="M19"/>
  <c r="F22"/>
  <c r="F21"/>
  <c r="F20"/>
  <c r="F19"/>
  <c r="F55" i="13"/>
  <c r="M26"/>
  <c r="M25"/>
  <c r="M24"/>
  <c r="M23"/>
  <c r="M22"/>
  <c r="M21"/>
  <c r="M20"/>
  <c r="M19"/>
  <c r="F23"/>
  <c r="F22"/>
  <c r="F21"/>
  <c r="F20"/>
  <c r="F19"/>
  <c r="K53" i="17" l="1"/>
  <c r="L53"/>
  <c r="I194" i="15" l="1"/>
  <c r="K191" l="1"/>
  <c r="D16" i="18"/>
  <c r="I195" i="17"/>
  <c r="K206" s="1"/>
  <c r="J222" s="1"/>
  <c r="J224" s="1"/>
  <c r="I155"/>
  <c r="K154"/>
  <c r="M154" s="1"/>
  <c r="M153"/>
  <c r="M152"/>
  <c r="K151"/>
  <c r="I151"/>
  <c r="J151" s="1"/>
  <c r="M151" s="1"/>
  <c r="K150"/>
  <c r="J150"/>
  <c r="I150"/>
  <c r="K149"/>
  <c r="J149"/>
  <c r="I149"/>
  <c r="K148"/>
  <c r="I148"/>
  <c r="J148" s="1"/>
  <c r="M148" s="1"/>
  <c r="K147"/>
  <c r="I147"/>
  <c r="J147" s="1"/>
  <c r="K146"/>
  <c r="J146"/>
  <c r="I146"/>
  <c r="K145"/>
  <c r="I145"/>
  <c r="J145" s="1"/>
  <c r="K144"/>
  <c r="I144"/>
  <c r="J144" s="1"/>
  <c r="M144" s="1"/>
  <c r="K143"/>
  <c r="I143"/>
  <c r="J143" s="1"/>
  <c r="K142"/>
  <c r="I142"/>
  <c r="J142" s="1"/>
  <c r="K141"/>
  <c r="I141"/>
  <c r="J141" s="1"/>
  <c r="K140"/>
  <c r="J140"/>
  <c r="I140"/>
  <c r="K139"/>
  <c r="I139"/>
  <c r="J139" s="1"/>
  <c r="M139" s="1"/>
  <c r="K138"/>
  <c r="J138"/>
  <c r="I138"/>
  <c r="K137"/>
  <c r="J137"/>
  <c r="I137"/>
  <c r="K136"/>
  <c r="J136"/>
  <c r="M136" s="1"/>
  <c r="I136"/>
  <c r="K135"/>
  <c r="I135"/>
  <c r="J135" s="1"/>
  <c r="M135" s="1"/>
  <c r="K134"/>
  <c r="J134"/>
  <c r="I134"/>
  <c r="K133"/>
  <c r="J133"/>
  <c r="I133"/>
  <c r="K132"/>
  <c r="I132"/>
  <c r="J132" s="1"/>
  <c r="M132" s="1"/>
  <c r="K131"/>
  <c r="I131"/>
  <c r="J131" s="1"/>
  <c r="K130"/>
  <c r="I130"/>
  <c r="J130" s="1"/>
  <c r="K129"/>
  <c r="K155" s="1"/>
  <c r="I155" i="16"/>
  <c r="K154"/>
  <c r="M154" s="1"/>
  <c r="M153"/>
  <c r="M152"/>
  <c r="K151"/>
  <c r="I151"/>
  <c r="J151" s="1"/>
  <c r="K150"/>
  <c r="I150"/>
  <c r="J150" s="1"/>
  <c r="K149"/>
  <c r="I149"/>
  <c r="J149" s="1"/>
  <c r="K148"/>
  <c r="I148"/>
  <c r="J148" s="1"/>
  <c r="K147"/>
  <c r="I147"/>
  <c r="J147" s="1"/>
  <c r="K146"/>
  <c r="I146"/>
  <c r="J146" s="1"/>
  <c r="K145"/>
  <c r="I145"/>
  <c r="J145" s="1"/>
  <c r="K144"/>
  <c r="I144"/>
  <c r="J144" s="1"/>
  <c r="K143"/>
  <c r="I143"/>
  <c r="J143" s="1"/>
  <c r="K142"/>
  <c r="I142"/>
  <c r="J142" s="1"/>
  <c r="K141"/>
  <c r="I141"/>
  <c r="J141" s="1"/>
  <c r="K140"/>
  <c r="I140"/>
  <c r="J140" s="1"/>
  <c r="K139"/>
  <c r="I139"/>
  <c r="J139" s="1"/>
  <c r="K138"/>
  <c r="J138"/>
  <c r="I138"/>
  <c r="K137"/>
  <c r="I137"/>
  <c r="J137" s="1"/>
  <c r="K136"/>
  <c r="I136"/>
  <c r="J136" s="1"/>
  <c r="K135"/>
  <c r="I135"/>
  <c r="J135" s="1"/>
  <c r="K134"/>
  <c r="I134"/>
  <c r="J134" s="1"/>
  <c r="K133"/>
  <c r="I133"/>
  <c r="J133" s="1"/>
  <c r="K132"/>
  <c r="I132"/>
  <c r="J132" s="1"/>
  <c r="K131"/>
  <c r="I131"/>
  <c r="J131" s="1"/>
  <c r="K130"/>
  <c r="I130"/>
  <c r="J130" s="1"/>
  <c r="K129"/>
  <c r="I202" s="1"/>
  <c r="J116"/>
  <c r="J115"/>
  <c r="L53"/>
  <c r="K53"/>
  <c r="K152" i="15"/>
  <c r="M152" s="1"/>
  <c r="M151"/>
  <c r="M150"/>
  <c r="K149"/>
  <c r="I149"/>
  <c r="J149" s="1"/>
  <c r="K148"/>
  <c r="I148"/>
  <c r="J148" s="1"/>
  <c r="K147"/>
  <c r="I147"/>
  <c r="J147" s="1"/>
  <c r="K146"/>
  <c r="I146"/>
  <c r="J146" s="1"/>
  <c r="K145"/>
  <c r="I145"/>
  <c r="J145" s="1"/>
  <c r="K144"/>
  <c r="I144"/>
  <c r="J144" s="1"/>
  <c r="K143"/>
  <c r="I143"/>
  <c r="J143" s="1"/>
  <c r="K142"/>
  <c r="I142"/>
  <c r="J142" s="1"/>
  <c r="K141"/>
  <c r="I141"/>
  <c r="J141" s="1"/>
  <c r="K140"/>
  <c r="I140"/>
  <c r="J140" s="1"/>
  <c r="K139"/>
  <c r="I139"/>
  <c r="J139" s="1"/>
  <c r="K138"/>
  <c r="J138"/>
  <c r="I138"/>
  <c r="K137"/>
  <c r="I137"/>
  <c r="J137" s="1"/>
  <c r="K136"/>
  <c r="I136"/>
  <c r="J136" s="1"/>
  <c r="K135"/>
  <c r="I135"/>
  <c r="J135" s="1"/>
  <c r="K134"/>
  <c r="I134"/>
  <c r="J134" s="1"/>
  <c r="K133"/>
  <c r="I133"/>
  <c r="J133" s="1"/>
  <c r="K132"/>
  <c r="I132"/>
  <c r="J132" s="1"/>
  <c r="K131"/>
  <c r="I131"/>
  <c r="J131" s="1"/>
  <c r="K130"/>
  <c r="I130"/>
  <c r="J130" s="1"/>
  <c r="K129"/>
  <c r="I129"/>
  <c r="J129" s="1"/>
  <c r="K128"/>
  <c r="I128"/>
  <c r="J128" s="1"/>
  <c r="K127"/>
  <c r="K153" s="1"/>
  <c r="I202" s="1"/>
  <c r="I55"/>
  <c r="L53"/>
  <c r="K53"/>
  <c r="I202" i="14"/>
  <c r="I159"/>
  <c r="K158"/>
  <c r="M158" s="1"/>
  <c r="M157"/>
  <c r="M156"/>
  <c r="K155"/>
  <c r="M155" s="1"/>
  <c r="J155"/>
  <c r="I155"/>
  <c r="K154"/>
  <c r="M154" s="1"/>
  <c r="J154"/>
  <c r="I154"/>
  <c r="K153"/>
  <c r="M153" s="1"/>
  <c r="J153"/>
  <c r="I153"/>
  <c r="K152"/>
  <c r="M152" s="1"/>
  <c r="J152"/>
  <c r="I152"/>
  <c r="K151"/>
  <c r="M151" s="1"/>
  <c r="J151"/>
  <c r="I151"/>
  <c r="K150"/>
  <c r="M150" s="1"/>
  <c r="J150"/>
  <c r="I150"/>
  <c r="K149"/>
  <c r="M149" s="1"/>
  <c r="J149"/>
  <c r="I149"/>
  <c r="K148"/>
  <c r="M148" s="1"/>
  <c r="J148"/>
  <c r="I148"/>
  <c r="K147"/>
  <c r="M147" s="1"/>
  <c r="J147"/>
  <c r="I147"/>
  <c r="K146"/>
  <c r="M146" s="1"/>
  <c r="J146"/>
  <c r="I146"/>
  <c r="K145"/>
  <c r="M145" s="1"/>
  <c r="J145"/>
  <c r="I145"/>
  <c r="K144"/>
  <c r="M144" s="1"/>
  <c r="J144"/>
  <c r="I144"/>
  <c r="K143"/>
  <c r="M143" s="1"/>
  <c r="J143"/>
  <c r="I143"/>
  <c r="K142"/>
  <c r="M142" s="1"/>
  <c r="J142"/>
  <c r="I142"/>
  <c r="K141"/>
  <c r="M141" s="1"/>
  <c r="J141"/>
  <c r="I141"/>
  <c r="K140"/>
  <c r="M140" s="1"/>
  <c r="J140"/>
  <c r="I140"/>
  <c r="K139"/>
  <c r="M139" s="1"/>
  <c r="J139"/>
  <c r="I139"/>
  <c r="K138"/>
  <c r="M138" s="1"/>
  <c r="J138"/>
  <c r="I138"/>
  <c r="K137"/>
  <c r="M137" s="1"/>
  <c r="J137"/>
  <c r="I137"/>
  <c r="K136"/>
  <c r="M136" s="1"/>
  <c r="J136"/>
  <c r="I136"/>
  <c r="K135"/>
  <c r="I135"/>
  <c r="J135" s="1"/>
  <c r="M135" s="1"/>
  <c r="K134"/>
  <c r="I134"/>
  <c r="J134" s="1"/>
  <c r="M134" s="1"/>
  <c r="K133"/>
  <c r="K159" s="1"/>
  <c r="M143" i="17" l="1"/>
  <c r="M140"/>
  <c r="M131"/>
  <c r="M147"/>
  <c r="M133"/>
  <c r="M137"/>
  <c r="M141"/>
  <c r="M145"/>
  <c r="M149"/>
  <c r="M130"/>
  <c r="L131"/>
  <c r="M134"/>
  <c r="M138"/>
  <c r="M142"/>
  <c r="M146"/>
  <c r="M150"/>
  <c r="M140" i="16"/>
  <c r="M151"/>
  <c r="M143"/>
  <c r="M136"/>
  <c r="M139"/>
  <c r="M148"/>
  <c r="M132"/>
  <c r="M147"/>
  <c r="M150"/>
  <c r="M135"/>
  <c r="M131"/>
  <c r="M144"/>
  <c r="M133"/>
  <c r="M141"/>
  <c r="M149"/>
  <c r="M130"/>
  <c r="L131"/>
  <c r="M134"/>
  <c r="M138"/>
  <c r="M142"/>
  <c r="M146"/>
  <c r="M137"/>
  <c r="M145"/>
  <c r="M133" i="15"/>
  <c r="M144"/>
  <c r="M147"/>
  <c r="M149"/>
  <c r="M136"/>
  <c r="M139"/>
  <c r="M141"/>
  <c r="M137"/>
  <c r="M145"/>
  <c r="M132"/>
  <c r="M140"/>
  <c r="M143"/>
  <c r="M148"/>
  <c r="K213" i="14"/>
  <c r="K225"/>
  <c r="K227" s="1"/>
  <c r="I227" s="1"/>
  <c r="M129" i="15"/>
  <c r="M134"/>
  <c r="M138"/>
  <c r="M146"/>
  <c r="M128"/>
  <c r="L129"/>
  <c r="M130"/>
  <c r="M142"/>
  <c r="M131"/>
  <c r="M135"/>
  <c r="M45" i="17"/>
  <c r="F45"/>
  <c r="I153" i="15"/>
  <c r="J119"/>
  <c r="N44"/>
  <c r="O44" s="1"/>
  <c r="K55"/>
  <c r="A202" s="1"/>
  <c r="L135" i="14"/>
  <c r="I55"/>
  <c r="K53"/>
  <c r="K168" i="13"/>
  <c r="K166"/>
  <c r="K169" l="1"/>
  <c r="J184" s="1"/>
  <c r="N44" i="17"/>
  <c r="O44" s="1"/>
  <c r="N44" i="16"/>
  <c r="O44" s="1"/>
  <c r="I169" i="13"/>
  <c r="N169" s="1"/>
  <c r="N44" i="14" l="1"/>
  <c r="D29" i="18" l="1"/>
  <c r="D30" s="1"/>
  <c r="D14"/>
  <c r="K201" i="14"/>
  <c r="K200"/>
  <c r="K199"/>
  <c r="K198"/>
  <c r="D13" i="18"/>
  <c r="K202" i="14" l="1"/>
  <c r="F210" s="1"/>
  <c r="L210" s="1"/>
  <c r="K194" i="17" l="1"/>
  <c r="K193"/>
  <c r="K192"/>
  <c r="I181"/>
  <c r="K180"/>
  <c r="K181" s="1"/>
  <c r="I179"/>
  <c r="M178"/>
  <c r="I178"/>
  <c r="I170"/>
  <c r="K169"/>
  <c r="K170" s="1"/>
  <c r="M163"/>
  <c r="I162"/>
  <c r="H162"/>
  <c r="I161"/>
  <c r="H161"/>
  <c r="I160"/>
  <c r="H160"/>
  <c r="M81"/>
  <c r="I80"/>
  <c r="M80" s="1"/>
  <c r="I79"/>
  <c r="M79" s="1"/>
  <c r="I78"/>
  <c r="M78" s="1"/>
  <c r="I77"/>
  <c r="M77" s="1"/>
  <c r="I76"/>
  <c r="M76" s="1"/>
  <c r="I75"/>
  <c r="M75" s="1"/>
  <c r="I74"/>
  <c r="M74" s="1"/>
  <c r="I73"/>
  <c r="M73" s="1"/>
  <c r="I72"/>
  <c r="M72" s="1"/>
  <c r="I71"/>
  <c r="M71" s="1"/>
  <c r="I70"/>
  <c r="M70" s="1"/>
  <c r="I69"/>
  <c r="M69" s="1"/>
  <c r="I68"/>
  <c r="M68" s="1"/>
  <c r="I67"/>
  <c r="M67" s="1"/>
  <c r="I66"/>
  <c r="M66" s="1"/>
  <c r="I65"/>
  <c r="M65" s="1"/>
  <c r="I64"/>
  <c r="M64" s="1"/>
  <c r="I63"/>
  <c r="M63" s="1"/>
  <c r="K192" i="16"/>
  <c r="K194" s="1"/>
  <c r="F202" s="1"/>
  <c r="L202" s="1"/>
  <c r="N204" s="1"/>
  <c r="K193"/>
  <c r="D15" i="18" l="1"/>
  <c r="K195" i="17"/>
  <c r="F203" s="1"/>
  <c r="I55"/>
  <c r="K55"/>
  <c r="M82"/>
  <c r="I181" i="16"/>
  <c r="K180"/>
  <c r="K181" s="1"/>
  <c r="H202" s="1"/>
  <c r="I179"/>
  <c r="M178"/>
  <c r="I178"/>
  <c r="I170"/>
  <c r="K169"/>
  <c r="K170" s="1"/>
  <c r="M163"/>
  <c r="I162"/>
  <c r="H162"/>
  <c r="I161"/>
  <c r="H161"/>
  <c r="I160"/>
  <c r="H160"/>
  <c r="M81"/>
  <c r="M80"/>
  <c r="I80"/>
  <c r="I79"/>
  <c r="M79" s="1"/>
  <c r="I78"/>
  <c r="M78" s="1"/>
  <c r="I77"/>
  <c r="M77" s="1"/>
  <c r="I76"/>
  <c r="M76" s="1"/>
  <c r="I75"/>
  <c r="M75" s="1"/>
  <c r="I74"/>
  <c r="M74" s="1"/>
  <c r="I73"/>
  <c r="M73" s="1"/>
  <c r="I72"/>
  <c r="M72" s="1"/>
  <c r="I71"/>
  <c r="M71" s="1"/>
  <c r="I70"/>
  <c r="M70" s="1"/>
  <c r="I69"/>
  <c r="M69" s="1"/>
  <c r="I68"/>
  <c r="M68" s="1"/>
  <c r="I67"/>
  <c r="M67" s="1"/>
  <c r="I66"/>
  <c r="M66" s="1"/>
  <c r="I65"/>
  <c r="M65" s="1"/>
  <c r="I64"/>
  <c r="M64" s="1"/>
  <c r="I63"/>
  <c r="M63" s="1"/>
  <c r="I55"/>
  <c r="K205" s="1"/>
  <c r="H218" s="1"/>
  <c r="H219" s="1"/>
  <c r="K193" i="15"/>
  <c r="K192"/>
  <c r="K190"/>
  <c r="I179"/>
  <c r="K205" s="1"/>
  <c r="J216" s="1"/>
  <c r="J217" s="1"/>
  <c r="K178"/>
  <c r="K179" s="1"/>
  <c r="H202" s="1"/>
  <c r="I177"/>
  <c r="M176"/>
  <c r="I176"/>
  <c r="I168"/>
  <c r="K167"/>
  <c r="K168" s="1"/>
  <c r="M161"/>
  <c r="I160"/>
  <c r="H160"/>
  <c r="I159"/>
  <c r="H159"/>
  <c r="I158"/>
  <c r="H158"/>
  <c r="M80"/>
  <c r="I79"/>
  <c r="M79" s="1"/>
  <c r="I78"/>
  <c r="M78" s="1"/>
  <c r="I77"/>
  <c r="M77" s="1"/>
  <c r="I76"/>
  <c r="M76" s="1"/>
  <c r="I75"/>
  <c r="M75" s="1"/>
  <c r="I74"/>
  <c r="M74" s="1"/>
  <c r="I73"/>
  <c r="M73" s="1"/>
  <c r="I72"/>
  <c r="M72" s="1"/>
  <c r="I71"/>
  <c r="M71" s="1"/>
  <c r="I70"/>
  <c r="M70" s="1"/>
  <c r="I69"/>
  <c r="M69" s="1"/>
  <c r="I68"/>
  <c r="M68" s="1"/>
  <c r="I67"/>
  <c r="M67" s="1"/>
  <c r="I66"/>
  <c r="M66" s="1"/>
  <c r="I65"/>
  <c r="M65" s="1"/>
  <c r="I64"/>
  <c r="M64" s="1"/>
  <c r="I63"/>
  <c r="M63" s="1"/>
  <c r="I62"/>
  <c r="M62" s="1"/>
  <c r="K194" l="1"/>
  <c r="F202" s="1"/>
  <c r="L203" i="17"/>
  <c r="N205" s="1"/>
  <c r="M82" i="16"/>
  <c r="A202"/>
  <c r="M81" i="15"/>
  <c r="L202" l="1"/>
  <c r="N204" s="1"/>
  <c r="I185" i="14" l="1"/>
  <c r="K184"/>
  <c r="K185" s="1"/>
  <c r="I183"/>
  <c r="M182"/>
  <c r="I182"/>
  <c r="I174"/>
  <c r="K173"/>
  <c r="K174" s="1"/>
  <c r="M167"/>
  <c r="I166"/>
  <c r="H166"/>
  <c r="I165"/>
  <c r="H165"/>
  <c r="I164"/>
  <c r="H164"/>
  <c r="M81"/>
  <c r="I80"/>
  <c r="M80" s="1"/>
  <c r="I79"/>
  <c r="M79" s="1"/>
  <c r="I78"/>
  <c r="M78" s="1"/>
  <c r="I77"/>
  <c r="M77" s="1"/>
  <c r="I76"/>
  <c r="M76" s="1"/>
  <c r="I75"/>
  <c r="M75" s="1"/>
  <c r="I74"/>
  <c r="M74" s="1"/>
  <c r="I73"/>
  <c r="M73" s="1"/>
  <c r="I72"/>
  <c r="M72" s="1"/>
  <c r="I71"/>
  <c r="M71" s="1"/>
  <c r="I70"/>
  <c r="M70" s="1"/>
  <c r="I69"/>
  <c r="M69" s="1"/>
  <c r="I68"/>
  <c r="M68" s="1"/>
  <c r="I67"/>
  <c r="M67" s="1"/>
  <c r="I66"/>
  <c r="M66" s="1"/>
  <c r="I65"/>
  <c r="M65" s="1"/>
  <c r="I64"/>
  <c r="M64" s="1"/>
  <c r="I63"/>
  <c r="M63" s="1"/>
  <c r="M82" l="1"/>
  <c r="I176" i="13" l="1"/>
  <c r="K174"/>
  <c r="K176" s="1"/>
  <c r="K173"/>
  <c r="K175"/>
  <c r="D12" i="18" l="1"/>
  <c r="D17" s="1"/>
  <c r="D18" s="1"/>
  <c r="H12" s="1"/>
  <c r="N176" i="13"/>
  <c r="F184"/>
  <c r="K81" l="1"/>
  <c r="I83"/>
  <c r="L100"/>
  <c r="K161"/>
  <c r="N83" l="1"/>
  <c r="I167"/>
  <c r="J102"/>
  <c r="N102" l="1"/>
  <c r="L101"/>
  <c r="L102" s="1"/>
  <c r="J88"/>
  <c r="J89"/>
  <c r="J90"/>
  <c r="J91"/>
  <c r="K110"/>
  <c r="I58"/>
  <c r="K187" s="1"/>
  <c r="J96" l="1"/>
  <c r="K184" s="1"/>
  <c r="J203"/>
  <c r="J204" s="1"/>
  <c r="J206" s="1"/>
  <c r="N58"/>
  <c r="N205" s="1"/>
  <c r="N206" s="1"/>
  <c r="G184"/>
  <c r="K167"/>
  <c r="K82" l="1"/>
  <c r="K150" l="1"/>
  <c r="K151" s="1"/>
  <c r="K162"/>
  <c r="H184" s="1"/>
  <c r="I151"/>
  <c r="I162"/>
  <c r="I160" l="1"/>
  <c r="M159"/>
  <c r="I159"/>
  <c r="M144"/>
  <c r="I143"/>
  <c r="H143"/>
  <c r="I142"/>
  <c r="H142"/>
  <c r="I141"/>
  <c r="H141"/>
  <c r="K135"/>
  <c r="M135" s="1"/>
  <c r="M134"/>
  <c r="M133"/>
  <c r="K132"/>
  <c r="I132"/>
  <c r="J132" s="1"/>
  <c r="K131"/>
  <c r="I131"/>
  <c r="J131" s="1"/>
  <c r="K130"/>
  <c r="I130"/>
  <c r="J130" s="1"/>
  <c r="K129"/>
  <c r="I129"/>
  <c r="J129" s="1"/>
  <c r="K128"/>
  <c r="I128"/>
  <c r="J128" s="1"/>
  <c r="K127"/>
  <c r="I127"/>
  <c r="J127" s="1"/>
  <c r="K126"/>
  <c r="I126"/>
  <c r="J126" s="1"/>
  <c r="K125"/>
  <c r="I125"/>
  <c r="J125" s="1"/>
  <c r="K124"/>
  <c r="I124"/>
  <c r="J124" s="1"/>
  <c r="K123"/>
  <c r="I123"/>
  <c r="J123" s="1"/>
  <c r="K122"/>
  <c r="I122"/>
  <c r="J122" s="1"/>
  <c r="K121"/>
  <c r="I121"/>
  <c r="J121" s="1"/>
  <c r="K120"/>
  <c r="I120"/>
  <c r="J120" s="1"/>
  <c r="K119"/>
  <c r="I119"/>
  <c r="J119" s="1"/>
  <c r="K118"/>
  <c r="I118"/>
  <c r="J118" s="1"/>
  <c r="K117"/>
  <c r="I117"/>
  <c r="J117" s="1"/>
  <c r="K116"/>
  <c r="I116"/>
  <c r="J116" s="1"/>
  <c r="K115"/>
  <c r="I115"/>
  <c r="J115" s="1"/>
  <c r="K114"/>
  <c r="I114"/>
  <c r="J114" s="1"/>
  <c r="K113"/>
  <c r="I113"/>
  <c r="J113" s="1"/>
  <c r="K112"/>
  <c r="I112"/>
  <c r="K111"/>
  <c r="I111"/>
  <c r="J111" s="1"/>
  <c r="K80"/>
  <c r="K79"/>
  <c r="K78"/>
  <c r="K77"/>
  <c r="K83" s="1"/>
  <c r="K70"/>
  <c r="K69"/>
  <c r="K68"/>
  <c r="K72" l="1"/>
  <c r="E184"/>
  <c r="M111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J112"/>
  <c r="M112" s="1"/>
  <c r="L112"/>
  <c r="K136"/>
  <c r="I184" s="1"/>
  <c r="K55"/>
  <c r="K58" s="1"/>
  <c r="A184" s="1"/>
  <c r="L184" l="1"/>
  <c r="N186" s="1"/>
  <c r="B6" i="18"/>
</calcChain>
</file>

<file path=xl/sharedStrings.xml><?xml version="1.0" encoding="utf-8"?>
<sst xmlns="http://schemas.openxmlformats.org/spreadsheetml/2006/main" count="1187" uniqueCount="191">
  <si>
    <t>Кол-во ставок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</si>
  <si>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</si>
  <si>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</si>
  <si>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</si>
  <si>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</si>
  <si>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</si>
  <si>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</si>
  <si>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</si>
  <si>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</si>
  <si>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</si>
  <si>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</si>
  <si>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</si>
  <si>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</si>
  <si>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</si>
  <si>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</si>
  <si>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</si>
  <si>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</si>
  <si>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</si>
  <si>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</si>
  <si>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</si>
  <si>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</si>
  <si>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</si>
  <si>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</si>
  <si>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</si>
  <si>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</si>
  <si>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</si>
  <si>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</si>
  <si>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</si>
  <si>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</si>
  <si>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</si>
  <si>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</si>
  <si>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</si>
  <si>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</si>
  <si>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</si>
  <si>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</si>
  <si>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</si>
  <si>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</si>
  <si>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</si>
  <si>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</si>
  <si>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</si>
  <si>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</si>
  <si>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</si>
  <si>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</si>
  <si>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</si>
  <si>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</si>
  <si>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</si>
  <si>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</si>
  <si>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</si>
  <si>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</si>
  <si>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</si>
  <si>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</si>
  <si>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</si>
  <si>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</si>
  <si>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</si>
  <si>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УС</t>
  </si>
  <si>
    <t>ТУ</t>
  </si>
  <si>
    <t>ОТ2</t>
  </si>
  <si>
    <t>ПНЗ</t>
  </si>
  <si>
    <t>Базовый норматив затрат на оказание услуг, руб.</t>
  </si>
  <si>
    <t>5=3/4</t>
  </si>
  <si>
    <t>8=5*7</t>
  </si>
  <si>
    <t>8=6*7</t>
  </si>
  <si>
    <t>Фортепиано</t>
  </si>
  <si>
    <t xml:space="preserve">Рояль концертный </t>
  </si>
  <si>
    <t>Рояль электронный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</si>
  <si>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</si>
  <si>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</si>
  <si>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</si>
  <si>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</si>
  <si>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</si>
  <si>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</si>
  <si>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 xml:space="preserve">Тариф (цена), рублей </t>
  </si>
  <si>
    <t>Исполнитель: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</si>
  <si>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</si>
  <si>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</si>
  <si>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</si>
  <si>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</si>
  <si>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</si>
  <si>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</si>
  <si>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</si>
  <si>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</si>
  <si>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</si>
  <si>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</si>
  <si>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</si>
  <si>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</si>
  <si>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</si>
  <si>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</si>
  <si>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</si>
  <si>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</si>
  <si>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</si>
  <si>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 xml:space="preserve">Нормативный объем </t>
  </si>
  <si>
    <t>литры</t>
  </si>
  <si>
    <t xml:space="preserve">нормативный объем </t>
  </si>
  <si>
    <t xml:space="preserve">                                                                                                                                                                               Прочие расходы</t>
  </si>
  <si>
    <t>Итого прочие расходы</t>
  </si>
  <si>
    <t>Оплата по страховым взносам</t>
  </si>
  <si>
    <t>ПР</t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</si>
  <si>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</si>
  <si>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r>
      <t xml:space="preserve">Прочее имущество </t>
    </r>
    <r>
      <rPr>
        <b/>
        <sz val="11"/>
        <color rgb="FFFF0000"/>
        <rFont val="Times New Roman"/>
        <family val="1"/>
        <charset val="204"/>
      </rPr>
      <t>(?)</t>
    </r>
  </si>
  <si>
    <t>Интернет</t>
  </si>
  <si>
    <t>кол-во точек, ед</t>
  </si>
  <si>
    <t>Затраты на прочие расходы</t>
  </si>
  <si>
    <t>Прочие затраты</t>
  </si>
  <si>
    <t xml:space="preserve">                     ИСХОДНЫЕ ДАННЫЕ И РЕЗУЛЬТАТЫ РАСЧЕТОВ  МБУ ММЦ "Бригантина"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</si>
  <si>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бюджетное  учреждение "Многопрофильный молодежный центр "Бригантина" г. Назарово"</t>
    </r>
  </si>
  <si>
    <t>Количество мероприятий</t>
  </si>
  <si>
    <t>Нормативные затраты на одного потребителя</t>
  </si>
  <si>
    <t>ИТОГО по муниципальной работе</t>
  </si>
  <si>
    <t>Директор МБУ ММЦ "Бригантина"</t>
  </si>
  <si>
    <t>Кол-во штатных едениц</t>
  </si>
  <si>
    <t>Работники, непосредственно связанные с оказанием работ</t>
  </si>
  <si>
    <t>Работники, непосредственно не связанные с оказанием работ</t>
  </si>
  <si>
    <t>Оплата услуг по техническому обслуживанию, ремонту вычислительной техники и оборудования</t>
  </si>
  <si>
    <t>Оплата расходов по промывке сетей отопления</t>
  </si>
  <si>
    <t>Услуги по заправке картриджей к оргтехнике</t>
  </si>
  <si>
    <t>Техническое обслуживание установок пожарной сигнализации</t>
  </si>
  <si>
    <t>Оплата стоимости обучения на курсах повышения квалификации</t>
  </si>
  <si>
    <t>Оказание охранных услуг, пульт централизованного наблюдения (ПЦН)</t>
  </si>
  <si>
    <t>Оказание охранных услуг (кнопка тревожной сигнализации)</t>
  </si>
  <si>
    <t>Приобретение программы Антивирус</t>
  </si>
  <si>
    <t>Обслуживание видеонаблюдения</t>
  </si>
  <si>
    <t xml:space="preserve">Затраты на оплату труда (с начисленииями) работников, непосредственно связанных с оказанием работ. </t>
  </si>
  <si>
    <t>Затраты на оплату труда (с начислениями) работников, непосредственно не связанных с оказанием работ</t>
  </si>
  <si>
    <t>Методист</t>
  </si>
  <si>
    <t>Специалист по работе с молодежью</t>
  </si>
  <si>
    <t>Специалист по связям с общественностью</t>
  </si>
  <si>
    <t>Звукооператор</t>
  </si>
  <si>
    <t>Делопроизводитель</t>
  </si>
  <si>
    <t>Педагог-психолог</t>
  </si>
  <si>
    <t>Юрисконсульт</t>
  </si>
  <si>
    <t>Администратор</t>
  </si>
  <si>
    <t>Начальник хозяйственного отдела</t>
  </si>
  <si>
    <t>Уборщик служебных помещений</t>
  </si>
  <si>
    <t>Уборщик территорий</t>
  </si>
  <si>
    <t>Наименование</t>
  </si>
  <si>
    <t>Нормативные затраты на одно мероприятие</t>
  </si>
  <si>
    <t>Затраты на проведение мероприятий</t>
  </si>
  <si>
    <t>ЗНПР</t>
  </si>
  <si>
    <t>Профилактика безнадзорности и правонарушений среди несовершеннолетних граждан</t>
  </si>
  <si>
    <t>Информационная поддержка молодежной политики</t>
  </si>
  <si>
    <t>Поддержка одарённой, талантливой молодёжи,  молодежного творчества и молодежных субкультур.</t>
  </si>
  <si>
    <r>
      <t xml:space="preserve">Наименование показателя объема: </t>
    </r>
    <r>
      <rPr>
        <sz val="12"/>
        <color theme="1"/>
        <rFont val="Times New Roman"/>
        <family val="1"/>
        <charset val="204"/>
      </rPr>
      <t>25 (проведение военно-патриотических мероприятий, семинаров, акций, слётов, игр, круглых столов и др.)</t>
    </r>
  </si>
  <si>
    <t>Планируемое число мероприятий в год: 25</t>
  </si>
  <si>
    <t>Мероприятия направленные на развитие молодежных патриотических объединений и клубов города Назарово</t>
  </si>
  <si>
    <t>Поддержка инновационной деятельности молодежи и молодежного предпринимательства</t>
  </si>
  <si>
    <t>Мероприятия направленные на развитие добровольческого движения на территории города Назарово</t>
  </si>
  <si>
    <r>
      <t>Работа № 1:</t>
    </r>
    <r>
      <rPr>
        <sz val="12"/>
        <color theme="1"/>
        <rFont val="Times New Roman"/>
        <family val="1"/>
        <charset val="204"/>
      </rPr>
      <t xml:space="preserve"> Организация мероприятий, направленных на профилактику ассоциального деструктивного поведения подростков и молодежи, поддержка детей и молодежи, находящейся в социально-опасном положении. </t>
    </r>
  </si>
  <si>
    <r>
      <t>Работа № 2:</t>
    </r>
    <r>
      <rPr>
        <sz val="12"/>
        <color theme="1"/>
        <rFont val="Times New Roman"/>
        <family val="1"/>
        <charset val="204"/>
      </rPr>
      <t xml:space="preserve"> 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самореализации подростков и молодежи, развитие творческого, профессионального, интеллектуального потенциалов подростков и молодежи.</t>
    </r>
  </si>
  <si>
    <r>
      <t xml:space="preserve">Работа № 3: </t>
    </r>
    <r>
      <rPr>
        <sz val="12"/>
        <color theme="1"/>
        <rFont val="Times New Roman"/>
        <family val="1"/>
        <charset val="204"/>
      </rPr>
  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молодежи.</t>
    </r>
  </si>
  <si>
    <r>
      <t xml:space="preserve">Работа № 4: </t>
    </r>
    <r>
      <rPr>
        <sz val="12"/>
        <color theme="1"/>
        <rFont val="Times New Roman"/>
        <family val="1"/>
        <charset val="204"/>
      </rPr>
  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жизни.</t>
    </r>
  </si>
  <si>
    <r>
      <t xml:space="preserve">Работа № 5: </t>
    </r>
    <r>
      <rPr>
        <sz val="12"/>
        <color theme="1"/>
        <rFont val="Times New Roman"/>
        <family val="1"/>
        <charset val="204"/>
      </rPr>
      <t>Организация досуга детей, подростков и молодежи.</t>
    </r>
  </si>
  <si>
    <t>Поддержка молодых граждан в сфере занятости, трудового воспитания,  профориентации, оздоровления, отдыха детей, подростков и молодежи.</t>
  </si>
  <si>
    <t>162 0707 0610000810 611</t>
  </si>
  <si>
    <t xml:space="preserve">2 работа </t>
  </si>
  <si>
    <t xml:space="preserve">3 работа </t>
  </si>
  <si>
    <t xml:space="preserve">4 работа </t>
  </si>
  <si>
    <t xml:space="preserve">5 работа </t>
  </si>
  <si>
    <t>итого:</t>
  </si>
  <si>
    <t xml:space="preserve">Сумма по всем 5 муниципальным работам: </t>
  </si>
  <si>
    <t>ВСЕГО:</t>
  </si>
  <si>
    <t xml:space="preserve">1 работа    </t>
  </si>
  <si>
    <r>
      <t>Наименование показателя объема: 890</t>
    </r>
    <r>
      <rPr>
        <sz val="12"/>
        <color theme="1"/>
        <rFont val="Times New Roman"/>
        <family val="1"/>
        <charset val="204"/>
      </rPr>
      <t xml:space="preserve"> (мероприятий консультационной направленности, тренинги, круглые столы)</t>
    </r>
  </si>
  <si>
    <t>Планируемое число мероприятий в год: 890</t>
  </si>
  <si>
    <r>
      <t>Наименование показателя объема: 57</t>
    </r>
    <r>
      <rPr>
        <sz val="12"/>
        <color theme="1"/>
        <rFont val="Times New Roman"/>
        <family val="1"/>
        <charset val="204"/>
      </rPr>
      <t xml:space="preserve"> (проведение конкурсов, фестивалей, фотовыставок, фотоквестов, культурно-досуговых мероприятий, мероприятий "Робототехника и НТТМ", школ проектной грамотности, сопровождение  реализации проектов)</t>
    </r>
  </si>
  <si>
    <t>Планируемое число мероприятий в год: 57</t>
  </si>
  <si>
    <t>Планируемое число мероприятий в год: 52</t>
  </si>
  <si>
    <r>
      <t>Наименование показателя объема: 13</t>
    </r>
    <r>
      <rPr>
        <sz val="12"/>
        <color theme="1"/>
        <rFont val="Times New Roman"/>
        <family val="1"/>
        <charset val="204"/>
      </rPr>
      <t xml:space="preserve"> (проведение организационно- рекламных, досуговых мероприятий, акций и др. для подростков и молодежи)</t>
    </r>
  </si>
  <si>
    <t>Планируемое число мероприятий в год: 13</t>
  </si>
  <si>
    <t>Поддержка деятельности муниципальных молодежных центров за счет средств местного бюджета</t>
  </si>
  <si>
    <t>Поддержка молодых семей</t>
  </si>
  <si>
    <t>Реализация мероприятий в сфере укрепления межнационального единства и межконфессионального согласия</t>
  </si>
  <si>
    <t>ПЛАН ПО АССИГНОВАНИЯМ:</t>
  </si>
  <si>
    <t>Приложение № 1 к приказу от                                № ____</t>
  </si>
  <si>
    <t>Приложение № 5 к приказу от                           № ____</t>
  </si>
  <si>
    <t>Приложение № 4 к приказу от                            № ____</t>
  </si>
  <si>
    <t>Приложение № 3 к приказу от                            № ____</t>
  </si>
  <si>
    <t>Приложение № 2 к приказу от                              № ____</t>
  </si>
  <si>
    <r>
      <t>Штатное расписание: 21,5</t>
    </r>
    <r>
      <rPr>
        <sz val="12"/>
        <color theme="1"/>
        <rFont val="Times New Roman"/>
        <family val="1"/>
        <charset val="204"/>
      </rPr>
      <t xml:space="preserve"> штатных едениц</t>
    </r>
  </si>
  <si>
    <t>Зам.директора по общим вопросам</t>
  </si>
  <si>
    <t>Суточные при служебных командировках</t>
  </si>
  <si>
    <t>Пособие по уходу за ребенком до 3-х лет</t>
  </si>
  <si>
    <t>Шефовалова Е.А.</t>
  </si>
  <si>
    <t>7-45-59</t>
  </si>
  <si>
    <t xml:space="preserve">Развитие системы патриотического воспитания в рамках деятельности молодежных центров </t>
  </si>
  <si>
    <t>Обеспечение деятльности муниципальных ресурсных центров поддержки общественных инициатив</t>
  </si>
  <si>
    <t>БАЗОВОГО НОРМАТИВА ЗАТРАТ НА ОКАЗАНИЕ МУНИЦИПАЛЬНЫХ РАБОТ НА 2021 год</t>
  </si>
  <si>
    <r>
      <t>Наименование показателя объема: 25</t>
    </r>
    <r>
      <rPr>
        <sz val="12"/>
        <color theme="1"/>
        <rFont val="Times New Roman"/>
        <family val="1"/>
        <charset val="204"/>
      </rPr>
      <t xml:space="preserve"> (проведение мероприятий, акций, тренингов, мастер-классов по предпринимательской, добровольческой деятельности и мероприятий, направленных на формирование ЗОЖ)</t>
    </r>
  </si>
  <si>
    <t>Поддержка деятельности муниципальных молодежных центров (КБ)</t>
  </si>
  <si>
    <t xml:space="preserve">Техническое и аварийное обслуживание здания </t>
  </si>
  <si>
    <t>ТКО</t>
  </si>
  <si>
    <t>Н.С. Аникина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</si>
</sst>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#,##0.0"/>
    <numFmt numFmtId="166" formatCode="0.0"/>
  </numFmts>
  <fonts count="1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53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2" borderId="1" xfId="0" applyFont="1" applyFill="1" applyBorder="1"/>
    <xf numFmtId="0" fontId="7" fillId="2" borderId="0" xfId="0" applyFont="1" applyFill="1"/>
    <xf numFmtId="0" fontId="8" fillId="0" borderId="0" xfId="0" applyFont="1"/>
    <xf numFmtId="2" fontId="7" fillId="0" borderId="1" xfId="0" applyNumberFormat="1" applyFont="1" applyBorder="1"/>
    <xf numFmtId="0" fontId="7" fillId="0" borderId="1" xfId="0" applyNumberFormat="1" applyFont="1" applyBorder="1"/>
    <xf numFmtId="4" fontId="7" fillId="2" borderId="1" xfId="0" applyNumberFormat="1" applyFont="1" applyFill="1" applyBorder="1"/>
    <xf numFmtId="3" fontId="7" fillId="2" borderId="1" xfId="0" applyNumberFormat="1" applyFont="1" applyFill="1" applyBorder="1"/>
    <xf numFmtId="165" fontId="7" fillId="2" borderId="1" xfId="0" applyNumberFormat="1" applyFont="1" applyFill="1" applyBorder="1"/>
    <xf numFmtId="4" fontId="7" fillId="0" borderId="1" xfId="0" applyNumberFormat="1" applyFont="1" applyBorder="1"/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/>
    <xf numFmtId="165" fontId="7" fillId="2" borderId="0" xfId="0" applyNumberFormat="1" applyFont="1" applyFill="1" applyBorder="1"/>
    <xf numFmtId="4" fontId="7" fillId="2" borderId="0" xfId="0" applyNumberFormat="1" applyFont="1" applyFill="1" applyBorder="1"/>
    <xf numFmtId="0" fontId="7" fillId="0" borderId="0" xfId="0" applyFont="1" applyBorder="1"/>
    <xf numFmtId="2" fontId="7" fillId="0" borderId="0" xfId="0" applyNumberFormat="1" applyFont="1" applyBorder="1"/>
    <xf numFmtId="0" fontId="7" fillId="4" borderId="0" xfId="0" applyFont="1" applyFill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/>
    <xf numFmtId="164" fontId="7" fillId="4" borderId="1" xfId="0" applyNumberFormat="1" applyFont="1" applyFill="1" applyBorder="1"/>
    <xf numFmtId="0" fontId="8" fillId="0" borderId="0" xfId="0" applyFont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/>
    <xf numFmtId="0" fontId="7" fillId="0" borderId="0" xfId="0" applyFont="1" applyBorder="1" applyAlignment="1">
      <alignment wrapText="1"/>
    </xf>
    <xf numFmtId="4" fontId="11" fillId="0" borderId="1" xfId="0" applyNumberFormat="1" applyFont="1" applyBorder="1"/>
    <xf numFmtId="4" fontId="7" fillId="0" borderId="7" xfId="0" applyNumberFormat="1" applyFont="1" applyBorder="1"/>
    <xf numFmtId="0" fontId="11" fillId="2" borderId="2" xfId="0" applyFont="1" applyFill="1" applyBorder="1" applyAlignment="1">
      <alignment wrapText="1"/>
    </xf>
    <xf numFmtId="4" fontId="7" fillId="2" borderId="2" xfId="0" applyNumberFormat="1" applyFont="1" applyFill="1" applyBorder="1"/>
    <xf numFmtId="4" fontId="7" fillId="2" borderId="7" xfId="0" applyNumberFormat="1" applyFont="1" applyFill="1" applyBorder="1"/>
    <xf numFmtId="166" fontId="7" fillId="2" borderId="1" xfId="0" applyNumberFormat="1" applyFont="1" applyFill="1" applyBorder="1"/>
    <xf numFmtId="4" fontId="7" fillId="2" borderId="6" xfId="0" applyNumberFormat="1" applyFont="1" applyFill="1" applyBorder="1"/>
    <xf numFmtId="4" fontId="8" fillId="7" borderId="8" xfId="0" applyNumberFormat="1" applyFont="1" applyFill="1" applyBorder="1"/>
    <xf numFmtId="2" fontId="8" fillId="7" borderId="8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0" fontId="8" fillId="0" borderId="0" xfId="0" applyFont="1" applyBorder="1" applyAlignment="1">
      <alignment horizontal="left"/>
    </xf>
    <xf numFmtId="4" fontId="8" fillId="2" borderId="0" xfId="0" applyNumberFormat="1" applyFont="1" applyFill="1" applyBorder="1"/>
    <xf numFmtId="2" fontId="8" fillId="2" borderId="0" xfId="0" applyNumberFormat="1" applyFont="1" applyFill="1" applyBorder="1"/>
    <xf numFmtId="1" fontId="7" fillId="2" borderId="1" xfId="0" applyNumberFormat="1" applyFont="1" applyFill="1" applyBorder="1"/>
    <xf numFmtId="1" fontId="7" fillId="0" borderId="1" xfId="0" applyNumberFormat="1" applyFont="1" applyBorder="1"/>
    <xf numFmtId="4" fontId="11" fillId="2" borderId="1" xfId="0" applyNumberFormat="1" applyFont="1" applyFill="1" applyBorder="1"/>
    <xf numFmtId="0" fontId="7" fillId="0" borderId="2" xfId="0" applyFont="1" applyBorder="1"/>
    <xf numFmtId="0" fontId="7" fillId="5" borderId="1" xfId="0" applyFont="1" applyFill="1" applyBorder="1"/>
    <xf numFmtId="4" fontId="8" fillId="5" borderId="9" xfId="0" applyNumberFormat="1" applyFont="1" applyFill="1" applyBorder="1"/>
    <xf numFmtId="0" fontId="7" fillId="0" borderId="10" xfId="0" applyFont="1" applyBorder="1"/>
    <xf numFmtId="0" fontId="8" fillId="7" borderId="11" xfId="0" applyFont="1" applyFill="1" applyBorder="1"/>
    <xf numFmtId="0" fontId="7" fillId="2" borderId="0" xfId="0" applyFont="1" applyFill="1" applyBorder="1" applyAlignment="1">
      <alignment wrapText="1"/>
    </xf>
    <xf numFmtId="165" fontId="11" fillId="2" borderId="1" xfId="0" applyNumberFormat="1" applyFont="1" applyFill="1" applyBorder="1"/>
    <xf numFmtId="2" fontId="7" fillId="0" borderId="7" xfId="0" applyNumberFormat="1" applyFont="1" applyBorder="1"/>
    <xf numFmtId="4" fontId="7" fillId="0" borderId="0" xfId="0" applyNumberFormat="1" applyFont="1"/>
    <xf numFmtId="0" fontId="7" fillId="0" borderId="1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4" fontId="8" fillId="2" borderId="2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left"/>
    </xf>
    <xf numFmtId="4" fontId="8" fillId="0" borderId="1" xfId="0" applyNumberFormat="1" applyFont="1" applyBorder="1"/>
    <xf numFmtId="0" fontId="7" fillId="0" borderId="1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2" fontId="7" fillId="0" borderId="12" xfId="0" applyNumberFormat="1" applyFont="1" applyBorder="1"/>
    <xf numFmtId="4" fontId="8" fillId="0" borderId="1" xfId="0" applyNumberFormat="1" applyFont="1" applyBorder="1" applyAlignment="1"/>
    <xf numFmtId="4" fontId="8" fillId="2" borderId="0" xfId="0" applyNumberFormat="1" applyFont="1" applyFill="1" applyBorder="1" applyAlignment="1">
      <alignment horizontal="left"/>
    </xf>
    <xf numFmtId="0" fontId="12" fillId="0" borderId="1" xfId="0" applyFont="1" applyBorder="1"/>
    <xf numFmtId="0" fontId="7" fillId="2" borderId="0" xfId="0" applyFont="1" applyFill="1" applyBorder="1"/>
    <xf numFmtId="0" fontId="14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/>
    <xf numFmtId="4" fontId="12" fillId="2" borderId="1" xfId="0" applyNumberFormat="1" applyFont="1" applyFill="1" applyBorder="1"/>
    <xf numFmtId="3" fontId="12" fillId="2" borderId="1" xfId="0" applyNumberFormat="1" applyFont="1" applyFill="1" applyBorder="1"/>
    <xf numFmtId="165" fontId="12" fillId="2" borderId="1" xfId="0" applyNumberFormat="1" applyFont="1" applyFill="1" applyBorder="1"/>
    <xf numFmtId="4" fontId="12" fillId="0" borderId="1" xfId="0" applyNumberFormat="1" applyFont="1" applyBorder="1"/>
    <xf numFmtId="3" fontId="11" fillId="2" borderId="1" xfId="0" applyNumberFormat="1" applyFont="1" applyFill="1" applyBorder="1"/>
    <xf numFmtId="0" fontId="11" fillId="0" borderId="0" xfId="0" applyFont="1"/>
    <xf numFmtId="4" fontId="11" fillId="2" borderId="7" xfId="0" applyNumberFormat="1" applyFont="1" applyFill="1" applyBorder="1"/>
    <xf numFmtId="0" fontId="11" fillId="0" borderId="2" xfId="0" applyFont="1" applyBorder="1"/>
    <xf numFmtId="0" fontId="12" fillId="0" borderId="0" xfId="0" applyFont="1"/>
    <xf numFmtId="0" fontId="9" fillId="2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wrapText="1"/>
    </xf>
    <xf numFmtId="0" fontId="11" fillId="2" borderId="1" xfId="0" applyFont="1" applyFill="1" applyBorder="1"/>
    <xf numFmtId="2" fontId="11" fillId="2" borderId="7" xfId="0" applyNumberFormat="1" applyFont="1" applyFill="1" applyBorder="1"/>
    <xf numFmtId="2" fontId="10" fillId="7" borderId="8" xfId="0" applyNumberFormat="1" applyFont="1" applyFill="1" applyBorder="1"/>
    <xf numFmtId="4" fontId="11" fillId="0" borderId="7" xfId="0" applyNumberFormat="1" applyFont="1" applyBorder="1"/>
    <xf numFmtId="4" fontId="10" fillId="0" borderId="1" xfId="0" applyNumberFormat="1" applyFont="1" applyBorder="1" applyAlignment="1">
      <alignment horizontal="left"/>
    </xf>
    <xf numFmtId="2" fontId="11" fillId="2" borderId="1" xfId="0" applyNumberFormat="1" applyFont="1" applyFill="1" applyBorder="1"/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4" fontId="10" fillId="7" borderId="8" xfId="0" applyNumberFormat="1" applyFont="1" applyFill="1" applyBorder="1" applyAlignment="1">
      <alignment horizontal="right"/>
    </xf>
    <xf numFmtId="4" fontId="8" fillId="0" borderId="2" xfId="0" applyNumberFormat="1" applyFont="1" applyBorder="1"/>
    <xf numFmtId="165" fontId="8" fillId="2" borderId="3" xfId="0" applyNumberFormat="1" applyFont="1" applyFill="1" applyBorder="1"/>
    <xf numFmtId="4" fontId="7" fillId="2" borderId="4" xfId="0" applyNumberFormat="1" applyFont="1" applyFill="1" applyBorder="1"/>
    <xf numFmtId="4" fontId="11" fillId="0" borderId="1" xfId="0" applyNumberFormat="1" applyFont="1" applyBorder="1" applyAlignment="1">
      <alignment wrapText="1"/>
    </xf>
    <xf numFmtId="0" fontId="11" fillId="2" borderId="1" xfId="0" applyFont="1" applyFill="1" applyBorder="1" applyAlignment="1">
      <alignment wrapText="1"/>
    </xf>
    <xf numFmtId="4" fontId="11" fillId="8" borderId="1" xfId="0" applyNumberFormat="1" applyFont="1" applyFill="1" applyBorder="1" applyAlignment="1">
      <alignment wrapText="1"/>
    </xf>
    <xf numFmtId="4" fontId="11" fillId="0" borderId="2" xfId="0" applyNumberFormat="1" applyFont="1" applyBorder="1"/>
    <xf numFmtId="4" fontId="7" fillId="0" borderId="2" xfId="0" applyNumberFormat="1" applyFont="1" applyBorder="1"/>
    <xf numFmtId="0" fontId="7" fillId="0" borderId="1" xfId="0" applyFont="1" applyBorder="1" applyAlignment="1">
      <alignment horizontal="center" wrapText="1"/>
    </xf>
    <xf numFmtId="0" fontId="3" fillId="0" borderId="0" xfId="0" applyFont="1"/>
    <xf numFmtId="0" fontId="13" fillId="0" borderId="0" xfId="0" applyFont="1" applyAlignment="1"/>
    <xf numFmtId="0" fontId="0" fillId="0" borderId="0" xfId="0" applyAlignment="1"/>
    <xf numFmtId="166" fontId="11" fillId="0" borderId="1" xfId="0" applyNumberFormat="1" applyFont="1" applyBorder="1"/>
    <xf numFmtId="3" fontId="11" fillId="6" borderId="1" xfId="0" applyNumberFormat="1" applyFont="1" applyFill="1" applyBorder="1"/>
    <xf numFmtId="0" fontId="11" fillId="0" borderId="1" xfId="0" applyNumberFormat="1" applyFont="1" applyBorder="1"/>
    <xf numFmtId="165" fontId="11" fillId="6" borderId="1" xfId="0" applyNumberFormat="1" applyFont="1" applyFill="1" applyBorder="1"/>
    <xf numFmtId="4" fontId="11" fillId="6" borderId="1" xfId="0" applyNumberFormat="1" applyFont="1" applyFill="1" applyBorder="1"/>
    <xf numFmtId="4" fontId="10" fillId="2" borderId="2" xfId="0" applyNumberFormat="1" applyFont="1" applyFill="1" applyBorder="1" applyAlignment="1">
      <alignment horizontal="left"/>
    </xf>
    <xf numFmtId="0" fontId="11" fillId="0" borderId="3" xfId="0" applyFont="1" applyBorder="1" applyAlignment="1">
      <alignment horizontal="left"/>
    </xf>
    <xf numFmtId="4" fontId="10" fillId="7" borderId="8" xfId="0" applyNumberFormat="1" applyFont="1" applyFill="1" applyBorder="1" applyAlignment="1"/>
    <xf numFmtId="0" fontId="11" fillId="0" borderId="1" xfId="0" applyFont="1" applyBorder="1"/>
    <xf numFmtId="166" fontId="7" fillId="0" borderId="1" xfId="0" applyNumberFormat="1" applyFont="1" applyBorder="1"/>
    <xf numFmtId="2" fontId="7" fillId="0" borderId="1" xfId="0" applyNumberFormat="1" applyFont="1" applyBorder="1" applyAlignment="1">
      <alignment horizontal="right"/>
    </xf>
    <xf numFmtId="2" fontId="7" fillId="0" borderId="2" xfId="0" applyNumberFormat="1" applyFont="1" applyBorder="1"/>
    <xf numFmtId="2" fontId="7" fillId="0" borderId="13" xfId="0" applyNumberFormat="1" applyFont="1" applyBorder="1"/>
    <xf numFmtId="2" fontId="8" fillId="0" borderId="3" xfId="0" applyNumberFormat="1" applyFont="1" applyBorder="1" applyAlignment="1"/>
    <xf numFmtId="2" fontId="8" fillId="7" borderId="8" xfId="0" applyNumberFormat="1" applyFont="1" applyFill="1" applyBorder="1" applyAlignment="1"/>
    <xf numFmtId="4" fontId="7" fillId="0" borderId="7" xfId="0" applyNumberFormat="1" applyFont="1" applyBorder="1" applyAlignment="1">
      <alignment horizontal="center" vertical="center"/>
    </xf>
    <xf numFmtId="4" fontId="8" fillId="9" borderId="8" xfId="0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/>
    <xf numFmtId="4" fontId="8" fillId="7" borderId="8" xfId="0" applyNumberFormat="1" applyFont="1" applyFill="1" applyBorder="1" applyAlignment="1"/>
    <xf numFmtId="0" fontId="7" fillId="0" borderId="0" xfId="0" applyFont="1" applyBorder="1" applyAlignment="1">
      <alignment horizontal="center" wrapText="1"/>
    </xf>
    <xf numFmtId="4" fontId="12" fillId="0" borderId="0" xfId="0" applyNumberFormat="1" applyFont="1" applyBorder="1" applyAlignment="1">
      <alignment horizontal="center" vertical="center" wrapText="1"/>
    </xf>
    <xf numFmtId="3" fontId="11" fillId="2" borderId="0" xfId="0" applyNumberFormat="1" applyFont="1" applyFill="1" applyBorder="1"/>
    <xf numFmtId="0" fontId="15" fillId="0" borderId="1" xfId="0" applyFont="1" applyBorder="1" applyAlignment="1">
      <alignment horizontal="left"/>
    </xf>
    <xf numFmtId="4" fontId="12" fillId="2" borderId="7" xfId="0" applyNumberFormat="1" applyFont="1" applyFill="1" applyBorder="1" applyAlignment="1">
      <alignment horizontal="center" vertical="center"/>
    </xf>
    <xf numFmtId="49" fontId="0" fillId="0" borderId="0" xfId="0" applyNumberFormat="1"/>
    <xf numFmtId="4" fontId="0" fillId="0" borderId="0" xfId="0" applyNumberFormat="1"/>
    <xf numFmtId="4" fontId="5" fillId="0" borderId="0" xfId="0" applyNumberFormat="1" applyFont="1"/>
    <xf numFmtId="49" fontId="5" fillId="0" borderId="0" xfId="0" applyNumberFormat="1" applyFont="1"/>
    <xf numFmtId="0" fontId="13" fillId="0" borderId="0" xfId="0" applyFont="1" applyAlignment="1">
      <alignment horizontal="left"/>
    </xf>
    <xf numFmtId="4" fontId="8" fillId="9" borderId="8" xfId="0" applyNumberFormat="1" applyFont="1" applyFill="1" applyBorder="1"/>
    <xf numFmtId="4" fontId="10" fillId="9" borderId="8" xfId="0" applyNumberFormat="1" applyFont="1" applyFill="1" applyBorder="1"/>
    <xf numFmtId="4" fontId="8" fillId="9" borderId="8" xfId="0" applyNumberFormat="1" applyFont="1" applyFill="1" applyBorder="1" applyAlignment="1"/>
    <xf numFmtId="4" fontId="7" fillId="9" borderId="8" xfId="0" applyNumberFormat="1" applyFont="1" applyFill="1" applyBorder="1"/>
    <xf numFmtId="0" fontId="11" fillId="0" borderId="1" xfId="0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right"/>
    </xf>
    <xf numFmtId="4" fontId="10" fillId="9" borderId="8" xfId="0" applyNumberFormat="1" applyFont="1" applyFill="1" applyBorder="1" applyAlignment="1">
      <alignment horizontal="center" vertical="center"/>
    </xf>
    <xf numFmtId="2" fontId="10" fillId="0" borderId="3" xfId="0" applyNumberFormat="1" applyFont="1" applyBorder="1" applyAlignment="1"/>
    <xf numFmtId="0" fontId="5" fillId="0" borderId="1" xfId="0" applyFont="1" applyBorder="1"/>
    <xf numFmtId="4" fontId="5" fillId="0" borderId="1" xfId="0" applyNumberFormat="1" applyFont="1" applyBorder="1"/>
    <xf numFmtId="0" fontId="17" fillId="0" borderId="1" xfId="0" applyFont="1" applyBorder="1"/>
    <xf numFmtId="4" fontId="17" fillId="0" borderId="1" xfId="0" applyNumberFormat="1" applyFont="1" applyBorder="1"/>
    <xf numFmtId="0" fontId="12" fillId="2" borderId="1" xfId="0" applyFont="1" applyFill="1" applyBorder="1"/>
    <xf numFmtId="0" fontId="12" fillId="0" borderId="1" xfId="0" applyFont="1" applyBorder="1" applyAlignment="1">
      <alignment horizontal="center" wrapText="1"/>
    </xf>
    <xf numFmtId="2" fontId="11" fillId="2" borderId="1" xfId="0" applyNumberFormat="1" applyFont="1" applyFill="1" applyBorder="1" applyAlignment="1">
      <alignment wrapText="1"/>
    </xf>
    <xf numFmtId="4" fontId="17" fillId="8" borderId="1" xfId="0" applyNumberFormat="1" applyFont="1" applyFill="1" applyBorder="1"/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/>
    <xf numFmtId="1" fontId="11" fillId="2" borderId="2" xfId="0" applyNumberFormat="1" applyFont="1" applyFill="1" applyBorder="1"/>
    <xf numFmtId="4" fontId="10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left"/>
    </xf>
    <xf numFmtId="0" fontId="8" fillId="2" borderId="18" xfId="0" applyFont="1" applyFill="1" applyBorder="1" applyAlignment="1">
      <alignment horizontal="left"/>
    </xf>
    <xf numFmtId="4" fontId="11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4" fontId="7" fillId="0" borderId="2" xfId="0" applyNumberFormat="1" applyFont="1" applyBorder="1"/>
    <xf numFmtId="0" fontId="7" fillId="0" borderId="1" xfId="0" applyFont="1" applyBorder="1" applyAlignment="1">
      <alignment horizontal="center" wrapText="1"/>
    </xf>
    <xf numFmtId="165" fontId="7" fillId="0" borderId="0" xfId="0" applyNumberFormat="1" applyFont="1"/>
    <xf numFmtId="2" fontId="0" fillId="0" borderId="0" xfId="0" applyNumberFormat="1"/>
    <xf numFmtId="4" fontId="8" fillId="9" borderId="19" xfId="0" applyNumberFormat="1" applyFont="1" applyFill="1" applyBorder="1"/>
    <xf numFmtId="4" fontId="8" fillId="0" borderId="10" xfId="0" applyNumberFormat="1" applyFont="1" applyBorder="1"/>
    <xf numFmtId="4" fontId="8" fillId="7" borderId="11" xfId="0" applyNumberFormat="1" applyFont="1" applyFill="1" applyBorder="1"/>
    <xf numFmtId="3" fontId="7" fillId="0" borderId="1" xfId="0" applyNumberFormat="1" applyFont="1" applyBorder="1"/>
    <xf numFmtId="2" fontId="7" fillId="0" borderId="0" xfId="0" applyNumberFormat="1" applyFont="1"/>
    <xf numFmtId="2" fontId="12" fillId="0" borderId="0" xfId="0" applyNumberFormat="1" applyFont="1"/>
    <xf numFmtId="0" fontId="8" fillId="0" borderId="0" xfId="0" applyFont="1" applyBorder="1" applyAlignment="1"/>
    <xf numFmtId="4" fontId="8" fillId="9" borderId="0" xfId="0" applyNumberFormat="1" applyFont="1" applyFill="1" applyBorder="1"/>
    <xf numFmtId="4" fontId="8" fillId="0" borderId="0" xfId="0" applyNumberFormat="1" applyFont="1" applyBorder="1"/>
    <xf numFmtId="4" fontId="8" fillId="7" borderId="0" xfId="0" applyNumberFormat="1" applyFont="1" applyFill="1" applyBorder="1"/>
    <xf numFmtId="4" fontId="11" fillId="3" borderId="7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166" fontId="11" fillId="2" borderId="1" xfId="0" applyNumberFormat="1" applyFont="1" applyFill="1" applyBorder="1" applyAlignment="1">
      <alignment horizontal="center" vertical="center"/>
    </xf>
    <xf numFmtId="165" fontId="9" fillId="9" borderId="1" xfId="0" applyNumberFormat="1" applyFont="1" applyFill="1" applyBorder="1" applyAlignment="1">
      <alignment horizontal="center" vertical="center"/>
    </xf>
    <xf numFmtId="4" fontId="9" fillId="9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4" fontId="12" fillId="2" borderId="7" xfId="0" applyNumberFormat="1" applyFont="1" applyFill="1" applyBorder="1"/>
    <xf numFmtId="166" fontId="12" fillId="2" borderId="1" xfId="0" applyNumberFormat="1" applyFont="1" applyFill="1" applyBorder="1"/>
    <xf numFmtId="4" fontId="12" fillId="2" borderId="1" xfId="0" applyNumberFormat="1" applyFont="1" applyFill="1" applyBorder="1" applyAlignment="1">
      <alignment wrapText="1"/>
    </xf>
    <xf numFmtId="4" fontId="10" fillId="0" borderId="0" xfId="0" applyNumberFormat="1" applyFont="1" applyBorder="1" applyAlignment="1">
      <alignment horizontal="left"/>
    </xf>
    <xf numFmtId="4" fontId="10" fillId="9" borderId="0" xfId="0" applyNumberFormat="1" applyFont="1" applyFill="1" applyBorder="1"/>
    <xf numFmtId="0" fontId="11" fillId="0" borderId="0" xfId="0" applyFont="1" applyBorder="1"/>
    <xf numFmtId="4" fontId="10" fillId="7" borderId="0" xfId="0" applyNumberFormat="1" applyFont="1" applyFill="1" applyBorder="1" applyAlignment="1">
      <alignment horizontal="right"/>
    </xf>
    <xf numFmtId="2" fontId="9" fillId="7" borderId="8" xfId="0" applyNumberFormat="1" applyFont="1" applyFill="1" applyBorder="1"/>
    <xf numFmtId="4" fontId="9" fillId="7" borderId="11" xfId="0" applyNumberFormat="1" applyFont="1" applyFill="1" applyBorder="1"/>
    <xf numFmtId="4" fontId="9" fillId="7" borderId="8" xfId="0" applyNumberFormat="1" applyFont="1" applyFill="1" applyBorder="1" applyAlignment="1"/>
    <xf numFmtId="4" fontId="9" fillId="7" borderId="8" xfId="0" applyNumberFormat="1" applyFont="1" applyFill="1" applyBorder="1"/>
    <xf numFmtId="4" fontId="9" fillId="7" borderId="8" xfId="0" applyNumberFormat="1" applyFont="1" applyFill="1" applyBorder="1" applyAlignment="1">
      <alignment horizontal="right"/>
    </xf>
    <xf numFmtId="4" fontId="9" fillId="7" borderId="0" xfId="0" applyNumberFormat="1" applyFont="1" applyFill="1" applyBorder="1" applyAlignment="1">
      <alignment horizontal="right"/>
    </xf>
    <xf numFmtId="4" fontId="11" fillId="0" borderId="7" xfId="0" applyNumberFormat="1" applyFont="1" applyBorder="1" applyAlignment="1">
      <alignment horizontal="left"/>
    </xf>
    <xf numFmtId="0" fontId="8" fillId="3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2" borderId="2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left" wrapText="1"/>
    </xf>
    <xf numFmtId="0" fontId="11" fillId="2" borderId="4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8" fillId="3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8" fillId="3" borderId="0" xfId="0" applyFont="1" applyFill="1" applyAlignment="1"/>
    <xf numFmtId="0" fontId="8" fillId="0" borderId="0" xfId="0" applyFont="1" applyAlignment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left"/>
    </xf>
    <xf numFmtId="4" fontId="7" fillId="2" borderId="3" xfId="0" applyNumberFormat="1" applyFont="1" applyFill="1" applyBorder="1" applyAlignment="1">
      <alignment horizontal="left"/>
    </xf>
    <xf numFmtId="4" fontId="7" fillId="2" borderId="4" xfId="0" applyNumberFormat="1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4" fontId="7" fillId="0" borderId="2" xfId="0" applyNumberFormat="1" applyFont="1" applyBorder="1"/>
    <xf numFmtId="4" fontId="7" fillId="0" borderId="4" xfId="0" applyNumberFormat="1" applyFont="1" applyBorder="1"/>
    <xf numFmtId="0" fontId="7" fillId="0" borderId="1" xfId="0" applyFont="1" applyBorder="1" applyAlignment="1">
      <alignment horizontal="center" wrapText="1"/>
    </xf>
    <xf numFmtId="0" fontId="8" fillId="3" borderId="0" xfId="0" applyFont="1" applyFill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" xfId="0" applyFont="1" applyBorder="1" applyAlignment="1"/>
    <xf numFmtId="0" fontId="8" fillId="0" borderId="6" xfId="0" applyFont="1" applyBorder="1" applyAlignment="1"/>
    <xf numFmtId="0" fontId="8" fillId="0" borderId="10" xfId="0" applyFont="1" applyBorder="1" applyAlignment="1"/>
    <xf numFmtId="0" fontId="11" fillId="2" borderId="1" xfId="0" applyFont="1" applyFill="1" applyBorder="1" applyAlignment="1">
      <alignment horizontal="left" wrapText="1"/>
    </xf>
    <xf numFmtId="0" fontId="8" fillId="3" borderId="5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12" fillId="2" borderId="1" xfId="0" applyFont="1" applyFill="1" applyBorder="1" applyAlignment="1">
      <alignment horizontal="left" wrapText="1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0" fontId="11" fillId="2" borderId="4" xfId="0" applyFont="1" applyFill="1" applyBorder="1" applyAlignment="1"/>
    <xf numFmtId="0" fontId="11" fillId="0" borderId="1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7" fillId="2" borderId="3" xfId="0" applyFont="1" applyFill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8" fillId="3" borderId="0" xfId="0" applyFont="1" applyFill="1" applyBorder="1" applyAlignment="1"/>
    <xf numFmtId="0" fontId="8" fillId="3" borderId="5" xfId="0" applyFont="1" applyFill="1" applyBorder="1" applyAlignment="1">
      <alignment horizontal="center" wrapText="1"/>
    </xf>
    <xf numFmtId="0" fontId="8" fillId="3" borderId="5" xfId="0" applyFont="1" applyFill="1" applyBorder="1" applyAlignme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0" fillId="2" borderId="0" xfId="0" applyFont="1" applyFill="1" applyAlignment="1">
      <alignment horizontal="center" wrapText="1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4" fontId="11" fillId="0" borderId="1" xfId="0" applyNumberFormat="1" applyFont="1" applyBorder="1" applyAlignment="1">
      <alignment horizontal="left"/>
    </xf>
    <xf numFmtId="4" fontId="10" fillId="0" borderId="2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4" fontId="10" fillId="0" borderId="4" xfId="0" applyNumberFormat="1" applyFont="1" applyBorder="1" applyAlignment="1">
      <alignment horizontal="left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0" fontId="0" fillId="0" borderId="0" xfId="0" applyAlignme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3" fillId="0" borderId="0" xfId="0" applyFont="1" applyAlignment="1"/>
    <xf numFmtId="0" fontId="16" fillId="0" borderId="0" xfId="0" applyFont="1" applyAlignment="1"/>
    <xf numFmtId="0" fontId="11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0" fillId="0" borderId="0" xfId="0" applyAlignment="1">
      <alignment wrapText="1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7" fillId="4" borderId="2" xfId="0" applyFont="1" applyFill="1" applyBorder="1" applyAlignment="1"/>
    <xf numFmtId="0" fontId="7" fillId="4" borderId="3" xfId="0" applyFont="1" applyFill="1" applyBorder="1" applyAlignment="1"/>
    <xf numFmtId="0" fontId="7" fillId="4" borderId="4" xfId="0" applyFont="1" applyFill="1" applyBorder="1" applyAlignment="1"/>
    <xf numFmtId="0" fontId="8" fillId="4" borderId="1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1" fontId="7" fillId="4" borderId="3" xfId="0" applyNumberFormat="1" applyFont="1" applyFill="1" applyBorder="1" applyAlignment="1">
      <alignment horizontal="center" wrapText="1"/>
    </xf>
    <xf numFmtId="1" fontId="7" fillId="4" borderId="4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left"/>
    </xf>
    <xf numFmtId="0" fontId="0" fillId="0" borderId="3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49" fontId="11" fillId="2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4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06"/>
  <sheetViews>
    <sheetView view="pageBreakPreview" topLeftCell="A107" zoomScale="60" zoomScaleNormal="60" workbookViewId="0">
      <selection activeCell="K169" sqref="K169"/>
    </sheetView>
  </sheetViews>
  <sheetFormatPr defaultRowHeight="14.4"/>
  <cols>
    <col min="1" max="1" width="12.6640625" customWidth="1"/>
    <col min="2" max="2" width="10.44140625" customWidth="1"/>
    <col min="4" max="4" width="15.5546875" customWidth="1"/>
    <col min="5" max="5" width="24.6640625" customWidth="1"/>
    <col min="6" max="6" width="16.44140625" customWidth="1"/>
    <col min="7" max="7" width="13.88671875" customWidth="1"/>
    <col min="8" max="8" width="17.44140625" customWidth="1"/>
    <col min="9" max="9" width="18.88671875" customWidth="1"/>
    <col min="10" max="10" width="15.109375" customWidth="1"/>
    <col min="11" max="11" width="13.88671875" customWidth="1"/>
    <col min="12" max="12" width="16" customWidth="1"/>
    <col min="13" max="13" width="13.109375" customWidth="1"/>
    <col min="14" max="14" width="16.109375" customWidth="1"/>
  </cols>
  <sheetData>
    <row r="1" spans="1:14" hidden="1"/>
    <row r="2" spans="1:14" ht="15.6" hidden="1">
      <c r="A2" s="310"/>
      <c r="B2" s="310"/>
      <c r="C2" s="310"/>
      <c r="D2" s="310"/>
      <c r="E2" s="310"/>
      <c r="F2" s="310"/>
      <c r="G2" s="310"/>
      <c r="H2" s="310"/>
    </row>
    <row r="3" spans="1:14" ht="15.6" hidden="1">
      <c r="A3" s="310"/>
      <c r="B3" s="310"/>
      <c r="C3" s="79"/>
      <c r="D3" s="79"/>
      <c r="E3" s="310"/>
      <c r="F3" s="310"/>
      <c r="G3" s="79"/>
      <c r="H3" s="79"/>
    </row>
    <row r="4" spans="1:14" ht="15.6">
      <c r="A4" s="144"/>
      <c r="B4" s="144"/>
      <c r="C4" s="79"/>
      <c r="D4" s="79"/>
      <c r="E4" s="144"/>
      <c r="F4" s="144"/>
      <c r="G4" s="79"/>
      <c r="H4" s="79"/>
    </row>
    <row r="5" spans="1:14" ht="40.5" customHeight="1">
      <c r="A5" s="311"/>
      <c r="B5" s="311"/>
      <c r="C5" s="311"/>
      <c r="D5" s="80"/>
      <c r="E5" s="311"/>
      <c r="F5" s="311"/>
      <c r="G5" s="311"/>
      <c r="H5" s="81"/>
      <c r="I5" s="315" t="s">
        <v>172</v>
      </c>
      <c r="J5" s="316"/>
      <c r="K5" s="316"/>
      <c r="L5" s="316"/>
    </row>
    <row r="6" spans="1:14" ht="15.6">
      <c r="A6" s="4"/>
      <c r="B6" s="4"/>
      <c r="C6" s="4"/>
      <c r="D6" s="5"/>
      <c r="E6" s="4"/>
      <c r="F6" s="4"/>
      <c r="G6" s="4"/>
      <c r="H6" s="5"/>
    </row>
    <row r="7" spans="1:14" ht="15.6">
      <c r="A7" s="307"/>
      <c r="B7" s="307"/>
      <c r="C7" s="307"/>
      <c r="D7" s="5"/>
      <c r="E7" s="307"/>
      <c r="F7" s="307"/>
      <c r="G7" s="307"/>
      <c r="H7" s="5"/>
    </row>
    <row r="8" spans="1:14">
      <c r="A8" s="6"/>
      <c r="B8" s="6"/>
      <c r="C8" s="6"/>
      <c r="D8" s="6"/>
      <c r="E8" s="6"/>
      <c r="F8" s="6"/>
      <c r="G8" s="6"/>
      <c r="H8" s="6"/>
    </row>
    <row r="9" spans="1:14" ht="15.6">
      <c r="A9" s="308" t="s">
        <v>103</v>
      </c>
      <c r="B9" s="309"/>
      <c r="C9" s="309"/>
      <c r="D9" s="309"/>
      <c r="E9" s="309"/>
      <c r="F9" s="309"/>
      <c r="G9" s="309"/>
      <c r="H9" s="6"/>
    </row>
    <row r="10" spans="1:14" ht="15.6">
      <c r="A10" s="308" t="s">
        <v>185</v>
      </c>
      <c r="B10" s="309"/>
      <c r="C10" s="309"/>
      <c r="D10" s="309"/>
      <c r="E10" s="309"/>
      <c r="F10" s="309"/>
      <c r="G10" s="309"/>
      <c r="H10" s="312"/>
    </row>
    <row r="12" spans="1:14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15.6">
      <c r="A13" s="8" t="s">
        <v>104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ht="31.5" customHeight="1">
      <c r="A14" s="313" t="s">
        <v>146</v>
      </c>
      <c r="B14" s="314"/>
      <c r="C14" s="314"/>
      <c r="D14" s="314"/>
      <c r="E14" s="314"/>
      <c r="F14" s="314"/>
      <c r="G14" s="314"/>
      <c r="H14" s="314"/>
      <c r="I14" s="314"/>
      <c r="J14" s="314"/>
      <c r="K14" s="314"/>
      <c r="L14" s="314"/>
      <c r="M14" s="314"/>
      <c r="N14" s="142"/>
    </row>
    <row r="15" spans="1:14" ht="15.6">
      <c r="A15" s="8" t="s">
        <v>97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ht="15.6">
      <c r="A16" s="8" t="s">
        <v>161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15.6">
      <c r="A17" s="8" t="s">
        <v>177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51.75" customHeight="1">
      <c r="A18" s="237" t="s">
        <v>110</v>
      </c>
      <c r="B18" s="237"/>
      <c r="C18" s="237"/>
      <c r="D18" s="237"/>
      <c r="E18" s="237"/>
      <c r="F18" s="9" t="s">
        <v>109</v>
      </c>
      <c r="G18" s="237" t="s">
        <v>111</v>
      </c>
      <c r="H18" s="237"/>
      <c r="I18" s="237"/>
      <c r="J18" s="237"/>
      <c r="K18" s="237"/>
      <c r="L18" s="237"/>
      <c r="M18" s="9" t="s">
        <v>109</v>
      </c>
      <c r="N18" s="11"/>
    </row>
    <row r="19" spans="1:14">
      <c r="A19" s="303" t="s">
        <v>123</v>
      </c>
      <c r="B19" s="303"/>
      <c r="C19" s="303"/>
      <c r="D19" s="303"/>
      <c r="E19" s="303"/>
      <c r="F19" s="165">
        <f>1*88.1%</f>
        <v>0.88099999999999989</v>
      </c>
      <c r="G19" s="244" t="s">
        <v>1</v>
      </c>
      <c r="H19" s="244"/>
      <c r="I19" s="244"/>
      <c r="J19" s="244"/>
      <c r="K19" s="244"/>
      <c r="L19" s="244"/>
      <c r="M19" s="191">
        <f>1*88.1%</f>
        <v>0.88099999999999989</v>
      </c>
      <c r="N19" s="11"/>
    </row>
    <row r="20" spans="1:14">
      <c r="A20" s="303" t="s">
        <v>124</v>
      </c>
      <c r="B20" s="303"/>
      <c r="C20" s="303"/>
      <c r="D20" s="303"/>
      <c r="E20" s="303"/>
      <c r="F20" s="165">
        <f>9.75*88.1%</f>
        <v>8.5897499999999987</v>
      </c>
      <c r="G20" s="256" t="s">
        <v>178</v>
      </c>
      <c r="H20" s="257"/>
      <c r="I20" s="257"/>
      <c r="J20" s="257"/>
      <c r="K20" s="257"/>
      <c r="L20" s="258"/>
      <c r="M20" s="191">
        <f>1*88.1%</f>
        <v>0.88099999999999989</v>
      </c>
      <c r="N20" s="11"/>
    </row>
    <row r="21" spans="1:14">
      <c r="A21" s="303" t="s">
        <v>125</v>
      </c>
      <c r="B21" s="303"/>
      <c r="C21" s="303"/>
      <c r="D21" s="303"/>
      <c r="E21" s="303"/>
      <c r="F21" s="165">
        <f>1*88.1%</f>
        <v>0.88099999999999989</v>
      </c>
      <c r="G21" s="259" t="s">
        <v>129</v>
      </c>
      <c r="H21" s="259"/>
      <c r="I21" s="259"/>
      <c r="J21" s="259"/>
      <c r="K21" s="259"/>
      <c r="L21" s="259"/>
      <c r="M21" s="191">
        <f>0.5*88.1%</f>
        <v>0.44049999999999995</v>
      </c>
      <c r="N21" s="11"/>
    </row>
    <row r="22" spans="1:14">
      <c r="A22" s="303" t="s">
        <v>126</v>
      </c>
      <c r="B22" s="303"/>
      <c r="C22" s="303"/>
      <c r="D22" s="303"/>
      <c r="E22" s="303"/>
      <c r="F22" s="165">
        <f>0.25*88.1%</f>
        <v>0.22024999999999997</v>
      </c>
      <c r="G22" s="244" t="s">
        <v>131</v>
      </c>
      <c r="H22" s="244"/>
      <c r="I22" s="244"/>
      <c r="J22" s="244"/>
      <c r="K22" s="244"/>
      <c r="L22" s="244"/>
      <c r="M22" s="191">
        <f>1*88.1%</f>
        <v>0.88099999999999989</v>
      </c>
      <c r="N22" s="11"/>
    </row>
    <row r="23" spans="1:14">
      <c r="A23" s="303" t="s">
        <v>128</v>
      </c>
      <c r="B23" s="303"/>
      <c r="C23" s="303"/>
      <c r="D23" s="303"/>
      <c r="E23" s="303"/>
      <c r="F23" s="165">
        <f>1*88.1%</f>
        <v>0.88099999999999989</v>
      </c>
      <c r="G23" s="244" t="s">
        <v>130</v>
      </c>
      <c r="H23" s="244"/>
      <c r="I23" s="244"/>
      <c r="J23" s="244"/>
      <c r="K23" s="244"/>
      <c r="L23" s="244"/>
      <c r="M23" s="191">
        <f>2*88.1%</f>
        <v>1.7619999999999998</v>
      </c>
      <c r="N23" s="11"/>
    </row>
    <row r="24" spans="1:14">
      <c r="A24" s="304"/>
      <c r="B24" s="305"/>
      <c r="C24" s="305"/>
      <c r="D24" s="305"/>
      <c r="E24" s="306"/>
      <c r="F24" s="165"/>
      <c r="G24" s="256" t="s">
        <v>127</v>
      </c>
      <c r="H24" s="257"/>
      <c r="I24" s="257"/>
      <c r="J24" s="257"/>
      <c r="K24" s="257"/>
      <c r="L24" s="258"/>
      <c r="M24" s="191">
        <f>1*88.1%</f>
        <v>0.88099999999999989</v>
      </c>
      <c r="N24" s="11"/>
    </row>
    <row r="25" spans="1:14">
      <c r="A25" s="303"/>
      <c r="B25" s="303"/>
      <c r="C25" s="303"/>
      <c r="D25" s="303"/>
      <c r="E25" s="303"/>
      <c r="F25" s="166"/>
      <c r="G25" s="244" t="s">
        <v>132</v>
      </c>
      <c r="H25" s="244"/>
      <c r="I25" s="244"/>
      <c r="J25" s="244"/>
      <c r="K25" s="244"/>
      <c r="L25" s="244"/>
      <c r="M25" s="191">
        <f>1.25*88.1%</f>
        <v>1.1012499999999998</v>
      </c>
      <c r="N25" s="11"/>
    </row>
    <row r="26" spans="1:14" ht="15.75" customHeight="1">
      <c r="A26" s="303"/>
      <c r="B26" s="303"/>
      <c r="C26" s="303"/>
      <c r="D26" s="303"/>
      <c r="E26" s="303"/>
      <c r="F26" s="166"/>
      <c r="G26" s="217" t="s">
        <v>133</v>
      </c>
      <c r="H26" s="218"/>
      <c r="I26" s="218"/>
      <c r="J26" s="218"/>
      <c r="K26" s="218"/>
      <c r="L26" s="219"/>
      <c r="M26" s="191">
        <f>0.75*88.1%</f>
        <v>0.66074999999999995</v>
      </c>
      <c r="N26" s="11"/>
    </row>
    <row r="27" spans="1:14" ht="15.75" hidden="1" customHeight="1">
      <c r="A27" s="300"/>
      <c r="B27" s="301"/>
      <c r="C27" s="301"/>
      <c r="D27" s="301"/>
      <c r="E27" s="302"/>
      <c r="F27" s="166"/>
      <c r="G27" s="217"/>
      <c r="H27" s="218"/>
      <c r="I27" s="218"/>
      <c r="J27" s="218"/>
      <c r="K27" s="218"/>
      <c r="L27" s="219"/>
      <c r="M27" s="166"/>
      <c r="N27" s="11"/>
    </row>
    <row r="28" spans="1:14" ht="15.75" customHeight="1">
      <c r="A28" s="300"/>
      <c r="B28" s="301"/>
      <c r="C28" s="301"/>
      <c r="D28" s="301"/>
      <c r="E28" s="302"/>
      <c r="F28" s="166"/>
      <c r="G28" s="217"/>
      <c r="H28" s="218"/>
      <c r="I28" s="218"/>
      <c r="J28" s="218"/>
      <c r="K28" s="218"/>
      <c r="L28" s="219"/>
      <c r="M28" s="166"/>
      <c r="N28" s="11"/>
    </row>
    <row r="29" spans="1:14" ht="15.75" hidden="1" customHeight="1">
      <c r="A29" s="300"/>
      <c r="B29" s="301"/>
      <c r="C29" s="301"/>
      <c r="D29" s="301"/>
      <c r="E29" s="302"/>
      <c r="F29" s="93"/>
      <c r="G29" s="217"/>
      <c r="H29" s="218"/>
      <c r="I29" s="218"/>
      <c r="J29" s="218"/>
      <c r="K29" s="218"/>
      <c r="L29" s="219"/>
      <c r="M29" s="93"/>
      <c r="N29" s="11"/>
    </row>
    <row r="30" spans="1:14" ht="15.75" customHeight="1">
      <c r="A30" s="300"/>
      <c r="B30" s="301"/>
      <c r="C30" s="301"/>
      <c r="D30" s="301"/>
      <c r="E30" s="302"/>
      <c r="F30" s="93"/>
      <c r="G30" s="1"/>
      <c r="H30" s="1"/>
      <c r="I30" s="1"/>
      <c r="J30" s="1"/>
      <c r="K30" s="1"/>
      <c r="L30" s="1"/>
      <c r="M30" s="93"/>
      <c r="N30" s="11"/>
    </row>
    <row r="31" spans="1:14" ht="15.75" customHeight="1">
      <c r="A31" s="300"/>
      <c r="B31" s="301"/>
      <c r="C31" s="301"/>
      <c r="D31" s="301"/>
      <c r="E31" s="302"/>
      <c r="F31" s="93"/>
      <c r="G31" s="217"/>
      <c r="H31" s="218"/>
      <c r="I31" s="218"/>
      <c r="J31" s="218"/>
      <c r="K31" s="218"/>
      <c r="L31" s="219"/>
      <c r="M31" s="93"/>
      <c r="N31" s="11"/>
    </row>
    <row r="32" spans="1:14" ht="15.75" hidden="1" customHeight="1">
      <c r="A32" s="300"/>
      <c r="B32" s="301"/>
      <c r="C32" s="301"/>
      <c r="D32" s="301"/>
      <c r="E32" s="302"/>
      <c r="F32" s="93"/>
      <c r="G32" s="217"/>
      <c r="H32" s="218"/>
      <c r="I32" s="218"/>
      <c r="J32" s="218"/>
      <c r="K32" s="218"/>
      <c r="L32" s="219"/>
      <c r="M32" s="93"/>
      <c r="N32" s="11"/>
    </row>
    <row r="33" spans="1:15" ht="15.75" hidden="1" customHeight="1">
      <c r="A33" s="300"/>
      <c r="B33" s="301"/>
      <c r="C33" s="301"/>
      <c r="D33" s="301"/>
      <c r="E33" s="302"/>
      <c r="F33" s="93"/>
      <c r="G33" s="217"/>
      <c r="H33" s="218"/>
      <c r="I33" s="218"/>
      <c r="J33" s="218"/>
      <c r="K33" s="218"/>
      <c r="L33" s="219"/>
      <c r="M33" s="93"/>
      <c r="N33" s="11"/>
    </row>
    <row r="34" spans="1:15" ht="15.75" hidden="1" customHeight="1">
      <c r="A34" s="300"/>
      <c r="B34" s="301"/>
      <c r="C34" s="301"/>
      <c r="D34" s="301"/>
      <c r="E34" s="302"/>
      <c r="F34" s="93"/>
      <c r="G34" s="217"/>
      <c r="H34" s="218"/>
      <c r="I34" s="218"/>
      <c r="J34" s="218"/>
      <c r="K34" s="218"/>
      <c r="L34" s="219"/>
      <c r="M34" s="93"/>
      <c r="N34" s="11"/>
    </row>
    <row r="35" spans="1:15" ht="15.75" hidden="1" customHeight="1">
      <c r="A35" s="300"/>
      <c r="B35" s="301"/>
      <c r="C35" s="301"/>
      <c r="D35" s="301"/>
      <c r="E35" s="302"/>
      <c r="F35" s="93"/>
      <c r="G35" s="217"/>
      <c r="H35" s="218"/>
      <c r="I35" s="218"/>
      <c r="J35" s="218"/>
      <c r="K35" s="218"/>
      <c r="L35" s="219"/>
      <c r="M35" s="93"/>
      <c r="N35" s="11"/>
    </row>
    <row r="36" spans="1:15" ht="15.75" hidden="1" customHeight="1">
      <c r="A36" s="300"/>
      <c r="B36" s="301"/>
      <c r="C36" s="301"/>
      <c r="D36" s="301"/>
      <c r="E36" s="302"/>
      <c r="F36" s="93"/>
      <c r="G36" s="217"/>
      <c r="H36" s="218"/>
      <c r="I36" s="218"/>
      <c r="J36" s="218"/>
      <c r="K36" s="218"/>
      <c r="L36" s="219"/>
      <c r="M36" s="93"/>
      <c r="N36" s="11"/>
    </row>
    <row r="37" spans="1:15" ht="15.75" hidden="1" customHeight="1">
      <c r="A37" s="300"/>
      <c r="B37" s="301"/>
      <c r="C37" s="301"/>
      <c r="D37" s="301"/>
      <c r="E37" s="302"/>
      <c r="F37" s="93"/>
      <c r="G37" s="217"/>
      <c r="H37" s="218"/>
      <c r="I37" s="218"/>
      <c r="J37" s="218"/>
      <c r="K37" s="218"/>
      <c r="L37" s="219"/>
      <c r="M37" s="93"/>
      <c r="N37" s="11"/>
    </row>
    <row r="38" spans="1:15">
      <c r="A38" s="263"/>
      <c r="B38" s="263"/>
      <c r="C38" s="263"/>
      <c r="D38" s="263"/>
      <c r="E38" s="263"/>
      <c r="F38" s="93"/>
      <c r="G38" s="244"/>
      <c r="H38" s="244"/>
      <c r="I38" s="244"/>
      <c r="J38" s="244"/>
      <c r="K38" s="244"/>
      <c r="L38" s="244"/>
      <c r="M38" s="93"/>
      <c r="N38" s="11"/>
    </row>
    <row r="39" spans="1:15">
      <c r="A39" s="263"/>
      <c r="B39" s="263"/>
      <c r="C39" s="263"/>
      <c r="D39" s="263"/>
      <c r="E39" s="263"/>
      <c r="F39" s="93"/>
      <c r="G39" s="244"/>
      <c r="H39" s="244"/>
      <c r="I39" s="244"/>
      <c r="J39" s="244"/>
      <c r="K39" s="244"/>
      <c r="L39" s="244"/>
      <c r="M39" s="93"/>
      <c r="N39" s="11"/>
    </row>
    <row r="40" spans="1:15">
      <c r="A40" s="295"/>
      <c r="B40" s="295"/>
      <c r="C40" s="295"/>
      <c r="D40" s="295"/>
      <c r="E40" s="295"/>
      <c r="F40" s="157"/>
      <c r="G40" s="244"/>
      <c r="H40" s="244"/>
      <c r="I40" s="244"/>
      <c r="J40" s="244"/>
      <c r="K40" s="244"/>
      <c r="L40" s="244"/>
      <c r="M40" s="93"/>
      <c r="N40" s="11"/>
    </row>
    <row r="41" spans="1:15">
      <c r="A41" s="295"/>
      <c r="B41" s="295"/>
      <c r="C41" s="295"/>
      <c r="D41" s="295"/>
      <c r="E41" s="295"/>
      <c r="F41" s="157"/>
      <c r="G41" s="244"/>
      <c r="H41" s="244"/>
      <c r="I41" s="244"/>
      <c r="J41" s="244"/>
      <c r="K41" s="244"/>
      <c r="L41" s="244"/>
      <c r="M41" s="93"/>
      <c r="N41" s="11"/>
    </row>
    <row r="42" spans="1:15">
      <c r="A42" s="295"/>
      <c r="B42" s="295"/>
      <c r="C42" s="295"/>
      <c r="D42" s="295"/>
      <c r="E42" s="295"/>
      <c r="F42" s="157"/>
      <c r="G42" s="244"/>
      <c r="H42" s="244"/>
      <c r="I42" s="244"/>
      <c r="J42" s="244"/>
      <c r="K42" s="244"/>
      <c r="L42" s="244"/>
      <c r="M42" s="93"/>
      <c r="N42" s="11"/>
    </row>
    <row r="43" spans="1:15">
      <c r="A43" s="295"/>
      <c r="B43" s="295"/>
      <c r="C43" s="295"/>
      <c r="D43" s="295"/>
      <c r="E43" s="295"/>
      <c r="F43" s="157"/>
      <c r="G43" s="217"/>
      <c r="H43" s="218"/>
      <c r="I43" s="218"/>
      <c r="J43" s="218"/>
      <c r="K43" s="218"/>
      <c r="L43" s="219"/>
      <c r="M43" s="93"/>
      <c r="N43" s="11"/>
    </row>
    <row r="44" spans="1:15" ht="15" customHeight="1">
      <c r="A44" s="295"/>
      <c r="B44" s="295"/>
      <c r="C44" s="295"/>
      <c r="D44" s="295"/>
      <c r="E44" s="295"/>
      <c r="F44" s="157"/>
      <c r="G44" s="217"/>
      <c r="H44" s="218"/>
      <c r="I44" s="218"/>
      <c r="J44" s="218"/>
      <c r="K44" s="218"/>
      <c r="L44" s="219"/>
      <c r="M44" s="93"/>
      <c r="N44" s="11"/>
    </row>
    <row r="45" spans="1:15" ht="15.75" customHeight="1">
      <c r="A45" s="296"/>
      <c r="B45" s="297"/>
      <c r="C45" s="297"/>
      <c r="D45" s="297"/>
      <c r="E45" s="298"/>
      <c r="F45" s="157"/>
      <c r="G45" s="217"/>
      <c r="H45" s="218"/>
      <c r="I45" s="218"/>
      <c r="J45" s="218"/>
      <c r="K45" s="218"/>
      <c r="L45" s="219"/>
      <c r="M45" s="93"/>
      <c r="N45" s="174"/>
      <c r="O45" s="175"/>
    </row>
    <row r="46" spans="1:15">
      <c r="A46" s="293" t="s">
        <v>2</v>
      </c>
      <c r="B46" s="293"/>
      <c r="C46" s="293"/>
      <c r="D46" s="293"/>
      <c r="E46" s="293"/>
      <c r="F46" s="193">
        <v>11.46</v>
      </c>
      <c r="G46" s="294" t="s">
        <v>2</v>
      </c>
      <c r="H46" s="294"/>
      <c r="I46" s="294"/>
      <c r="J46" s="294"/>
      <c r="K46" s="294"/>
      <c r="L46" s="294"/>
      <c r="M46" s="192">
        <v>7.5</v>
      </c>
      <c r="N46" s="11"/>
    </row>
    <row r="47" spans="1:15" ht="27.75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/>
      <c r="N47" s="11"/>
    </row>
    <row r="48" spans="1:15">
      <c r="A48" s="14" t="s">
        <v>162</v>
      </c>
      <c r="B48" s="14"/>
      <c r="C48" s="14"/>
      <c r="D48" s="14"/>
      <c r="E48" s="14"/>
      <c r="F48" s="11"/>
      <c r="G48" s="11"/>
      <c r="H48" s="11"/>
      <c r="I48" s="11"/>
      <c r="J48" s="11"/>
      <c r="K48" s="11"/>
      <c r="L48" s="11"/>
      <c r="M48" s="11"/>
      <c r="N48" s="11"/>
    </row>
    <row r="49" spans="1:14" ht="12.75" customHeight="1">
      <c r="A49" s="14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</row>
    <row r="50" spans="1:14" ht="15" customHeight="1">
      <c r="A50" s="274" t="s">
        <v>121</v>
      </c>
      <c r="B50" s="275"/>
      <c r="C50" s="275"/>
      <c r="D50" s="275"/>
      <c r="E50" s="275"/>
      <c r="F50" s="275"/>
      <c r="G50" s="275"/>
      <c r="H50" s="275"/>
      <c r="I50" s="275"/>
      <c r="J50" s="275"/>
      <c r="K50" s="275"/>
      <c r="L50" s="275"/>
      <c r="M50" s="275"/>
      <c r="N50" s="11"/>
    </row>
    <row r="51" spans="1:14" ht="55.8">
      <c r="A51" s="222" t="s">
        <v>3</v>
      </c>
      <c r="B51" s="222"/>
      <c r="C51" s="222"/>
      <c r="D51" s="222"/>
      <c r="E51" s="222"/>
      <c r="F51" s="9" t="s">
        <v>4</v>
      </c>
      <c r="G51" s="9" t="s">
        <v>0</v>
      </c>
      <c r="H51" s="9" t="s">
        <v>74</v>
      </c>
      <c r="I51" s="9" t="s">
        <v>76</v>
      </c>
      <c r="J51" s="9" t="s">
        <v>105</v>
      </c>
      <c r="K51" s="9" t="s">
        <v>135</v>
      </c>
      <c r="L51" s="9" t="s">
        <v>80</v>
      </c>
      <c r="M51" s="11"/>
      <c r="N51" s="11"/>
    </row>
    <row r="52" spans="1:14" hidden="1">
      <c r="A52" s="246"/>
      <c r="B52" s="246"/>
      <c r="C52" s="246"/>
      <c r="D52" s="246"/>
      <c r="E52" s="246"/>
      <c r="F52" s="10"/>
      <c r="G52" s="10"/>
      <c r="H52" s="10"/>
      <c r="I52" s="10"/>
      <c r="J52" s="15"/>
      <c r="K52" s="15"/>
      <c r="L52" s="15"/>
      <c r="M52" s="11"/>
      <c r="N52" s="11"/>
    </row>
    <row r="53" spans="1:14" hidden="1">
      <c r="A53" s="246"/>
      <c r="B53" s="246"/>
      <c r="C53" s="246"/>
      <c r="D53" s="246"/>
      <c r="E53" s="246"/>
      <c r="F53" s="10"/>
      <c r="G53" s="10"/>
      <c r="H53" s="10"/>
      <c r="I53" s="10"/>
      <c r="J53" s="15"/>
      <c r="K53" s="15"/>
      <c r="L53" s="15"/>
      <c r="M53" s="11"/>
      <c r="N53" s="11"/>
    </row>
    <row r="54" spans="1:14">
      <c r="A54" s="276">
        <v>1</v>
      </c>
      <c r="B54" s="277"/>
      <c r="C54" s="277"/>
      <c r="D54" s="277"/>
      <c r="E54" s="278"/>
      <c r="F54" s="10">
        <v>2</v>
      </c>
      <c r="G54" s="10">
        <v>3</v>
      </c>
      <c r="H54" s="10" t="s">
        <v>75</v>
      </c>
      <c r="I54" s="10" t="s">
        <v>77</v>
      </c>
      <c r="J54" s="16">
        <v>6</v>
      </c>
      <c r="K54" s="16" t="s">
        <v>79</v>
      </c>
      <c r="L54" s="16">
        <v>8</v>
      </c>
      <c r="M54" s="11"/>
      <c r="N54" s="11"/>
    </row>
    <row r="55" spans="1:14">
      <c r="A55" s="255" t="s">
        <v>110</v>
      </c>
      <c r="B55" s="255"/>
      <c r="C55" s="255"/>
      <c r="D55" s="255"/>
      <c r="E55" s="255"/>
      <c r="F55" s="56">
        <f>H55/12/G55</f>
        <v>26509.146669575333</v>
      </c>
      <c r="G55" s="56">
        <v>11.46</v>
      </c>
      <c r="H55" s="56">
        <v>3645537.85</v>
      </c>
      <c r="I55" s="164">
        <f>4746496.09</f>
        <v>4746496.09</v>
      </c>
      <c r="J55" s="86">
        <v>890</v>
      </c>
      <c r="K55" s="56">
        <f>I55/J55</f>
        <v>5333.141674157303</v>
      </c>
      <c r="L55" s="63">
        <v>88.1</v>
      </c>
      <c r="M55" s="11"/>
      <c r="N55" s="11"/>
    </row>
    <row r="56" spans="1:14" ht="15" thickBot="1">
      <c r="A56" s="299"/>
      <c r="B56" s="299"/>
      <c r="C56" s="299"/>
      <c r="D56" s="299"/>
      <c r="E56" s="299"/>
      <c r="F56" s="82"/>
      <c r="G56" s="82"/>
      <c r="H56" s="82"/>
      <c r="I56" s="83"/>
      <c r="J56" s="84"/>
      <c r="K56" s="85"/>
      <c r="L56" s="85"/>
      <c r="M56" s="11"/>
      <c r="N56" s="11"/>
    </row>
    <row r="57" spans="1:14" hidden="1">
      <c r="A57" s="246"/>
      <c r="B57" s="246"/>
      <c r="C57" s="246"/>
      <c r="D57" s="246"/>
      <c r="E57" s="246"/>
      <c r="F57" s="20"/>
      <c r="G57" s="20"/>
      <c r="H57" s="20"/>
      <c r="I57" s="41"/>
      <c r="J57" s="19"/>
      <c r="K57" s="41"/>
      <c r="L57" s="20"/>
      <c r="M57" s="11"/>
      <c r="N57" s="11"/>
    </row>
    <row r="58" spans="1:14" ht="15" thickBot="1">
      <c r="A58" s="220" t="s">
        <v>81</v>
      </c>
      <c r="B58" s="220"/>
      <c r="C58" s="220"/>
      <c r="D58" s="220"/>
      <c r="E58" s="220"/>
      <c r="F58" s="71"/>
      <c r="G58" s="71"/>
      <c r="H58" s="103"/>
      <c r="I58" s="145">
        <f>I55</f>
        <v>4746496.09</v>
      </c>
      <c r="J58" s="104"/>
      <c r="K58" s="47">
        <f>K55</f>
        <v>5333.141674157303</v>
      </c>
      <c r="L58" s="105"/>
      <c r="M58" s="11"/>
      <c r="N58" s="11">
        <f>I58/88.1%</f>
        <v>5387623.2576617487</v>
      </c>
    </row>
    <row r="59" spans="1:14">
      <c r="A59" s="21"/>
      <c r="B59" s="21"/>
      <c r="C59" s="21"/>
      <c r="D59" s="21"/>
      <c r="E59" s="21"/>
      <c r="F59" s="22"/>
      <c r="G59" s="22"/>
      <c r="H59" s="22"/>
      <c r="I59" s="22"/>
      <c r="J59" s="23"/>
      <c r="K59" s="24"/>
      <c r="L59" s="24"/>
      <c r="M59" s="11"/>
      <c r="N59" s="11"/>
    </row>
    <row r="60" spans="1:14" ht="16.5" customHeight="1">
      <c r="A60" s="21"/>
      <c r="B60" s="21"/>
      <c r="C60" s="21"/>
      <c r="D60" s="21"/>
      <c r="E60" s="21"/>
      <c r="F60" s="22"/>
      <c r="G60" s="22"/>
      <c r="H60" s="22"/>
      <c r="I60" s="22"/>
      <c r="J60" s="23"/>
      <c r="K60" s="24"/>
      <c r="L60" s="24"/>
      <c r="M60" s="11"/>
      <c r="N60" s="11"/>
    </row>
    <row r="61" spans="1:14">
      <c r="A61" s="221" t="s">
        <v>16</v>
      </c>
      <c r="B61" s="221"/>
      <c r="C61" s="221"/>
      <c r="D61" s="221"/>
      <c r="E61" s="221"/>
      <c r="F61" s="221"/>
      <c r="G61" s="221"/>
      <c r="H61" s="221"/>
      <c r="I61" s="221"/>
      <c r="J61" s="221"/>
      <c r="K61" s="221"/>
      <c r="L61" s="221"/>
      <c r="M61" s="221"/>
      <c r="N61" s="11"/>
    </row>
    <row r="62" spans="1:14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11"/>
    </row>
    <row r="63" spans="1:14" ht="30.75" hidden="1" customHeight="1">
      <c r="A63" s="279"/>
      <c r="B63" s="279"/>
      <c r="C63" s="279"/>
      <c r="D63" s="279"/>
      <c r="E63" s="279"/>
      <c r="F63" s="279"/>
      <c r="G63" s="279"/>
      <c r="H63" s="279"/>
      <c r="I63" s="279"/>
      <c r="J63" s="279"/>
      <c r="K63" s="279"/>
      <c r="L63" s="279"/>
      <c r="M63" s="35"/>
      <c r="N63" s="11"/>
    </row>
    <row r="64" spans="1:14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</row>
    <row r="65" spans="1:14" ht="73.5" customHeight="1">
      <c r="A65" s="222" t="s">
        <v>17</v>
      </c>
      <c r="B65" s="222"/>
      <c r="C65" s="222"/>
      <c r="D65" s="222"/>
      <c r="E65" s="222"/>
      <c r="F65" s="9" t="s">
        <v>7</v>
      </c>
      <c r="G65" s="36" t="s">
        <v>90</v>
      </c>
      <c r="H65" s="9" t="s">
        <v>71</v>
      </c>
      <c r="I65" s="9" t="s">
        <v>82</v>
      </c>
      <c r="J65" s="9" t="s">
        <v>105</v>
      </c>
      <c r="K65" s="9" t="s">
        <v>135</v>
      </c>
      <c r="L65" s="11"/>
      <c r="M65" s="11"/>
      <c r="N65" s="11"/>
    </row>
    <row r="66" spans="1:14" ht="18.75" customHeight="1">
      <c r="A66" s="280">
        <v>1</v>
      </c>
      <c r="B66" s="281"/>
      <c r="C66" s="281"/>
      <c r="D66" s="281"/>
      <c r="E66" s="282"/>
      <c r="F66" s="9">
        <v>2</v>
      </c>
      <c r="G66" s="9">
        <v>3</v>
      </c>
      <c r="H66" s="37">
        <v>4</v>
      </c>
      <c r="I66" s="37">
        <v>5</v>
      </c>
      <c r="J66" s="38">
        <v>6</v>
      </c>
      <c r="K66" s="38" t="s">
        <v>79</v>
      </c>
      <c r="L66" s="11"/>
      <c r="M66" s="39"/>
      <c r="N66" s="11"/>
    </row>
    <row r="67" spans="1:14">
      <c r="A67" s="287" t="s">
        <v>23</v>
      </c>
      <c r="B67" s="287"/>
      <c r="C67" s="287"/>
      <c r="D67" s="287"/>
      <c r="E67" s="287"/>
      <c r="F67" s="40" t="s">
        <v>26</v>
      </c>
      <c r="G67" s="63">
        <f>8.4*88.1</f>
        <v>740.04</v>
      </c>
      <c r="H67" s="56">
        <v>7802.23</v>
      </c>
      <c r="I67" s="82">
        <f>56993.23*88.1%</f>
        <v>50211.035629999998</v>
      </c>
      <c r="J67" s="86">
        <v>890</v>
      </c>
      <c r="K67" s="56">
        <f>I67/J67</f>
        <v>56.416893966292136</v>
      </c>
      <c r="L67" s="11"/>
      <c r="M67" s="25"/>
      <c r="N67" s="11"/>
    </row>
    <row r="68" spans="1:14">
      <c r="A68" s="287" t="s">
        <v>24</v>
      </c>
      <c r="B68" s="287"/>
      <c r="C68" s="287"/>
      <c r="D68" s="287"/>
      <c r="E68" s="287"/>
      <c r="F68" s="40" t="s">
        <v>27</v>
      </c>
      <c r="G68" s="56">
        <f>175*88.1%</f>
        <v>154.17499999999998</v>
      </c>
      <c r="H68" s="56">
        <v>1768</v>
      </c>
      <c r="I68" s="82">
        <f>338294.05*88.1%</f>
        <v>298037.05804999993</v>
      </c>
      <c r="J68" s="86">
        <v>890</v>
      </c>
      <c r="K68" s="56">
        <f>I68/J68</f>
        <v>334.87309893258418</v>
      </c>
      <c r="L68" s="11"/>
      <c r="M68" s="11"/>
      <c r="N68" s="11"/>
    </row>
    <row r="69" spans="1:14">
      <c r="A69" s="287" t="s">
        <v>83</v>
      </c>
      <c r="B69" s="287"/>
      <c r="C69" s="287"/>
      <c r="D69" s="287"/>
      <c r="E69" s="287"/>
      <c r="F69" s="40" t="s">
        <v>28</v>
      </c>
      <c r="G69" s="56">
        <f>140*88.1%</f>
        <v>123.33999999999999</v>
      </c>
      <c r="H69" s="56">
        <v>42.83</v>
      </c>
      <c r="I69" s="82">
        <f>5483.26*88.1%</f>
        <v>4830.7520599999998</v>
      </c>
      <c r="J69" s="86">
        <v>890</v>
      </c>
      <c r="K69" s="56">
        <f>I69/J69</f>
        <v>5.4278113033707864</v>
      </c>
      <c r="L69" s="11"/>
      <c r="M69" s="11"/>
      <c r="N69" s="11"/>
    </row>
    <row r="70" spans="1:14">
      <c r="A70" s="212" t="s">
        <v>25</v>
      </c>
      <c r="B70" s="212"/>
      <c r="C70" s="212"/>
      <c r="D70" s="212"/>
      <c r="E70" s="212"/>
      <c r="F70" s="96" t="s">
        <v>28</v>
      </c>
      <c r="G70" s="56">
        <f>140*88.1%</f>
        <v>123.33999999999999</v>
      </c>
      <c r="H70" s="88">
        <v>62.38</v>
      </c>
      <c r="I70" s="199">
        <f>8117.94*88.1%</f>
        <v>7151.9051399999989</v>
      </c>
      <c r="J70" s="86">
        <v>890</v>
      </c>
      <c r="K70" s="88">
        <f>I70/J70</f>
        <v>8.0358484719101106</v>
      </c>
      <c r="L70" s="11"/>
      <c r="M70" s="11"/>
      <c r="N70" s="11"/>
    </row>
    <row r="71" spans="1:14" ht="15" thickBot="1">
      <c r="A71" s="212" t="s">
        <v>189</v>
      </c>
      <c r="B71" s="212"/>
      <c r="C71" s="212"/>
      <c r="D71" s="212"/>
      <c r="E71" s="212"/>
      <c r="F71" s="96"/>
      <c r="G71" s="56"/>
      <c r="H71" s="88">
        <v>1167</v>
      </c>
      <c r="I71" s="199">
        <f>16411.52*88.1%</f>
        <v>14458.549119999998</v>
      </c>
      <c r="J71" s="86">
        <v>890</v>
      </c>
      <c r="K71" s="88">
        <f>I71/J71</f>
        <v>16.245560808988763</v>
      </c>
      <c r="L71" s="11"/>
      <c r="M71" s="11"/>
      <c r="N71" s="11"/>
    </row>
    <row r="72" spans="1:14" ht="15" thickBot="1">
      <c r="A72" s="288" t="s">
        <v>29</v>
      </c>
      <c r="B72" s="289"/>
      <c r="C72" s="289"/>
      <c r="D72" s="289"/>
      <c r="E72" s="290"/>
      <c r="F72" s="97"/>
      <c r="G72" s="97"/>
      <c r="H72" s="97"/>
      <c r="I72" s="146">
        <f>SUM(I67:I71)</f>
        <v>374689.29999999993</v>
      </c>
      <c r="J72" s="89"/>
      <c r="K72" s="102">
        <f>SUM(K67:K71)</f>
        <v>420.99921348314604</v>
      </c>
      <c r="L72" s="11"/>
      <c r="M72" s="11"/>
      <c r="N72" s="90">
        <f>I72/88.1%</f>
        <v>425300</v>
      </c>
    </row>
    <row r="73" spans="1:14" ht="31.5" customHeight="1">
      <c r="A73" s="90"/>
      <c r="B73" s="90"/>
      <c r="C73" s="90"/>
      <c r="D73" s="90"/>
      <c r="E73" s="90"/>
      <c r="F73" s="90"/>
      <c r="G73" s="90"/>
      <c r="H73" s="90"/>
      <c r="I73" s="90"/>
      <c r="J73" s="90"/>
      <c r="K73" s="90"/>
      <c r="L73" s="11"/>
      <c r="M73" s="11"/>
      <c r="N73" s="11"/>
    </row>
    <row r="74" spans="1:14">
      <c r="A74" s="221" t="s">
        <v>30</v>
      </c>
      <c r="B74" s="221"/>
      <c r="C74" s="221"/>
      <c r="D74" s="221"/>
      <c r="E74" s="221"/>
      <c r="F74" s="221"/>
      <c r="G74" s="221"/>
      <c r="H74" s="221"/>
      <c r="I74" s="221"/>
      <c r="J74" s="221"/>
      <c r="K74" s="221"/>
      <c r="L74" s="221"/>
      <c r="M74" s="221"/>
      <c r="N74" s="11"/>
    </row>
    <row r="75" spans="1:14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</row>
    <row r="76" spans="1:14" ht="55.8">
      <c r="A76" s="283" t="s">
        <v>32</v>
      </c>
      <c r="B76" s="283"/>
      <c r="C76" s="283"/>
      <c r="D76" s="283"/>
      <c r="E76" s="283"/>
      <c r="F76" s="37" t="s">
        <v>7</v>
      </c>
      <c r="G76" s="37" t="s">
        <v>18</v>
      </c>
      <c r="H76" s="42" t="s">
        <v>85</v>
      </c>
      <c r="I76" s="9" t="s">
        <v>82</v>
      </c>
      <c r="J76" s="9" t="s">
        <v>105</v>
      </c>
      <c r="K76" s="9" t="s">
        <v>135</v>
      </c>
      <c r="L76" s="11"/>
      <c r="M76" s="11"/>
      <c r="N76" s="11"/>
    </row>
    <row r="77" spans="1:14">
      <c r="A77" s="259" t="s">
        <v>188</v>
      </c>
      <c r="B77" s="259"/>
      <c r="C77" s="259"/>
      <c r="D77" s="259"/>
      <c r="E77" s="259"/>
      <c r="F77" s="93" t="s">
        <v>31</v>
      </c>
      <c r="G77" s="93">
        <v>1</v>
      </c>
      <c r="H77" s="162">
        <v>3027.85</v>
      </c>
      <c r="I77" s="82">
        <f>36334.2*88.1%</f>
        <v>32010.430199999995</v>
      </c>
      <c r="J77" s="86">
        <v>890</v>
      </c>
      <c r="K77" s="98">
        <f t="shared" ref="K77:K82" si="0">I77/J77</f>
        <v>35.966775505617974</v>
      </c>
      <c r="L77" s="11"/>
      <c r="M77" s="11"/>
      <c r="N77" s="11"/>
    </row>
    <row r="78" spans="1:14" ht="36.6" customHeight="1">
      <c r="A78" s="291" t="s">
        <v>112</v>
      </c>
      <c r="B78" s="291"/>
      <c r="C78" s="291"/>
      <c r="D78" s="291"/>
      <c r="E78" s="292"/>
      <c r="F78" s="93" t="s">
        <v>31</v>
      </c>
      <c r="G78" s="93">
        <v>1</v>
      </c>
      <c r="H78" s="163"/>
      <c r="I78" s="200">
        <f>15000*88.1%</f>
        <v>13214.999999999998</v>
      </c>
      <c r="J78" s="86">
        <v>890</v>
      </c>
      <c r="K78" s="98">
        <f t="shared" si="0"/>
        <v>14.848314606741571</v>
      </c>
      <c r="L78" s="11"/>
      <c r="M78" s="24"/>
      <c r="N78" s="11"/>
    </row>
    <row r="79" spans="1:14" ht="15" customHeight="1">
      <c r="A79" s="284" t="s">
        <v>113</v>
      </c>
      <c r="B79" s="285"/>
      <c r="C79" s="285"/>
      <c r="D79" s="285"/>
      <c r="E79" s="286"/>
      <c r="F79" s="93" t="s">
        <v>31</v>
      </c>
      <c r="G79" s="93">
        <v>1</v>
      </c>
      <c r="H79" s="162"/>
      <c r="I79" s="82">
        <f>6500*88.1%</f>
        <v>5726.4999999999991</v>
      </c>
      <c r="J79" s="86">
        <v>890</v>
      </c>
      <c r="K79" s="98">
        <f t="shared" si="0"/>
        <v>6.4342696629213476</v>
      </c>
      <c r="L79" s="11"/>
      <c r="M79" s="11"/>
      <c r="N79" s="11"/>
    </row>
    <row r="80" spans="1:14">
      <c r="A80" s="99" t="s">
        <v>114</v>
      </c>
      <c r="B80" s="100"/>
      <c r="C80" s="100"/>
      <c r="D80" s="100"/>
      <c r="E80" s="101"/>
      <c r="F80" s="93" t="s">
        <v>31</v>
      </c>
      <c r="G80" s="93">
        <v>1</v>
      </c>
      <c r="H80" s="162"/>
      <c r="I80" s="82">
        <f>8943.2*88.1%</f>
        <v>7878.9591999999993</v>
      </c>
      <c r="J80" s="86">
        <v>890</v>
      </c>
      <c r="K80" s="98">
        <f t="shared" si="0"/>
        <v>8.8527631460674154</v>
      </c>
      <c r="L80" s="11"/>
      <c r="M80" s="11"/>
      <c r="N80" s="11"/>
    </row>
    <row r="81" spans="1:14" ht="15" thickBot="1">
      <c r="A81" s="259" t="s">
        <v>115</v>
      </c>
      <c r="B81" s="259"/>
      <c r="C81" s="259"/>
      <c r="D81" s="259"/>
      <c r="E81" s="259"/>
      <c r="F81" s="93" t="s">
        <v>31</v>
      </c>
      <c r="G81" s="93">
        <v>1</v>
      </c>
      <c r="H81" s="162">
        <v>500</v>
      </c>
      <c r="I81" s="199">
        <f>6000*88.1%</f>
        <v>5285.9999999999991</v>
      </c>
      <c r="J81" s="86">
        <v>890</v>
      </c>
      <c r="K81" s="98">
        <f>I81/J81</f>
        <v>5.9393258426966282</v>
      </c>
      <c r="L81" s="11"/>
      <c r="M81" s="11"/>
      <c r="N81" s="11"/>
    </row>
    <row r="82" spans="1:14" s="1" customFormat="1" ht="15" hidden="1" thickBot="1">
      <c r="A82" s="267" t="s">
        <v>120</v>
      </c>
      <c r="B82" s="268"/>
      <c r="C82" s="268"/>
      <c r="D82" s="268"/>
      <c r="E82" s="269"/>
      <c r="F82" s="93" t="s">
        <v>31</v>
      </c>
      <c r="G82" s="93">
        <v>1</v>
      </c>
      <c r="H82" s="162">
        <v>1500</v>
      </c>
      <c r="I82" s="88">
        <v>0</v>
      </c>
      <c r="J82" s="86">
        <v>890</v>
      </c>
      <c r="K82" s="98">
        <f t="shared" si="0"/>
        <v>0</v>
      </c>
      <c r="L82" s="13"/>
      <c r="M82" s="13"/>
      <c r="N82" s="13"/>
    </row>
    <row r="83" spans="1:14" ht="15" thickBot="1">
      <c r="A83" s="67" t="s">
        <v>89</v>
      </c>
      <c r="B83" s="68"/>
      <c r="C83" s="68"/>
      <c r="D83" s="68"/>
      <c r="E83" s="68"/>
      <c r="F83" s="68"/>
      <c r="G83" s="68"/>
      <c r="H83" s="68"/>
      <c r="I83" s="147">
        <f>SUM(I77:I82)</f>
        <v>64116.889399999993</v>
      </c>
      <c r="J83" s="11"/>
      <c r="K83" s="47">
        <f>K77+K78+K79+K80+K81</f>
        <v>72.041448764044929</v>
      </c>
      <c r="L83" s="11"/>
      <c r="M83" s="11"/>
      <c r="N83" s="90">
        <f>I83/88.1%</f>
        <v>72777.399999999994</v>
      </c>
    </row>
    <row r="84" spans="1:14" ht="28.5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</row>
    <row r="85" spans="1:14">
      <c r="A85" s="221" t="s">
        <v>84</v>
      </c>
      <c r="B85" s="221"/>
      <c r="C85" s="221"/>
      <c r="D85" s="221"/>
      <c r="E85" s="221"/>
      <c r="F85" s="221"/>
      <c r="G85" s="221"/>
      <c r="H85" s="221"/>
      <c r="I85" s="221"/>
      <c r="J85" s="221"/>
      <c r="K85" s="221"/>
      <c r="L85" s="221"/>
      <c r="M85" s="221"/>
      <c r="N85" s="11"/>
    </row>
    <row r="86" spans="1:14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</row>
    <row r="87" spans="1:14" ht="42">
      <c r="A87" s="222" t="s">
        <v>32</v>
      </c>
      <c r="B87" s="222"/>
      <c r="C87" s="222"/>
      <c r="D87" s="222"/>
      <c r="E87" s="222"/>
      <c r="F87" s="9" t="s">
        <v>92</v>
      </c>
      <c r="G87" s="9" t="s">
        <v>22</v>
      </c>
      <c r="H87" s="9" t="s">
        <v>82</v>
      </c>
      <c r="I87" s="9" t="s">
        <v>105</v>
      </c>
      <c r="J87" s="9" t="s">
        <v>135</v>
      </c>
      <c r="K87" s="11"/>
      <c r="L87" s="11"/>
      <c r="M87" s="11"/>
      <c r="N87" s="11"/>
    </row>
    <row r="88" spans="1:14" ht="18" customHeight="1">
      <c r="A88" s="217" t="s">
        <v>116</v>
      </c>
      <c r="B88" s="218"/>
      <c r="C88" s="218"/>
      <c r="D88" s="218"/>
      <c r="E88" s="219"/>
      <c r="F88" s="36">
        <v>4</v>
      </c>
      <c r="G88" s="107">
        <v>4500</v>
      </c>
      <c r="H88" s="201">
        <f>18000*88.1%</f>
        <v>15857.999999999998</v>
      </c>
      <c r="I88" s="86">
        <v>890</v>
      </c>
      <c r="J88" s="94">
        <f t="shared" ref="J88:J90" si="1">H88/I88</f>
        <v>17.817977528089887</v>
      </c>
      <c r="K88" s="11"/>
      <c r="L88" s="11"/>
      <c r="M88" s="11"/>
      <c r="N88" s="11"/>
    </row>
    <row r="89" spans="1:14" ht="20.25" customHeight="1">
      <c r="A89" s="244" t="s">
        <v>117</v>
      </c>
      <c r="B89" s="244"/>
      <c r="C89" s="244"/>
      <c r="D89" s="244"/>
      <c r="E89" s="244"/>
      <c r="F89" s="36">
        <v>12</v>
      </c>
      <c r="G89" s="107">
        <v>3000</v>
      </c>
      <c r="H89" s="201">
        <f>36000*88.1%</f>
        <v>31715.999999999996</v>
      </c>
      <c r="I89" s="86">
        <v>890</v>
      </c>
      <c r="J89" s="94">
        <f t="shared" si="1"/>
        <v>35.635955056179775</v>
      </c>
      <c r="K89" s="11"/>
      <c r="L89" s="11"/>
      <c r="M89" s="11"/>
      <c r="N89" s="11"/>
    </row>
    <row r="90" spans="1:14" ht="18.75" customHeight="1">
      <c r="A90" s="244" t="s">
        <v>118</v>
      </c>
      <c r="B90" s="244"/>
      <c r="C90" s="244"/>
      <c r="D90" s="244"/>
      <c r="E90" s="244"/>
      <c r="F90" s="36">
        <v>12</v>
      </c>
      <c r="G90" s="107">
        <v>1000</v>
      </c>
      <c r="H90" s="201">
        <f>12000*88.1%</f>
        <v>10571.999999999998</v>
      </c>
      <c r="I90" s="86">
        <v>890</v>
      </c>
      <c r="J90" s="94">
        <f t="shared" si="1"/>
        <v>11.878651685393256</v>
      </c>
      <c r="K90" s="11"/>
      <c r="L90" s="11"/>
      <c r="M90" s="11"/>
      <c r="N90" s="11"/>
    </row>
    <row r="91" spans="1:14" ht="25.8" hidden="1" customHeight="1">
      <c r="A91" s="244" t="s">
        <v>119</v>
      </c>
      <c r="B91" s="244"/>
      <c r="C91" s="244"/>
      <c r="D91" s="244"/>
      <c r="E91" s="244"/>
      <c r="F91" s="36"/>
      <c r="G91" s="93"/>
      <c r="H91" s="56"/>
      <c r="I91" s="86">
        <v>890</v>
      </c>
      <c r="J91" s="94">
        <f>H91/I91</f>
        <v>0</v>
      </c>
      <c r="K91" s="11"/>
      <c r="L91" s="11"/>
      <c r="M91" s="11"/>
      <c r="N91" s="11"/>
    </row>
    <row r="92" spans="1:14" ht="18.75" hidden="1" customHeight="1" thickBot="1">
      <c r="A92" s="217"/>
      <c r="B92" s="218"/>
      <c r="C92" s="218"/>
      <c r="D92" s="218"/>
      <c r="E92" s="219"/>
      <c r="F92" s="36"/>
      <c r="G92" s="107"/>
      <c r="H92" s="56">
        <f t="shared" ref="H92:H94" si="2">6000*86%</f>
        <v>5160</v>
      </c>
      <c r="I92" s="86">
        <v>891</v>
      </c>
      <c r="J92" s="94">
        <f t="shared" ref="J92:J95" si="3">H92/I92</f>
        <v>5.7912457912457915</v>
      </c>
      <c r="K92" s="11"/>
      <c r="L92" s="11"/>
      <c r="M92" s="11"/>
      <c r="N92" s="11"/>
    </row>
    <row r="93" spans="1:14" ht="14.25" hidden="1" customHeight="1" thickBot="1">
      <c r="F93" s="36"/>
      <c r="G93" s="36"/>
      <c r="H93" s="56">
        <f t="shared" si="2"/>
        <v>5160</v>
      </c>
      <c r="I93" s="86">
        <v>892</v>
      </c>
      <c r="J93" s="94">
        <f t="shared" si="3"/>
        <v>5.7847533632286998</v>
      </c>
      <c r="K93" s="11"/>
      <c r="L93" s="11"/>
      <c r="M93" s="11"/>
      <c r="N93" s="11"/>
    </row>
    <row r="94" spans="1:14" ht="16.5" hidden="1" customHeight="1">
      <c r="A94" s="244"/>
      <c r="B94" s="244"/>
      <c r="C94" s="244"/>
      <c r="D94" s="244"/>
      <c r="E94" s="244"/>
      <c r="F94" s="36"/>
      <c r="G94" s="36"/>
      <c r="H94" s="56">
        <f t="shared" si="2"/>
        <v>5160</v>
      </c>
      <c r="I94" s="86">
        <v>893</v>
      </c>
      <c r="J94" s="94">
        <f t="shared" si="3"/>
        <v>5.7782754759238522</v>
      </c>
      <c r="K94" s="11"/>
      <c r="L94" s="11"/>
      <c r="M94" s="11"/>
      <c r="N94" s="11"/>
    </row>
    <row r="95" spans="1:14" ht="15" thickBot="1">
      <c r="A95" s="267" t="s">
        <v>120</v>
      </c>
      <c r="B95" s="268"/>
      <c r="C95" s="268"/>
      <c r="D95" s="268"/>
      <c r="E95" s="269"/>
      <c r="F95" s="107"/>
      <c r="G95" s="93"/>
      <c r="H95" s="82">
        <f>18000*88.1%</f>
        <v>15857.999999999998</v>
      </c>
      <c r="I95" s="86">
        <v>890</v>
      </c>
      <c r="J95" s="94">
        <f t="shared" si="3"/>
        <v>17.817977528089887</v>
      </c>
      <c r="K95" s="11"/>
      <c r="L95" s="11"/>
      <c r="M95" s="11"/>
      <c r="N95" s="11"/>
    </row>
    <row r="96" spans="1:14" ht="20.25" customHeight="1" thickBot="1">
      <c r="A96" s="270" t="s">
        <v>88</v>
      </c>
      <c r="B96" s="271"/>
      <c r="C96" s="271"/>
      <c r="D96" s="271"/>
      <c r="E96" s="272"/>
      <c r="F96" s="91"/>
      <c r="G96" s="91"/>
      <c r="H96" s="146">
        <f>H88+H89+H90+H95</f>
        <v>74003.999999999985</v>
      </c>
      <c r="I96" s="87"/>
      <c r="J96" s="95">
        <f>J88+J89+J90+J95</f>
        <v>83.1505617977528</v>
      </c>
      <c r="K96" s="11"/>
      <c r="L96" s="49"/>
      <c r="M96" s="11"/>
      <c r="N96" s="90">
        <f>H96/88.1%</f>
        <v>84000</v>
      </c>
    </row>
    <row r="97" spans="1:14" ht="20.25" customHeight="1">
      <c r="A97" s="167"/>
      <c r="B97" s="168"/>
      <c r="C97" s="168"/>
      <c r="D97" s="168"/>
      <c r="E97" s="168"/>
      <c r="F97" s="168"/>
      <c r="G97" s="168"/>
      <c r="H97" s="52"/>
      <c r="I97" s="13"/>
      <c r="J97" s="53"/>
      <c r="K97" s="11"/>
      <c r="L97" s="49"/>
      <c r="M97" s="11"/>
      <c r="N97" s="11"/>
    </row>
    <row r="98" spans="1:14" ht="31.5" customHeight="1">
      <c r="A98" s="238" t="s">
        <v>86</v>
      </c>
      <c r="B98" s="238"/>
      <c r="C98" s="238"/>
      <c r="D98" s="238"/>
      <c r="E98" s="238"/>
      <c r="F98" s="273"/>
      <c r="G98" s="273"/>
      <c r="H98" s="273"/>
      <c r="I98" s="273"/>
      <c r="J98" s="273"/>
      <c r="K98" s="273"/>
      <c r="L98" s="273"/>
      <c r="M98" s="273"/>
      <c r="N98" s="273"/>
    </row>
    <row r="99" spans="1:14" ht="42">
      <c r="A99" s="222" t="s">
        <v>33</v>
      </c>
      <c r="B99" s="222"/>
      <c r="C99" s="222"/>
      <c r="D99" s="222"/>
      <c r="E99" s="222"/>
      <c r="F99" s="9" t="s">
        <v>7</v>
      </c>
      <c r="G99" s="9" t="s">
        <v>18</v>
      </c>
      <c r="H99" s="9" t="s">
        <v>71</v>
      </c>
      <c r="I99" s="9" t="s">
        <v>34</v>
      </c>
      <c r="J99" s="9" t="s">
        <v>82</v>
      </c>
      <c r="K99" s="37" t="s">
        <v>105</v>
      </c>
      <c r="L99" s="9" t="s">
        <v>135</v>
      </c>
      <c r="M99" s="11"/>
      <c r="N99" s="11"/>
    </row>
    <row r="100" spans="1:14" ht="31.5" customHeight="1">
      <c r="A100" s="263" t="s">
        <v>35</v>
      </c>
      <c r="B100" s="263"/>
      <c r="C100" s="263"/>
      <c r="D100" s="263"/>
      <c r="E100" s="263"/>
      <c r="F100" s="92" t="s">
        <v>36</v>
      </c>
      <c r="G100" s="93">
        <v>3</v>
      </c>
      <c r="H100" s="159">
        <v>590.59</v>
      </c>
      <c r="I100" s="93">
        <v>12</v>
      </c>
      <c r="J100" s="199">
        <f>24882.6*88.1%</f>
        <v>21921.570599999995</v>
      </c>
      <c r="K100" s="86">
        <v>890</v>
      </c>
      <c r="L100" s="94">
        <f>J100/K100</f>
        <v>24.630978202247185</v>
      </c>
      <c r="M100" s="90"/>
      <c r="N100" s="11"/>
    </row>
    <row r="101" spans="1:14" ht="22.5" customHeight="1" thickBot="1">
      <c r="A101" s="263" t="s">
        <v>99</v>
      </c>
      <c r="B101" s="263"/>
      <c r="C101" s="263"/>
      <c r="D101" s="263"/>
      <c r="E101" s="263"/>
      <c r="F101" s="92" t="s">
        <v>100</v>
      </c>
      <c r="G101" s="93">
        <v>1</v>
      </c>
      <c r="H101" s="159">
        <v>3300</v>
      </c>
      <c r="I101" s="93">
        <v>12</v>
      </c>
      <c r="J101" s="199">
        <f>36000*88.1%</f>
        <v>31715.999999999996</v>
      </c>
      <c r="K101" s="86">
        <v>890</v>
      </c>
      <c r="L101" s="94">
        <f>J101/K101</f>
        <v>35.635955056179775</v>
      </c>
      <c r="M101" s="90"/>
      <c r="N101" s="11"/>
    </row>
    <row r="102" spans="1:14" ht="20.25" customHeight="1" thickBot="1">
      <c r="A102" s="264" t="s">
        <v>37</v>
      </c>
      <c r="B102" s="265"/>
      <c r="C102" s="265"/>
      <c r="D102" s="265"/>
      <c r="E102" s="266"/>
      <c r="F102" s="264"/>
      <c r="G102" s="265"/>
      <c r="H102" s="265"/>
      <c r="I102" s="265"/>
      <c r="J102" s="146">
        <f>J101+J100</f>
        <v>53637.570599999992</v>
      </c>
      <c r="K102" s="87"/>
      <c r="L102" s="95">
        <f>L100+L101</f>
        <v>60.26693325842696</v>
      </c>
      <c r="M102" s="90"/>
      <c r="N102" s="90">
        <f>J102/88.1%</f>
        <v>60882.6</v>
      </c>
    </row>
    <row r="103" spans="1:14" ht="62.25" customHeight="1">
      <c r="A103" s="51"/>
      <c r="B103" s="51"/>
      <c r="C103" s="51"/>
      <c r="D103" s="51"/>
      <c r="E103" s="51"/>
      <c r="F103" s="51"/>
      <c r="G103" s="51"/>
      <c r="H103" s="51"/>
      <c r="I103" s="51"/>
      <c r="J103" s="52"/>
      <c r="K103" s="13"/>
      <c r="L103" s="53"/>
      <c r="M103" s="11"/>
      <c r="N103" s="11"/>
    </row>
    <row r="104" spans="1:14" ht="95.25" hidden="1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25"/>
      <c r="M104" s="25"/>
      <c r="N104" s="11"/>
    </row>
    <row r="105" spans="1:14" ht="12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25"/>
      <c r="M105" s="25"/>
      <c r="N105" s="11"/>
    </row>
    <row r="106" spans="1:14">
      <c r="A106" s="221" t="s">
        <v>122</v>
      </c>
      <c r="B106" s="221"/>
      <c r="C106" s="221"/>
      <c r="D106" s="221"/>
      <c r="E106" s="221"/>
      <c r="F106" s="221"/>
      <c r="G106" s="221"/>
      <c r="H106" s="221"/>
      <c r="I106" s="221"/>
      <c r="J106" s="221"/>
      <c r="K106" s="221"/>
      <c r="L106" s="221"/>
      <c r="M106" s="221"/>
      <c r="N106" s="11"/>
    </row>
    <row r="107" spans="1:14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1:14" ht="55.8">
      <c r="A108" s="222" t="s">
        <v>3</v>
      </c>
      <c r="B108" s="222"/>
      <c r="C108" s="222"/>
      <c r="D108" s="222"/>
      <c r="E108" s="222"/>
      <c r="F108" s="9" t="s">
        <v>4</v>
      </c>
      <c r="G108" s="10" t="s">
        <v>0</v>
      </c>
      <c r="H108" s="50" t="s">
        <v>87</v>
      </c>
      <c r="I108" s="50" t="s">
        <v>76</v>
      </c>
      <c r="J108" s="9" t="s">
        <v>105</v>
      </c>
      <c r="K108" s="9" t="s">
        <v>135</v>
      </c>
      <c r="L108" s="9" t="s">
        <v>80</v>
      </c>
      <c r="M108" s="39"/>
      <c r="N108" s="11"/>
    </row>
    <row r="109" spans="1:14">
      <c r="A109" s="225">
        <v>1</v>
      </c>
      <c r="B109" s="226"/>
      <c r="C109" s="226"/>
      <c r="D109" s="226"/>
      <c r="E109" s="227"/>
      <c r="F109" s="37">
        <v>2</v>
      </c>
      <c r="G109" s="12">
        <v>3</v>
      </c>
      <c r="H109" s="37">
        <v>4</v>
      </c>
      <c r="I109" s="37">
        <v>5</v>
      </c>
      <c r="J109" s="38">
        <v>6</v>
      </c>
      <c r="K109" s="54">
        <v>7</v>
      </c>
      <c r="L109" s="55">
        <v>8</v>
      </c>
      <c r="M109" s="39"/>
      <c r="N109" s="13"/>
    </row>
    <row r="110" spans="1:14" ht="15" thickBot="1">
      <c r="A110" s="255" t="s">
        <v>111</v>
      </c>
      <c r="B110" s="255"/>
      <c r="C110" s="255"/>
      <c r="D110" s="255"/>
      <c r="E110" s="255"/>
      <c r="F110" s="56">
        <f>H110/12/G110</f>
        <v>26484.676666666663</v>
      </c>
      <c r="G110" s="63">
        <v>7.5</v>
      </c>
      <c r="H110" s="56">
        <v>2383620.9</v>
      </c>
      <c r="I110" s="82">
        <f>3103478.2+0.0101</f>
        <v>3103478.2101000003</v>
      </c>
      <c r="J110" s="86">
        <v>890</v>
      </c>
      <c r="K110" s="56">
        <f>I110/J110</f>
        <v>3487.0541686516858</v>
      </c>
      <c r="L110" s="115">
        <v>88.1</v>
      </c>
      <c r="M110" s="24"/>
      <c r="N110" s="11"/>
    </row>
    <row r="111" spans="1:14" ht="15" hidden="1" thickBot="1">
      <c r="A111" s="256"/>
      <c r="B111" s="257"/>
      <c r="C111" s="257"/>
      <c r="D111" s="257"/>
      <c r="E111" s="258"/>
      <c r="F111" s="56">
        <v>17865.98</v>
      </c>
      <c r="G111" s="116">
        <v>4</v>
      </c>
      <c r="H111" s="86"/>
      <c r="I111" s="63">
        <f>J58</f>
        <v>0</v>
      </c>
      <c r="J111" s="56" t="e">
        <f t="shared" ref="J111:J132" si="4">G111/H111*I111</f>
        <v>#DIV/0!</v>
      </c>
      <c r="K111" s="56">
        <f t="shared" ref="K111:K132" si="5">F111*G111*12*1.302</f>
        <v>1116552.28608</v>
      </c>
      <c r="L111" s="117" t="s">
        <v>61</v>
      </c>
      <c r="M111" s="46" t="e">
        <f t="shared" ref="M111:M135" si="6">J111*K111</f>
        <v>#DIV/0!</v>
      </c>
      <c r="N111" s="13"/>
    </row>
    <row r="112" spans="1:14" ht="15" hidden="1" thickBot="1">
      <c r="A112" s="259"/>
      <c r="B112" s="259"/>
      <c r="C112" s="259"/>
      <c r="D112" s="259"/>
      <c r="E112" s="259"/>
      <c r="F112" s="56">
        <v>9544</v>
      </c>
      <c r="G112" s="116">
        <v>1</v>
      </c>
      <c r="H112" s="86"/>
      <c r="I112" s="63">
        <f>J58</f>
        <v>0</v>
      </c>
      <c r="J112" s="56" t="e">
        <f t="shared" si="4"/>
        <v>#DIV/0!</v>
      </c>
      <c r="K112" s="56">
        <f t="shared" si="5"/>
        <v>149115.45600000001</v>
      </c>
      <c r="L112" s="63">
        <f>I112/11277167.39*100</f>
        <v>0</v>
      </c>
      <c r="M112" s="17" t="e">
        <f t="shared" si="6"/>
        <v>#DIV/0!</v>
      </c>
      <c r="N112" s="13"/>
    </row>
    <row r="113" spans="1:14" ht="15" hidden="1" customHeight="1">
      <c r="A113" s="260"/>
      <c r="B113" s="261"/>
      <c r="C113" s="261"/>
      <c r="D113" s="261"/>
      <c r="E113" s="262"/>
      <c r="F113" s="56">
        <v>11560</v>
      </c>
      <c r="G113" s="116">
        <v>1</v>
      </c>
      <c r="H113" s="86"/>
      <c r="I113" s="63">
        <f>J58</f>
        <v>0</v>
      </c>
      <c r="J113" s="56" t="e">
        <f t="shared" si="4"/>
        <v>#DIV/0!</v>
      </c>
      <c r="K113" s="56">
        <f t="shared" si="5"/>
        <v>180613.44</v>
      </c>
      <c r="L113" s="40"/>
      <c r="M113" s="17" t="e">
        <f t="shared" si="6"/>
        <v>#DIV/0!</v>
      </c>
      <c r="N113" s="13"/>
    </row>
    <row r="114" spans="1:14" ht="15" hidden="1" thickBot="1">
      <c r="A114" s="244"/>
      <c r="B114" s="244"/>
      <c r="C114" s="244"/>
      <c r="D114" s="244"/>
      <c r="E114" s="244"/>
      <c r="F114" s="56">
        <v>9544</v>
      </c>
      <c r="G114" s="118">
        <v>0.5</v>
      </c>
      <c r="H114" s="86"/>
      <c r="I114" s="63">
        <f>J58</f>
        <v>0</v>
      </c>
      <c r="J114" s="56" t="e">
        <f t="shared" si="4"/>
        <v>#DIV/0!</v>
      </c>
      <c r="K114" s="56">
        <f t="shared" si="5"/>
        <v>74557.728000000003</v>
      </c>
      <c r="L114" s="40"/>
      <c r="M114" s="17" t="e">
        <f t="shared" si="6"/>
        <v>#DIV/0!</v>
      </c>
      <c r="N114" s="13"/>
    </row>
    <row r="115" spans="1:14" ht="15" hidden="1" thickBot="1">
      <c r="A115" s="244"/>
      <c r="B115" s="244"/>
      <c r="C115" s="244"/>
      <c r="D115" s="244"/>
      <c r="E115" s="244"/>
      <c r="F115" s="56">
        <v>9544</v>
      </c>
      <c r="G115" s="116">
        <v>1</v>
      </c>
      <c r="H115" s="86"/>
      <c r="I115" s="63">
        <f>J58</f>
        <v>0</v>
      </c>
      <c r="J115" s="56" t="e">
        <f t="shared" si="4"/>
        <v>#DIV/0!</v>
      </c>
      <c r="K115" s="56">
        <f t="shared" si="5"/>
        <v>149115.45600000001</v>
      </c>
      <c r="L115" s="56"/>
      <c r="M115" s="17" t="e">
        <f t="shared" si="6"/>
        <v>#DIV/0!</v>
      </c>
      <c r="N115" s="13"/>
    </row>
    <row r="116" spans="1:14" ht="14.25" hidden="1" customHeight="1">
      <c r="A116" s="244"/>
      <c r="B116" s="244"/>
      <c r="C116" s="244"/>
      <c r="D116" s="244"/>
      <c r="E116" s="244"/>
      <c r="F116" s="56">
        <v>9544</v>
      </c>
      <c r="G116" s="116">
        <v>1</v>
      </c>
      <c r="H116" s="86"/>
      <c r="I116" s="63">
        <f>J58</f>
        <v>0</v>
      </c>
      <c r="J116" s="56" t="e">
        <f t="shared" si="4"/>
        <v>#DIV/0!</v>
      </c>
      <c r="K116" s="56">
        <f t="shared" si="5"/>
        <v>149115.45600000001</v>
      </c>
      <c r="L116" s="87"/>
      <c r="M116" s="17" t="e">
        <f t="shared" si="6"/>
        <v>#DIV/0!</v>
      </c>
      <c r="N116" s="13"/>
    </row>
    <row r="117" spans="1:14" ht="15" hidden="1" thickBot="1">
      <c r="A117" s="217"/>
      <c r="B117" s="218"/>
      <c r="C117" s="218"/>
      <c r="D117" s="218"/>
      <c r="E117" s="219"/>
      <c r="F117" s="56">
        <v>9544</v>
      </c>
      <c r="G117" s="56"/>
      <c r="H117" s="86"/>
      <c r="I117" s="63">
        <f>J58</f>
        <v>0</v>
      </c>
      <c r="J117" s="56" t="e">
        <f t="shared" si="4"/>
        <v>#DIV/0!</v>
      </c>
      <c r="K117" s="56">
        <f t="shared" si="5"/>
        <v>0</v>
      </c>
      <c r="L117" s="87"/>
      <c r="M117" s="17" t="e">
        <f t="shared" si="6"/>
        <v>#DIV/0!</v>
      </c>
      <c r="N117" s="13"/>
    </row>
    <row r="118" spans="1:14" ht="15" hidden="1" thickBot="1">
      <c r="A118" s="217"/>
      <c r="B118" s="218"/>
      <c r="C118" s="218"/>
      <c r="D118" s="218"/>
      <c r="E118" s="219"/>
      <c r="F118" s="56">
        <v>9544</v>
      </c>
      <c r="G118" s="119">
        <v>0.25</v>
      </c>
      <c r="H118" s="86"/>
      <c r="I118" s="63">
        <f>J58</f>
        <v>0</v>
      </c>
      <c r="J118" s="56" t="e">
        <f t="shared" si="4"/>
        <v>#DIV/0!</v>
      </c>
      <c r="K118" s="56">
        <f t="shared" si="5"/>
        <v>37278.864000000001</v>
      </c>
      <c r="L118" s="87"/>
      <c r="M118" s="17" t="e">
        <f t="shared" si="6"/>
        <v>#DIV/0!</v>
      </c>
      <c r="N118" s="13"/>
    </row>
    <row r="119" spans="1:14" ht="15" hidden="1" thickBot="1">
      <c r="A119" s="217"/>
      <c r="B119" s="218"/>
      <c r="C119" s="218"/>
      <c r="D119" s="218"/>
      <c r="E119" s="219"/>
      <c r="F119" s="56">
        <v>9544</v>
      </c>
      <c r="G119" s="56"/>
      <c r="H119" s="86"/>
      <c r="I119" s="63">
        <f>J58</f>
        <v>0</v>
      </c>
      <c r="J119" s="56" t="e">
        <f t="shared" si="4"/>
        <v>#DIV/0!</v>
      </c>
      <c r="K119" s="56">
        <f t="shared" si="5"/>
        <v>0</v>
      </c>
      <c r="L119" s="87"/>
      <c r="M119" s="17" t="e">
        <f t="shared" si="6"/>
        <v>#DIV/0!</v>
      </c>
      <c r="N119" s="13"/>
    </row>
    <row r="120" spans="1:14" ht="15" hidden="1" thickBot="1">
      <c r="A120" s="217"/>
      <c r="B120" s="218"/>
      <c r="C120" s="218"/>
      <c r="D120" s="218"/>
      <c r="E120" s="219"/>
      <c r="F120" s="56">
        <v>9544</v>
      </c>
      <c r="G120" s="118">
        <v>0.5</v>
      </c>
      <c r="H120" s="86"/>
      <c r="I120" s="63">
        <f>J58</f>
        <v>0</v>
      </c>
      <c r="J120" s="56" t="e">
        <f t="shared" si="4"/>
        <v>#DIV/0!</v>
      </c>
      <c r="K120" s="56">
        <f t="shared" si="5"/>
        <v>74557.728000000003</v>
      </c>
      <c r="L120" s="87"/>
      <c r="M120" s="17" t="e">
        <f t="shared" si="6"/>
        <v>#DIV/0!</v>
      </c>
      <c r="N120" s="13"/>
    </row>
    <row r="121" spans="1:14" ht="15.75" hidden="1" customHeight="1">
      <c r="A121" s="217"/>
      <c r="B121" s="218"/>
      <c r="C121" s="218"/>
      <c r="D121" s="218"/>
      <c r="E121" s="219"/>
      <c r="F121" s="56">
        <v>9544</v>
      </c>
      <c r="G121" s="116">
        <v>1</v>
      </c>
      <c r="H121" s="86"/>
      <c r="I121" s="63">
        <f>J58</f>
        <v>0</v>
      </c>
      <c r="J121" s="56" t="e">
        <f t="shared" si="4"/>
        <v>#DIV/0!</v>
      </c>
      <c r="K121" s="56">
        <f t="shared" si="5"/>
        <v>149115.45600000001</v>
      </c>
      <c r="L121" s="87"/>
      <c r="M121" s="17" t="e">
        <f t="shared" si="6"/>
        <v>#DIV/0!</v>
      </c>
      <c r="N121" s="13"/>
    </row>
    <row r="122" spans="1:14" ht="15" hidden="1" customHeight="1">
      <c r="A122" s="244"/>
      <c r="B122" s="244"/>
      <c r="C122" s="244"/>
      <c r="D122" s="244"/>
      <c r="E122" s="244"/>
      <c r="F122" s="56">
        <v>9544</v>
      </c>
      <c r="G122" s="116">
        <v>1</v>
      </c>
      <c r="H122" s="86"/>
      <c r="I122" s="63">
        <f>J58</f>
        <v>0</v>
      </c>
      <c r="J122" s="56" t="e">
        <f t="shared" si="4"/>
        <v>#DIV/0!</v>
      </c>
      <c r="K122" s="56">
        <f t="shared" si="5"/>
        <v>149115.45600000001</v>
      </c>
      <c r="L122" s="87"/>
      <c r="M122" s="17" t="e">
        <f t="shared" si="6"/>
        <v>#DIV/0!</v>
      </c>
      <c r="N122" s="13"/>
    </row>
    <row r="123" spans="1:14" ht="15" hidden="1" customHeight="1">
      <c r="A123" s="244"/>
      <c r="B123" s="244"/>
      <c r="C123" s="244"/>
      <c r="D123" s="244"/>
      <c r="E123" s="244"/>
      <c r="F123" s="56">
        <v>9544</v>
      </c>
      <c r="G123" s="118">
        <v>5.5</v>
      </c>
      <c r="H123" s="86"/>
      <c r="I123" s="63">
        <f>J58</f>
        <v>0</v>
      </c>
      <c r="J123" s="56" t="e">
        <f t="shared" si="4"/>
        <v>#DIV/0!</v>
      </c>
      <c r="K123" s="56">
        <f t="shared" si="5"/>
        <v>820135.00800000003</v>
      </c>
      <c r="L123" s="87"/>
      <c r="M123" s="17" t="e">
        <f t="shared" si="6"/>
        <v>#DIV/0!</v>
      </c>
      <c r="N123" s="13"/>
    </row>
    <row r="124" spans="1:14" ht="15" hidden="1" customHeight="1">
      <c r="A124" s="244"/>
      <c r="B124" s="244"/>
      <c r="C124" s="244"/>
      <c r="D124" s="244"/>
      <c r="E124" s="244"/>
      <c r="F124" s="56">
        <v>9544</v>
      </c>
      <c r="G124" s="116">
        <v>1</v>
      </c>
      <c r="H124" s="86"/>
      <c r="I124" s="63">
        <f>J58</f>
        <v>0</v>
      </c>
      <c r="J124" s="56" t="e">
        <f t="shared" si="4"/>
        <v>#DIV/0!</v>
      </c>
      <c r="K124" s="56">
        <f t="shared" si="5"/>
        <v>149115.45600000001</v>
      </c>
      <c r="L124" s="87"/>
      <c r="M124" s="17" t="e">
        <f t="shared" si="6"/>
        <v>#DIV/0!</v>
      </c>
      <c r="N124" s="13"/>
    </row>
    <row r="125" spans="1:14" ht="15" hidden="1" customHeight="1">
      <c r="A125" s="244"/>
      <c r="B125" s="244"/>
      <c r="C125" s="244"/>
      <c r="D125" s="244"/>
      <c r="E125" s="244"/>
      <c r="F125" s="56">
        <v>9544</v>
      </c>
      <c r="G125" s="118">
        <v>0.5</v>
      </c>
      <c r="H125" s="86"/>
      <c r="I125" s="63">
        <f>J58</f>
        <v>0</v>
      </c>
      <c r="J125" s="56" t="e">
        <f t="shared" si="4"/>
        <v>#DIV/0!</v>
      </c>
      <c r="K125" s="56">
        <f t="shared" si="5"/>
        <v>74557.728000000003</v>
      </c>
      <c r="L125" s="87"/>
      <c r="M125" s="17" t="e">
        <f t="shared" si="6"/>
        <v>#DIV/0!</v>
      </c>
      <c r="N125" s="13"/>
    </row>
    <row r="126" spans="1:14" ht="15" hidden="1" customHeight="1">
      <c r="A126" s="244"/>
      <c r="B126" s="244"/>
      <c r="C126" s="244"/>
      <c r="D126" s="244"/>
      <c r="E126" s="244"/>
      <c r="F126" s="56">
        <v>9544</v>
      </c>
      <c r="G126" s="118">
        <v>0.5</v>
      </c>
      <c r="H126" s="86"/>
      <c r="I126" s="63">
        <f>J58</f>
        <v>0</v>
      </c>
      <c r="J126" s="56" t="e">
        <f t="shared" si="4"/>
        <v>#DIV/0!</v>
      </c>
      <c r="K126" s="56">
        <f t="shared" si="5"/>
        <v>74557.728000000003</v>
      </c>
      <c r="L126" s="87"/>
      <c r="M126" s="17" t="e">
        <f t="shared" si="6"/>
        <v>#DIV/0!</v>
      </c>
      <c r="N126" s="13"/>
    </row>
    <row r="127" spans="1:14" ht="15" hidden="1" thickBot="1">
      <c r="A127" s="244"/>
      <c r="B127" s="244"/>
      <c r="C127" s="244"/>
      <c r="D127" s="244"/>
      <c r="E127" s="244"/>
      <c r="F127" s="56">
        <v>9544</v>
      </c>
      <c r="G127" s="116">
        <v>1</v>
      </c>
      <c r="H127" s="86"/>
      <c r="I127" s="63">
        <f>J58</f>
        <v>0</v>
      </c>
      <c r="J127" s="56" t="e">
        <f t="shared" si="4"/>
        <v>#DIV/0!</v>
      </c>
      <c r="K127" s="56">
        <f t="shared" si="5"/>
        <v>149115.45600000001</v>
      </c>
      <c r="L127" s="87"/>
      <c r="M127" s="17" t="e">
        <f t="shared" si="6"/>
        <v>#DIV/0!</v>
      </c>
      <c r="N127" s="13"/>
    </row>
    <row r="128" spans="1:14" ht="15.75" hidden="1" customHeight="1">
      <c r="A128" s="244"/>
      <c r="B128" s="244"/>
      <c r="C128" s="244"/>
      <c r="D128" s="244"/>
      <c r="E128" s="244"/>
      <c r="F128" s="56">
        <v>9544</v>
      </c>
      <c r="G128" s="116">
        <v>4</v>
      </c>
      <c r="H128" s="86"/>
      <c r="I128" s="63">
        <f>J58</f>
        <v>0</v>
      </c>
      <c r="J128" s="56" t="e">
        <f t="shared" si="4"/>
        <v>#DIV/0!</v>
      </c>
      <c r="K128" s="56">
        <f t="shared" si="5"/>
        <v>596461.82400000002</v>
      </c>
      <c r="L128" s="87"/>
      <c r="M128" s="17" t="e">
        <f t="shared" si="6"/>
        <v>#DIV/0!</v>
      </c>
      <c r="N128" s="13"/>
    </row>
    <row r="129" spans="1:14" ht="16.5" hidden="1" customHeight="1">
      <c r="A129" s="217"/>
      <c r="B129" s="218"/>
      <c r="C129" s="218"/>
      <c r="D129" s="218"/>
      <c r="E129" s="219"/>
      <c r="F129" s="56">
        <v>9544</v>
      </c>
      <c r="G129" s="116">
        <v>1</v>
      </c>
      <c r="H129" s="86"/>
      <c r="I129" s="63">
        <f>J58</f>
        <v>0</v>
      </c>
      <c r="J129" s="56" t="e">
        <f t="shared" si="4"/>
        <v>#DIV/0!</v>
      </c>
      <c r="K129" s="56">
        <f t="shared" si="5"/>
        <v>149115.45600000001</v>
      </c>
      <c r="L129" s="87"/>
      <c r="M129" s="17" t="e">
        <f t="shared" si="6"/>
        <v>#DIV/0!</v>
      </c>
      <c r="N129" s="13"/>
    </row>
    <row r="130" spans="1:14" ht="16.5" hidden="1" customHeight="1">
      <c r="A130" s="217"/>
      <c r="B130" s="218"/>
      <c r="C130" s="218"/>
      <c r="D130" s="218"/>
      <c r="E130" s="219"/>
      <c r="F130" s="56">
        <v>9544</v>
      </c>
      <c r="G130" s="119">
        <v>1.75</v>
      </c>
      <c r="H130" s="86"/>
      <c r="I130" s="63">
        <f>J58</f>
        <v>0</v>
      </c>
      <c r="J130" s="56" t="e">
        <f t="shared" si="4"/>
        <v>#DIV/0!</v>
      </c>
      <c r="K130" s="56">
        <f t="shared" si="5"/>
        <v>260952.04800000001</v>
      </c>
      <c r="L130" s="87"/>
      <c r="M130" s="17" t="e">
        <f t="shared" si="6"/>
        <v>#DIV/0!</v>
      </c>
      <c r="N130" s="13"/>
    </row>
    <row r="131" spans="1:14" ht="16.5" hidden="1" customHeight="1">
      <c r="A131" s="217"/>
      <c r="B131" s="218"/>
      <c r="C131" s="218"/>
      <c r="D131" s="218"/>
      <c r="E131" s="219"/>
      <c r="F131" s="56">
        <v>9544</v>
      </c>
      <c r="G131" s="63"/>
      <c r="H131" s="86"/>
      <c r="I131" s="63">
        <f>J58</f>
        <v>0</v>
      </c>
      <c r="J131" s="56" t="e">
        <f t="shared" si="4"/>
        <v>#DIV/0!</v>
      </c>
      <c r="K131" s="56">
        <f t="shared" si="5"/>
        <v>0</v>
      </c>
      <c r="L131" s="87"/>
      <c r="M131" s="17" t="e">
        <f t="shared" si="6"/>
        <v>#DIV/0!</v>
      </c>
      <c r="N131" s="13"/>
    </row>
    <row r="132" spans="1:14" ht="16.5" hidden="1" customHeight="1">
      <c r="A132" s="217"/>
      <c r="B132" s="218"/>
      <c r="C132" s="218"/>
      <c r="D132" s="218"/>
      <c r="E132" s="219"/>
      <c r="F132" s="56">
        <v>9544</v>
      </c>
      <c r="G132" s="118">
        <v>0.5</v>
      </c>
      <c r="H132" s="86"/>
      <c r="I132" s="63">
        <f>J58</f>
        <v>0</v>
      </c>
      <c r="J132" s="56" t="e">
        <f t="shared" si="4"/>
        <v>#DIV/0!</v>
      </c>
      <c r="K132" s="56">
        <f t="shared" si="5"/>
        <v>74557.728000000003</v>
      </c>
      <c r="L132" s="87"/>
      <c r="M132" s="17" t="e">
        <f t="shared" si="6"/>
        <v>#DIV/0!</v>
      </c>
      <c r="N132" s="13"/>
    </row>
    <row r="133" spans="1:14" ht="15" hidden="1" customHeight="1">
      <c r="A133" s="217"/>
      <c r="B133" s="218"/>
      <c r="C133" s="218"/>
      <c r="D133" s="218"/>
      <c r="E133" s="219"/>
      <c r="F133" s="56"/>
      <c r="G133" s="56"/>
      <c r="H133" s="56"/>
      <c r="I133" s="56"/>
      <c r="J133" s="56"/>
      <c r="K133" s="56"/>
      <c r="L133" s="87"/>
      <c r="M133" s="17">
        <f t="shared" si="6"/>
        <v>0</v>
      </c>
      <c r="N133" s="13"/>
    </row>
    <row r="134" spans="1:14" ht="15.75" hidden="1" customHeight="1">
      <c r="A134" s="217"/>
      <c r="B134" s="218"/>
      <c r="C134" s="218"/>
      <c r="D134" s="218"/>
      <c r="E134" s="219"/>
      <c r="F134" s="56"/>
      <c r="G134" s="56"/>
      <c r="H134" s="56"/>
      <c r="I134" s="56"/>
      <c r="J134" s="56"/>
      <c r="K134" s="56"/>
      <c r="L134" s="87"/>
      <c r="M134" s="17">
        <f t="shared" si="6"/>
        <v>0</v>
      </c>
      <c r="N134" s="13"/>
    </row>
    <row r="135" spans="1:14" ht="14.25" hidden="1" customHeight="1">
      <c r="A135" s="217"/>
      <c r="B135" s="218"/>
      <c r="C135" s="218"/>
      <c r="D135" s="218"/>
      <c r="E135" s="219"/>
      <c r="F135" s="56"/>
      <c r="G135" s="56"/>
      <c r="H135" s="56"/>
      <c r="I135" s="56"/>
      <c r="J135" s="86">
        <v>105</v>
      </c>
      <c r="K135" s="88">
        <f>I135/J135</f>
        <v>0</v>
      </c>
      <c r="L135" s="87"/>
      <c r="M135" s="44">
        <f t="shared" si="6"/>
        <v>0</v>
      </c>
      <c r="N135" s="13"/>
    </row>
    <row r="136" spans="1:14" ht="15" thickBot="1">
      <c r="A136" s="220" t="s">
        <v>81</v>
      </c>
      <c r="B136" s="220"/>
      <c r="C136" s="220"/>
      <c r="D136" s="220"/>
      <c r="E136" s="220"/>
      <c r="F136" s="120"/>
      <c r="G136" s="121"/>
      <c r="H136" s="121"/>
      <c r="I136" s="146">
        <f>I110</f>
        <v>3103478.2101000003</v>
      </c>
      <c r="J136" s="89"/>
      <c r="K136" s="122">
        <f>K110</f>
        <v>3487.0541686516858</v>
      </c>
      <c r="L136" s="87"/>
      <c r="M136" s="24"/>
      <c r="N136" s="11">
        <f>I136/88.1%</f>
        <v>3522676.74245176</v>
      </c>
    </row>
    <row r="137" spans="1:14" ht="24.75" customHeight="1">
      <c r="A137" s="87"/>
      <c r="B137" s="87"/>
      <c r="C137" s="87"/>
      <c r="D137" s="87"/>
      <c r="E137" s="87"/>
      <c r="F137" s="87"/>
      <c r="G137" s="87"/>
      <c r="H137" s="87"/>
      <c r="I137" s="87"/>
      <c r="J137" s="87"/>
      <c r="K137" s="87"/>
      <c r="L137" s="87"/>
      <c r="M137" s="11"/>
      <c r="N137" s="11"/>
    </row>
    <row r="138" spans="1:14" hidden="1">
      <c r="A138" s="221" t="s">
        <v>38</v>
      </c>
      <c r="B138" s="221"/>
      <c r="C138" s="221"/>
      <c r="D138" s="221"/>
      <c r="E138" s="221"/>
      <c r="F138" s="221"/>
      <c r="G138" s="221"/>
      <c r="H138" s="221"/>
      <c r="I138" s="221"/>
      <c r="J138" s="221"/>
      <c r="K138" s="221"/>
      <c r="L138" s="221"/>
      <c r="M138" s="221"/>
      <c r="N138" s="11"/>
    </row>
    <row r="139" spans="1:14" hidden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</row>
    <row r="140" spans="1:14" ht="42" hidden="1">
      <c r="A140" s="222" t="s">
        <v>39</v>
      </c>
      <c r="B140" s="222"/>
      <c r="C140" s="222"/>
      <c r="D140" s="222"/>
      <c r="E140" s="222"/>
      <c r="F140" s="9" t="s">
        <v>7</v>
      </c>
      <c r="G140" s="9" t="s">
        <v>18</v>
      </c>
      <c r="H140" s="9" t="s">
        <v>19</v>
      </c>
      <c r="I140" s="9" t="s">
        <v>20</v>
      </c>
      <c r="J140" s="9"/>
      <c r="K140" s="9" t="s">
        <v>21</v>
      </c>
      <c r="L140" s="9" t="s">
        <v>22</v>
      </c>
      <c r="M140" s="9" t="s">
        <v>82</v>
      </c>
      <c r="N140" s="11"/>
    </row>
    <row r="141" spans="1:14" hidden="1">
      <c r="A141" s="231" t="s">
        <v>40</v>
      </c>
      <c r="B141" s="231"/>
      <c r="C141" s="231"/>
      <c r="D141" s="231"/>
      <c r="E141" s="231"/>
      <c r="F141" s="12" t="s">
        <v>43</v>
      </c>
      <c r="G141" s="12">
        <v>0</v>
      </c>
      <c r="H141" s="54">
        <f>M63</f>
        <v>0</v>
      </c>
      <c r="I141" s="45">
        <f>J58</f>
        <v>0</v>
      </c>
      <c r="J141" s="45"/>
      <c r="K141" s="12"/>
      <c r="L141" s="12"/>
      <c r="M141" s="12"/>
      <c r="N141" s="11"/>
    </row>
    <row r="142" spans="1:14" hidden="1">
      <c r="A142" s="231" t="s">
        <v>41</v>
      </c>
      <c r="B142" s="231"/>
      <c r="C142" s="231"/>
      <c r="D142" s="231"/>
      <c r="E142" s="231"/>
      <c r="F142" s="12" t="s">
        <v>44</v>
      </c>
      <c r="G142" s="12">
        <v>0</v>
      </c>
      <c r="H142" s="54">
        <f>M63</f>
        <v>0</v>
      </c>
      <c r="I142" s="45">
        <f>J58</f>
        <v>0</v>
      </c>
      <c r="J142" s="45"/>
      <c r="K142" s="12"/>
      <c r="L142" s="12"/>
      <c r="M142" s="12"/>
      <c r="N142" s="11"/>
    </row>
    <row r="143" spans="1:14" hidden="1">
      <c r="A143" s="231" t="s">
        <v>42</v>
      </c>
      <c r="B143" s="231"/>
      <c r="C143" s="231"/>
      <c r="D143" s="231"/>
      <c r="E143" s="231"/>
      <c r="F143" s="12" t="s">
        <v>44</v>
      </c>
      <c r="G143" s="12">
        <v>0</v>
      </c>
      <c r="H143" s="54">
        <f>M63</f>
        <v>0</v>
      </c>
      <c r="I143" s="45">
        <f>J58</f>
        <v>0</v>
      </c>
      <c r="J143" s="45"/>
      <c r="K143" s="12"/>
      <c r="L143" s="12"/>
      <c r="M143" s="12"/>
      <c r="N143" s="11"/>
    </row>
    <row r="144" spans="1:14" hidden="1">
      <c r="A144" s="232" t="s">
        <v>45</v>
      </c>
      <c r="B144" s="233"/>
      <c r="C144" s="233"/>
      <c r="D144" s="233"/>
      <c r="E144" s="233"/>
      <c r="F144" s="233"/>
      <c r="G144" s="233"/>
      <c r="H144" s="233"/>
      <c r="I144" s="233"/>
      <c r="J144" s="233"/>
      <c r="K144" s="233"/>
      <c r="L144" s="234"/>
      <c r="M144" s="58">
        <f>M141+M142+M143</f>
        <v>0</v>
      </c>
      <c r="N144" s="11"/>
    </row>
    <row r="145" spans="1:14" hidden="1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1"/>
    </row>
    <row r="146" spans="1:14" hidden="1">
      <c r="A146" s="223" t="s">
        <v>93</v>
      </c>
      <c r="B146" s="224"/>
      <c r="C146" s="224"/>
      <c r="D146" s="224"/>
      <c r="E146" s="224"/>
      <c r="F146" s="224"/>
      <c r="G146" s="224"/>
      <c r="H146" s="224"/>
      <c r="I146" s="224"/>
      <c r="J146" s="224"/>
      <c r="K146" s="224"/>
      <c r="L146" s="224"/>
      <c r="M146" s="11"/>
      <c r="N146" s="11"/>
    </row>
    <row r="147" spans="1:14" hidden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  <c r="N147" s="11"/>
    </row>
    <row r="148" spans="1:14" ht="55.8" hidden="1">
      <c r="A148" s="214" t="s">
        <v>66</v>
      </c>
      <c r="B148" s="215"/>
      <c r="C148" s="215"/>
      <c r="D148" s="215"/>
      <c r="E148" s="216"/>
      <c r="F148" s="9" t="s">
        <v>7</v>
      </c>
      <c r="G148" s="9" t="s">
        <v>18</v>
      </c>
      <c r="H148" s="37" t="s">
        <v>22</v>
      </c>
      <c r="I148" s="9" t="s">
        <v>82</v>
      </c>
      <c r="J148" s="37" t="s">
        <v>78</v>
      </c>
      <c r="K148" s="37" t="s">
        <v>73</v>
      </c>
      <c r="L148" s="11"/>
      <c r="M148" s="11"/>
      <c r="N148" s="11"/>
    </row>
    <row r="149" spans="1:14" hidden="1">
      <c r="A149" s="225">
        <v>1</v>
      </c>
      <c r="B149" s="226"/>
      <c r="C149" s="226"/>
      <c r="D149" s="226"/>
      <c r="E149" s="227"/>
      <c r="F149" s="37">
        <v>2</v>
      </c>
      <c r="G149" s="37">
        <v>3</v>
      </c>
      <c r="H149" s="37">
        <v>4</v>
      </c>
      <c r="I149" s="37">
        <v>5</v>
      </c>
      <c r="J149" s="38">
        <v>6</v>
      </c>
      <c r="K149" s="54">
        <v>7</v>
      </c>
      <c r="L149" s="11"/>
      <c r="M149" s="11"/>
      <c r="N149" s="11"/>
    </row>
    <row r="150" spans="1:14" ht="15" hidden="1" thickBot="1">
      <c r="A150" s="228" t="s">
        <v>95</v>
      </c>
      <c r="B150" s="229"/>
      <c r="C150" s="229"/>
      <c r="D150" s="229"/>
      <c r="E150" s="230"/>
      <c r="F150" s="17"/>
      <c r="G150" s="18"/>
      <c r="H150" s="17"/>
      <c r="I150" s="17"/>
      <c r="J150" s="18">
        <v>30</v>
      </c>
      <c r="K150" s="10">
        <f>I150/J150</f>
        <v>0</v>
      </c>
      <c r="L150" s="11"/>
      <c r="M150" s="11"/>
      <c r="N150" s="11"/>
    </row>
    <row r="151" spans="1:14" ht="15" hidden="1" thickBot="1">
      <c r="A151" s="69" t="s">
        <v>94</v>
      </c>
      <c r="B151" s="70"/>
      <c r="C151" s="70"/>
      <c r="D151" s="70"/>
      <c r="E151" s="70"/>
      <c r="F151" s="70"/>
      <c r="G151" s="70"/>
      <c r="H151" s="70"/>
      <c r="I151" s="59">
        <f>I150</f>
        <v>0</v>
      </c>
      <c r="J151" s="60"/>
      <c r="K151" s="61">
        <f>K150</f>
        <v>0</v>
      </c>
      <c r="L151" s="11"/>
      <c r="M151" s="11"/>
      <c r="N151" s="11"/>
    </row>
    <row r="152" spans="1:14" hidden="1">
      <c r="A152" s="213" t="s">
        <v>65</v>
      </c>
      <c r="B152" s="213"/>
      <c r="C152" s="213"/>
      <c r="D152" s="213"/>
      <c r="E152" s="213"/>
      <c r="F152" s="213"/>
      <c r="G152" s="213"/>
      <c r="H152" s="213"/>
      <c r="I152" s="213"/>
      <c r="J152" s="213"/>
      <c r="K152" s="213"/>
      <c r="L152" s="213"/>
      <c r="M152" s="213"/>
      <c r="N152" s="11"/>
    </row>
    <row r="153" spans="1:14" hidden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</row>
    <row r="154" spans="1:14" hidden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</row>
    <row r="155" spans="1:14" hidden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</row>
    <row r="156" spans="1:14" hidden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</row>
    <row r="157" spans="1:14" ht="55.8" hidden="1">
      <c r="A157" s="214" t="s">
        <v>66</v>
      </c>
      <c r="B157" s="215"/>
      <c r="C157" s="215"/>
      <c r="D157" s="215"/>
      <c r="E157" s="216"/>
      <c r="F157" s="9" t="s">
        <v>7</v>
      </c>
      <c r="G157" s="9" t="s">
        <v>18</v>
      </c>
      <c r="H157" s="37" t="s">
        <v>22</v>
      </c>
      <c r="I157" s="9" t="s">
        <v>82</v>
      </c>
      <c r="J157" s="9" t="s">
        <v>105</v>
      </c>
      <c r="K157" s="9" t="s">
        <v>106</v>
      </c>
      <c r="L157" s="11"/>
      <c r="M157" s="11"/>
      <c r="N157" s="11"/>
    </row>
    <row r="158" spans="1:14" hidden="1">
      <c r="A158" s="225">
        <v>1</v>
      </c>
      <c r="B158" s="226"/>
      <c r="C158" s="226"/>
      <c r="D158" s="226"/>
      <c r="E158" s="227"/>
      <c r="F158" s="37">
        <v>2</v>
      </c>
      <c r="G158" s="37">
        <v>3</v>
      </c>
      <c r="H158" s="37">
        <v>4</v>
      </c>
      <c r="I158" s="37">
        <v>5</v>
      </c>
      <c r="J158" s="38">
        <v>6</v>
      </c>
      <c r="K158" s="54">
        <v>7</v>
      </c>
      <c r="L158" s="11"/>
      <c r="M158" s="62"/>
      <c r="N158" s="11"/>
    </row>
    <row r="159" spans="1:14" hidden="1">
      <c r="A159" s="228" t="s">
        <v>68</v>
      </c>
      <c r="B159" s="229"/>
      <c r="C159" s="229"/>
      <c r="D159" s="229"/>
      <c r="E159" s="230"/>
      <c r="F159" s="17" t="s">
        <v>31</v>
      </c>
      <c r="G159" s="18">
        <v>0</v>
      </c>
      <c r="H159" s="17"/>
      <c r="I159" s="17">
        <f>J58</f>
        <v>0</v>
      </c>
      <c r="J159" s="24"/>
      <c r="K159" s="11"/>
      <c r="L159" s="11"/>
      <c r="M159" s="46">
        <f>J159*H159</f>
        <v>0</v>
      </c>
      <c r="N159" s="11"/>
    </row>
    <row r="160" spans="1:14" hidden="1">
      <c r="A160" s="228" t="s">
        <v>69</v>
      </c>
      <c r="B160" s="229"/>
      <c r="C160" s="229"/>
      <c r="D160" s="229"/>
      <c r="E160" s="230"/>
      <c r="F160" s="17" t="s">
        <v>31</v>
      </c>
      <c r="G160" s="18">
        <v>0</v>
      </c>
      <c r="H160" s="17"/>
      <c r="I160" s="17">
        <f>J58</f>
        <v>0</v>
      </c>
      <c r="J160" s="24"/>
      <c r="K160" s="11"/>
      <c r="L160" s="11"/>
      <c r="M160" s="17"/>
      <c r="N160" s="11"/>
    </row>
    <row r="161" spans="1:14" ht="15" hidden="1" thickBot="1">
      <c r="A161" s="228" t="s">
        <v>70</v>
      </c>
      <c r="B161" s="229"/>
      <c r="C161" s="229"/>
      <c r="D161" s="229"/>
      <c r="E161" s="230"/>
      <c r="F161" s="17" t="s">
        <v>91</v>
      </c>
      <c r="G161" s="63"/>
      <c r="H161" s="17"/>
      <c r="I161" s="43"/>
      <c r="J161" s="86">
        <v>3260</v>
      </c>
      <c r="K161" s="64">
        <f>I161/J161</f>
        <v>0</v>
      </c>
      <c r="L161" s="11"/>
      <c r="M161" s="11"/>
      <c r="N161" s="11"/>
    </row>
    <row r="162" spans="1:14" ht="15" hidden="1" thickBot="1">
      <c r="A162" s="69" t="s">
        <v>67</v>
      </c>
      <c r="B162" s="70"/>
      <c r="C162" s="70"/>
      <c r="D162" s="70"/>
      <c r="E162" s="70"/>
      <c r="F162" s="70"/>
      <c r="G162" s="70"/>
      <c r="H162" s="70"/>
      <c r="I162" s="59">
        <f>I161</f>
        <v>0</v>
      </c>
      <c r="J162" s="57"/>
      <c r="K162" s="48">
        <f>K161</f>
        <v>0</v>
      </c>
      <c r="L162" s="11"/>
      <c r="M162" s="11"/>
      <c r="N162" s="11"/>
    </row>
    <row r="163" spans="1:14">
      <c r="A163" s="76"/>
      <c r="B163" s="76"/>
      <c r="C163" s="76"/>
      <c r="D163" s="76"/>
      <c r="E163" s="76"/>
      <c r="F163" s="76"/>
      <c r="G163" s="76"/>
      <c r="H163" s="76"/>
      <c r="I163" s="52"/>
      <c r="J163" s="78"/>
      <c r="K163" s="53"/>
      <c r="L163" s="11"/>
      <c r="M163" s="11"/>
      <c r="N163" s="11"/>
    </row>
    <row r="164" spans="1:14">
      <c r="A164" s="238" t="s">
        <v>101</v>
      </c>
      <c r="B164" s="238"/>
      <c r="C164" s="238"/>
      <c r="D164" s="238"/>
      <c r="E164" s="238"/>
      <c r="F164" s="238"/>
      <c r="G164" s="238"/>
      <c r="H164" s="238"/>
      <c r="I164" s="238"/>
      <c r="J164" s="238"/>
      <c r="K164" s="238"/>
      <c r="L164" s="238"/>
      <c r="M164" s="11"/>
      <c r="N164" s="11"/>
    </row>
    <row r="165" spans="1:14" ht="55.8">
      <c r="A165" s="214" t="s">
        <v>102</v>
      </c>
      <c r="B165" s="215"/>
      <c r="C165" s="215"/>
      <c r="D165" s="215"/>
      <c r="E165" s="216"/>
      <c r="F165" s="66" t="s">
        <v>7</v>
      </c>
      <c r="G165" s="66" t="s">
        <v>90</v>
      </c>
      <c r="H165" s="66" t="s">
        <v>71</v>
      </c>
      <c r="I165" s="66" t="s">
        <v>82</v>
      </c>
      <c r="J165" s="9" t="s">
        <v>105</v>
      </c>
      <c r="K165" s="9" t="s">
        <v>135</v>
      </c>
      <c r="L165" s="73"/>
      <c r="M165" s="11"/>
      <c r="N165" s="11"/>
    </row>
    <row r="166" spans="1:14" ht="20.25" customHeight="1">
      <c r="A166" s="244" t="s">
        <v>179</v>
      </c>
      <c r="B166" s="244"/>
      <c r="C166" s="244"/>
      <c r="D166" s="244"/>
      <c r="E166" s="244"/>
      <c r="F166" s="77"/>
      <c r="G166" s="115">
        <v>70</v>
      </c>
      <c r="H166" s="150">
        <v>150</v>
      </c>
      <c r="I166" s="82">
        <f>10500*88.1%</f>
        <v>9250.4999999999982</v>
      </c>
      <c r="J166" s="86">
        <v>890</v>
      </c>
      <c r="K166" s="109">
        <f>I166/J166</f>
        <v>10.393820224719098</v>
      </c>
      <c r="L166" s="74"/>
      <c r="M166" s="11"/>
      <c r="N166" s="11"/>
    </row>
    <row r="167" spans="1:14" hidden="1">
      <c r="A167" s="239" t="s">
        <v>94</v>
      </c>
      <c r="B167" s="240"/>
      <c r="C167" s="240"/>
      <c r="D167" s="240"/>
      <c r="E167" s="240"/>
      <c r="F167" s="240"/>
      <c r="G167" s="240"/>
      <c r="H167" s="240"/>
      <c r="I167" s="75">
        <f>SUM(I166:I166)</f>
        <v>9250.4999999999982</v>
      </c>
      <c r="J167" s="75"/>
      <c r="K167" s="75">
        <f>SUM(K166:K166)</f>
        <v>10.393820224719098</v>
      </c>
      <c r="L167" s="74"/>
      <c r="M167" s="11"/>
      <c r="N167" s="11"/>
    </row>
    <row r="168" spans="1:14">
      <c r="A168" s="250" t="s">
        <v>180</v>
      </c>
      <c r="B168" s="253"/>
      <c r="C168" s="253"/>
      <c r="D168" s="253"/>
      <c r="E168" s="254"/>
      <c r="F168" s="10"/>
      <c r="G168" s="10"/>
      <c r="H168" s="10"/>
      <c r="I168" s="85">
        <f>1440*88.1%</f>
        <v>1268.6399999999999</v>
      </c>
      <c r="J168" s="179">
        <v>890</v>
      </c>
      <c r="K168" s="109">
        <f>I168/J168</f>
        <v>1.425438202247191</v>
      </c>
      <c r="L168" s="11"/>
      <c r="M168" s="11"/>
      <c r="N168" s="11"/>
    </row>
    <row r="169" spans="1:14" ht="15" thickBot="1">
      <c r="A169" s="241" t="s">
        <v>94</v>
      </c>
      <c r="B169" s="241"/>
      <c r="C169" s="241"/>
      <c r="D169" s="241"/>
      <c r="E169" s="241"/>
      <c r="F169" s="242"/>
      <c r="G169" s="242"/>
      <c r="H169" s="243"/>
      <c r="I169" s="176">
        <f>I166+I168</f>
        <v>10519.139999999998</v>
      </c>
      <c r="J169" s="177"/>
      <c r="K169" s="178">
        <f>K166+K168</f>
        <v>11.819258426966289</v>
      </c>
      <c r="L169" s="11"/>
      <c r="M169" s="11"/>
      <c r="N169" s="90">
        <f>I169/88.1%</f>
        <v>11939.999999999998</v>
      </c>
    </row>
    <row r="170" spans="1:14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</row>
    <row r="171" spans="1:14">
      <c r="A171" s="245" t="s">
        <v>136</v>
      </c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38"/>
      <c r="M171" s="11"/>
      <c r="N171" s="13"/>
    </row>
    <row r="172" spans="1:14" ht="55.8">
      <c r="A172" s="222" t="s">
        <v>134</v>
      </c>
      <c r="B172" s="222"/>
      <c r="C172" s="222"/>
      <c r="D172" s="222"/>
      <c r="E172" s="222"/>
      <c r="F172" s="72" t="s">
        <v>7</v>
      </c>
      <c r="G172" s="72" t="s">
        <v>90</v>
      </c>
      <c r="H172" s="72" t="s">
        <v>71</v>
      </c>
      <c r="I172" s="72" t="s">
        <v>82</v>
      </c>
      <c r="J172" s="9" t="s">
        <v>105</v>
      </c>
      <c r="K172" s="9" t="s">
        <v>135</v>
      </c>
      <c r="L172" s="73"/>
      <c r="M172" s="11"/>
      <c r="N172" s="13"/>
    </row>
    <row r="173" spans="1:14" ht="28.5" customHeight="1" thickBot="1">
      <c r="A173" s="247" t="s">
        <v>138</v>
      </c>
      <c r="B173" s="248"/>
      <c r="C173" s="248"/>
      <c r="D173" s="248"/>
      <c r="E173" s="249"/>
      <c r="F173" s="10" t="s">
        <v>44</v>
      </c>
      <c r="G173" s="72"/>
      <c r="H173" s="72"/>
      <c r="I173" s="161">
        <v>20000</v>
      </c>
      <c r="J173" s="86">
        <v>890</v>
      </c>
      <c r="K173" s="126">
        <f>I173/J173</f>
        <v>22.471910112359552</v>
      </c>
      <c r="L173" s="73"/>
      <c r="M173" s="11"/>
      <c r="N173" s="13"/>
    </row>
    <row r="174" spans="1:14" ht="21" hidden="1" customHeight="1" thickBot="1">
      <c r="A174" s="250" t="s">
        <v>139</v>
      </c>
      <c r="B174" s="251"/>
      <c r="C174" s="251"/>
      <c r="D174" s="251"/>
      <c r="E174" s="252"/>
      <c r="F174" s="10" t="s">
        <v>44</v>
      </c>
      <c r="G174" s="72"/>
      <c r="H174" s="72"/>
      <c r="I174" s="132"/>
      <c r="J174" s="86">
        <v>890</v>
      </c>
      <c r="K174" s="126">
        <f>I174/J174</f>
        <v>0</v>
      </c>
      <c r="L174" s="73"/>
      <c r="M174" s="11"/>
      <c r="N174" s="13"/>
    </row>
    <row r="175" spans="1:14" ht="20.25" hidden="1" customHeight="1" thickBot="1">
      <c r="A175" s="246"/>
      <c r="B175" s="246"/>
      <c r="C175" s="246"/>
      <c r="D175" s="246"/>
      <c r="E175" s="246"/>
      <c r="F175" s="10" t="s">
        <v>44</v>
      </c>
      <c r="G175" s="124"/>
      <c r="H175" s="125"/>
      <c r="I175" s="130"/>
      <c r="J175" s="55">
        <v>3260</v>
      </c>
      <c r="K175" s="127">
        <f>I175/J175</f>
        <v>0</v>
      </c>
      <c r="L175" s="74"/>
      <c r="M175" s="11"/>
      <c r="N175" s="13"/>
    </row>
    <row r="176" spans="1:14" ht="15" thickBot="1">
      <c r="A176" s="239"/>
      <c r="B176" s="240"/>
      <c r="C176" s="240"/>
      <c r="D176" s="240"/>
      <c r="E176" s="240"/>
      <c r="F176" s="240"/>
      <c r="G176" s="240"/>
      <c r="H176" s="240"/>
      <c r="I176" s="131">
        <f>I173+I174+I175</f>
        <v>20000</v>
      </c>
      <c r="J176" s="128"/>
      <c r="K176" s="129">
        <f>K173+K174+K175</f>
        <v>22.471910112359552</v>
      </c>
      <c r="L176" s="26"/>
      <c r="M176" s="11"/>
      <c r="N176" s="11">
        <f>I176/88.1%</f>
        <v>22701.475595913736</v>
      </c>
    </row>
    <row r="177" spans="1:14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3"/>
    </row>
    <row r="178" spans="1:14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</row>
    <row r="179" spans="1:14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>
      <c r="A180" s="221" t="s">
        <v>46</v>
      </c>
      <c r="B180" s="221"/>
      <c r="C180" s="221"/>
      <c r="D180" s="221"/>
      <c r="E180" s="221"/>
      <c r="F180" s="221"/>
      <c r="G180" s="221"/>
      <c r="H180" s="221"/>
      <c r="I180" s="221"/>
      <c r="J180" s="221"/>
      <c r="K180" s="221"/>
      <c r="L180" s="221"/>
      <c r="M180" s="221"/>
      <c r="N180" s="11"/>
    </row>
    <row r="181" spans="1:14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</row>
    <row r="182" spans="1:14" ht="47.25" customHeight="1">
      <c r="A182" s="237" t="s">
        <v>47</v>
      </c>
      <c r="B182" s="237"/>
      <c r="C182" s="237"/>
      <c r="D182" s="222" t="s">
        <v>48</v>
      </c>
      <c r="E182" s="222"/>
      <c r="F182" s="222"/>
      <c r="G182" s="222"/>
      <c r="H182" s="222"/>
      <c r="I182" s="222"/>
      <c r="J182" s="222"/>
      <c r="K182" s="222"/>
      <c r="L182" s="237" t="s">
        <v>58</v>
      </c>
      <c r="M182" s="237"/>
      <c r="N182" s="11"/>
    </row>
    <row r="183" spans="1:14" ht="28.2">
      <c r="A183" s="10" t="s">
        <v>49</v>
      </c>
      <c r="B183" s="9" t="s">
        <v>50</v>
      </c>
      <c r="C183" s="10" t="s">
        <v>51</v>
      </c>
      <c r="D183" s="10" t="s">
        <v>52</v>
      </c>
      <c r="E183" s="10" t="s">
        <v>53</v>
      </c>
      <c r="F183" s="10" t="s">
        <v>137</v>
      </c>
      <c r="G183" s="10" t="s">
        <v>54</v>
      </c>
      <c r="H183" s="10" t="s">
        <v>55</v>
      </c>
      <c r="I183" s="10" t="s">
        <v>56</v>
      </c>
      <c r="J183" s="10" t="s">
        <v>96</v>
      </c>
      <c r="K183" s="10" t="s">
        <v>57</v>
      </c>
      <c r="L183" s="237"/>
      <c r="M183" s="237"/>
      <c r="N183" s="11">
        <v>9565200</v>
      </c>
    </row>
    <row r="184" spans="1:14">
      <c r="A184" s="17">
        <f>K58</f>
        <v>5333.141674157303</v>
      </c>
      <c r="B184" s="17"/>
      <c r="C184" s="17"/>
      <c r="D184" s="17">
        <f>K72</f>
        <v>420.99921348314604</v>
      </c>
      <c r="E184" s="17">
        <f>K83</f>
        <v>72.041448764044929</v>
      </c>
      <c r="F184" s="17">
        <f>K176</f>
        <v>22.471910112359552</v>
      </c>
      <c r="G184" s="17">
        <f>L102</f>
        <v>60.26693325842696</v>
      </c>
      <c r="H184" s="17">
        <f>K162</f>
        <v>0</v>
      </c>
      <c r="I184" s="17">
        <f>K136</f>
        <v>3487.0541686516858</v>
      </c>
      <c r="J184" s="17">
        <f>K169</f>
        <v>11.819258426966289</v>
      </c>
      <c r="K184" s="20">
        <f>J96</f>
        <v>83.1505617977528</v>
      </c>
      <c r="L184" s="235">
        <f>SUM(A184:K184)</f>
        <v>9490.9451686516841</v>
      </c>
      <c r="M184" s="236"/>
      <c r="N184" s="13"/>
    </row>
    <row r="185" spans="1:14" ht="15" thickBo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</row>
    <row r="186" spans="1:14" ht="15" thickBo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N186" s="148">
        <f>L184*890</f>
        <v>8446941.2000999991</v>
      </c>
    </row>
    <row r="187" spans="1:14" ht="15" thickBot="1">
      <c r="A187" s="14" t="s">
        <v>107</v>
      </c>
      <c r="B187" s="14"/>
      <c r="C187" s="14"/>
      <c r="D187" s="11"/>
      <c r="E187" s="11"/>
      <c r="F187" s="11"/>
      <c r="G187" s="11"/>
      <c r="H187" s="11"/>
      <c r="I187" s="11"/>
      <c r="J187" s="13"/>
      <c r="K187" s="145">
        <f>I176+I169+I136+J102+H96+I83+I72+I58</f>
        <v>8446941.2001000009</v>
      </c>
      <c r="L187" s="180"/>
      <c r="M187" s="11"/>
      <c r="N187" s="11"/>
    </row>
    <row r="188" spans="1:14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65"/>
    </row>
    <row r="189" spans="1:14">
      <c r="A189" s="11"/>
      <c r="B189" s="11"/>
      <c r="C189" s="11"/>
      <c r="D189" s="11"/>
      <c r="E189" s="11"/>
      <c r="F189" s="11"/>
      <c r="G189" s="11"/>
      <c r="H189" s="11"/>
      <c r="I189" s="180"/>
      <c r="J189" s="11"/>
      <c r="K189" s="11"/>
      <c r="L189" s="65"/>
      <c r="M189" s="65"/>
      <c r="N189" s="11"/>
    </row>
    <row r="190" spans="1:14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</row>
    <row r="191" spans="1:14" ht="18">
      <c r="A191" s="3" t="s">
        <v>108</v>
      </c>
      <c r="B191" s="3"/>
      <c r="C191" s="3"/>
      <c r="G191" s="3" t="s">
        <v>190</v>
      </c>
      <c r="K191" s="141"/>
    </row>
    <row r="193" spans="1:14">
      <c r="K193" s="141"/>
    </row>
    <row r="199" spans="1:14" ht="15.6">
      <c r="A199" s="7" t="s">
        <v>72</v>
      </c>
      <c r="B199" s="7"/>
    </row>
    <row r="200" spans="1:14" ht="15.6">
      <c r="A200" s="7" t="s">
        <v>181</v>
      </c>
      <c r="B200" s="7"/>
    </row>
    <row r="201" spans="1:14" ht="15.6">
      <c r="A201" s="7" t="s">
        <v>182</v>
      </c>
      <c r="C201" s="7"/>
    </row>
    <row r="202" spans="1:14" ht="15.6">
      <c r="A202" s="2"/>
      <c r="B202" s="2"/>
      <c r="C202" s="2"/>
    </row>
    <row r="203" spans="1:14">
      <c r="J203" s="141">
        <f>I169+I136+J102+H96+I83+I72+I58</f>
        <v>8426941.2001000009</v>
      </c>
    </row>
    <row r="204" spans="1:14">
      <c r="J204">
        <f>J203/88.1%</f>
        <v>9565200.0001135096</v>
      </c>
      <c r="N204">
        <v>8910300</v>
      </c>
    </row>
    <row r="205" spans="1:14">
      <c r="E205" s="141"/>
      <c r="N205">
        <f>N136+N58</f>
        <v>8910300.0001135096</v>
      </c>
    </row>
    <row r="206" spans="1:14">
      <c r="E206" s="141"/>
      <c r="J206">
        <f>J204-N183</f>
        <v>1.1350959539413452E-4</v>
      </c>
      <c r="N206">
        <f>N204-N205</f>
        <v>-1.1350959539413452E-4</v>
      </c>
    </row>
  </sheetData>
  <mergeCells count="174">
    <mergeCell ref="A7:C7"/>
    <mergeCell ref="E7:G7"/>
    <mergeCell ref="A9:G9"/>
    <mergeCell ref="A18:E18"/>
    <mergeCell ref="G18:L18"/>
    <mergeCell ref="A2:D2"/>
    <mergeCell ref="E2:H2"/>
    <mergeCell ref="A3:B3"/>
    <mergeCell ref="E3:F3"/>
    <mergeCell ref="A5:C5"/>
    <mergeCell ref="E5:G5"/>
    <mergeCell ref="A10:H10"/>
    <mergeCell ref="A14:M14"/>
    <mergeCell ref="I5:L5"/>
    <mergeCell ref="A22:E22"/>
    <mergeCell ref="G22:L22"/>
    <mergeCell ref="A23:E23"/>
    <mergeCell ref="G23:L23"/>
    <mergeCell ref="A25:E25"/>
    <mergeCell ref="G25:L25"/>
    <mergeCell ref="A19:E19"/>
    <mergeCell ref="G19:L19"/>
    <mergeCell ref="A20:E20"/>
    <mergeCell ref="G20:L20"/>
    <mergeCell ref="A21:E21"/>
    <mergeCell ref="G21:L21"/>
    <mergeCell ref="A24:E24"/>
    <mergeCell ref="G24:L24"/>
    <mergeCell ref="G29:L29"/>
    <mergeCell ref="A30:E30"/>
    <mergeCell ref="A31:E31"/>
    <mergeCell ref="G31:L31"/>
    <mergeCell ref="A26:E26"/>
    <mergeCell ref="A27:E27"/>
    <mergeCell ref="G27:L27"/>
    <mergeCell ref="A28:E28"/>
    <mergeCell ref="G28:L28"/>
    <mergeCell ref="A41:E41"/>
    <mergeCell ref="G40:L40"/>
    <mergeCell ref="A42:E42"/>
    <mergeCell ref="G41:L41"/>
    <mergeCell ref="A43:E43"/>
    <mergeCell ref="A38:E38"/>
    <mergeCell ref="G38:L38"/>
    <mergeCell ref="A39:E39"/>
    <mergeCell ref="G26:L26"/>
    <mergeCell ref="A40:E40"/>
    <mergeCell ref="G39:L39"/>
    <mergeCell ref="A35:E35"/>
    <mergeCell ref="G35:L35"/>
    <mergeCell ref="A36:E36"/>
    <mergeCell ref="G36:L36"/>
    <mergeCell ref="A37:E37"/>
    <mergeCell ref="G37:L37"/>
    <mergeCell ref="A32:E32"/>
    <mergeCell ref="G32:L32"/>
    <mergeCell ref="A33:E33"/>
    <mergeCell ref="G33:L33"/>
    <mergeCell ref="A34:E34"/>
    <mergeCell ref="G34:L34"/>
    <mergeCell ref="A29:E29"/>
    <mergeCell ref="G45:L45"/>
    <mergeCell ref="A46:E46"/>
    <mergeCell ref="G46:L46"/>
    <mergeCell ref="A44:E44"/>
    <mergeCell ref="G42:L42"/>
    <mergeCell ref="A45:E45"/>
    <mergeCell ref="G43:L43"/>
    <mergeCell ref="G44:L44"/>
    <mergeCell ref="A56:E56"/>
    <mergeCell ref="A57:E57"/>
    <mergeCell ref="A58:E58"/>
    <mergeCell ref="A50:M50"/>
    <mergeCell ref="A51:E51"/>
    <mergeCell ref="A52:E52"/>
    <mergeCell ref="A53:E53"/>
    <mergeCell ref="A54:E54"/>
    <mergeCell ref="A55:E55"/>
    <mergeCell ref="A82:E82"/>
    <mergeCell ref="A61:M61"/>
    <mergeCell ref="A63:L63"/>
    <mergeCell ref="A65:E65"/>
    <mergeCell ref="A66:E66"/>
    <mergeCell ref="A76:E76"/>
    <mergeCell ref="A77:E77"/>
    <mergeCell ref="A81:E81"/>
    <mergeCell ref="A79:E79"/>
    <mergeCell ref="A67:E67"/>
    <mergeCell ref="A68:E68"/>
    <mergeCell ref="A69:E69"/>
    <mergeCell ref="A70:E70"/>
    <mergeCell ref="A72:E72"/>
    <mergeCell ref="A74:M74"/>
    <mergeCell ref="A78:E78"/>
    <mergeCell ref="F102:I102"/>
    <mergeCell ref="A106:M106"/>
    <mergeCell ref="A108:E108"/>
    <mergeCell ref="A95:E95"/>
    <mergeCell ref="A85:M85"/>
    <mergeCell ref="A87:E87"/>
    <mergeCell ref="A94:E94"/>
    <mergeCell ref="A96:E96"/>
    <mergeCell ref="A98:N98"/>
    <mergeCell ref="A88:E88"/>
    <mergeCell ref="A89:E89"/>
    <mergeCell ref="A90:E90"/>
    <mergeCell ref="A92:E92"/>
    <mergeCell ref="A100:E100"/>
    <mergeCell ref="A91:E91"/>
    <mergeCell ref="A109:E109"/>
    <mergeCell ref="A110:E110"/>
    <mergeCell ref="A111:E111"/>
    <mergeCell ref="A112:E112"/>
    <mergeCell ref="A113:E113"/>
    <mergeCell ref="A114:E114"/>
    <mergeCell ref="A99:E99"/>
    <mergeCell ref="A101:E101"/>
    <mergeCell ref="A102:E102"/>
    <mergeCell ref="A122:E122"/>
    <mergeCell ref="A123:E123"/>
    <mergeCell ref="A124:E124"/>
    <mergeCell ref="A125:E125"/>
    <mergeCell ref="A126:E126"/>
    <mergeCell ref="A115:E115"/>
    <mergeCell ref="A116:E116"/>
    <mergeCell ref="A117:E117"/>
    <mergeCell ref="A118:E118"/>
    <mergeCell ref="A119:E119"/>
    <mergeCell ref="A120:E120"/>
    <mergeCell ref="L184:M184"/>
    <mergeCell ref="A158:E158"/>
    <mergeCell ref="A159:E159"/>
    <mergeCell ref="A160:E160"/>
    <mergeCell ref="A161:E161"/>
    <mergeCell ref="A180:M180"/>
    <mergeCell ref="A182:C182"/>
    <mergeCell ref="D182:K182"/>
    <mergeCell ref="L182:M183"/>
    <mergeCell ref="A164:L164"/>
    <mergeCell ref="A165:E165"/>
    <mergeCell ref="A167:H167"/>
    <mergeCell ref="A169:H169"/>
    <mergeCell ref="A166:E166"/>
    <mergeCell ref="A171:L171"/>
    <mergeCell ref="A172:E172"/>
    <mergeCell ref="A175:E175"/>
    <mergeCell ref="A176:H176"/>
    <mergeCell ref="A173:E173"/>
    <mergeCell ref="A174:E174"/>
    <mergeCell ref="A168:E168"/>
    <mergeCell ref="A71:E71"/>
    <mergeCell ref="A152:M152"/>
    <mergeCell ref="A157:E157"/>
    <mergeCell ref="A133:E133"/>
    <mergeCell ref="A134:E134"/>
    <mergeCell ref="A135:E135"/>
    <mergeCell ref="A136:E136"/>
    <mergeCell ref="A138:M138"/>
    <mergeCell ref="A140:E140"/>
    <mergeCell ref="A146:L146"/>
    <mergeCell ref="A148:E148"/>
    <mergeCell ref="A149:E149"/>
    <mergeCell ref="A150:E150"/>
    <mergeCell ref="A141:E141"/>
    <mergeCell ref="A142:E142"/>
    <mergeCell ref="A143:E143"/>
    <mergeCell ref="A144:L144"/>
    <mergeCell ref="A127:E127"/>
    <mergeCell ref="A128:E128"/>
    <mergeCell ref="A129:E129"/>
    <mergeCell ref="A130:E130"/>
    <mergeCell ref="A131:E131"/>
    <mergeCell ref="A132:E132"/>
    <mergeCell ref="A121:E121"/>
  </mergeCells>
  <pageMargins left="0.70866141732283472" right="0.70866141732283472" top="0.15" bottom="0.6" header="0.15" footer="0.15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230"/>
  <sheetViews>
    <sheetView tabSelected="1" view="pageBreakPreview" topLeftCell="A186" zoomScale="60" zoomScaleNormal="60" workbookViewId="0">
      <selection activeCell="N213" sqref="N213"/>
    </sheetView>
  </sheetViews>
  <sheetFormatPr defaultRowHeight="14.4"/>
  <cols>
    <col min="1" max="1" width="12.6640625" customWidth="1"/>
    <col min="2" max="2" width="10.44140625" customWidth="1"/>
    <col min="4" max="4" width="15.5546875" customWidth="1"/>
    <col min="5" max="5" width="24.6640625" customWidth="1"/>
    <col min="6" max="6" width="16.44140625" customWidth="1"/>
    <col min="7" max="7" width="13.88671875" customWidth="1"/>
    <col min="8" max="8" width="17.44140625" customWidth="1"/>
    <col min="9" max="9" width="18.88671875" customWidth="1"/>
    <col min="10" max="10" width="15.109375" customWidth="1"/>
    <col min="11" max="11" width="13.88671875" customWidth="1"/>
    <col min="12" max="12" width="16" customWidth="1"/>
    <col min="13" max="13" width="13.109375" customWidth="1"/>
    <col min="14" max="14" width="16.109375" customWidth="1"/>
  </cols>
  <sheetData>
    <row r="2" spans="1:14" ht="15.6">
      <c r="A2" s="310"/>
      <c r="B2" s="310"/>
      <c r="C2" s="310"/>
      <c r="D2" s="310"/>
      <c r="E2" s="310"/>
      <c r="F2" s="310"/>
      <c r="G2" s="310"/>
      <c r="H2" s="310"/>
    </row>
    <row r="3" spans="1:14" ht="15.6">
      <c r="A3" s="310"/>
      <c r="B3" s="310"/>
      <c r="C3" s="79"/>
      <c r="D3" s="79"/>
      <c r="E3" s="310"/>
      <c r="F3" s="310"/>
      <c r="G3" s="79"/>
      <c r="H3" s="79"/>
    </row>
    <row r="4" spans="1:14" ht="40.5" customHeight="1">
      <c r="A4" s="311"/>
      <c r="B4" s="311"/>
      <c r="C4" s="311"/>
      <c r="D4" s="113"/>
      <c r="E4" s="311"/>
      <c r="F4" s="311"/>
      <c r="G4" s="311"/>
      <c r="H4" s="81"/>
      <c r="I4" s="315" t="s">
        <v>176</v>
      </c>
      <c r="J4" s="316"/>
      <c r="K4" s="316"/>
      <c r="L4" s="316"/>
    </row>
    <row r="5" spans="1:14" ht="15.6">
      <c r="A5" s="4"/>
      <c r="B5" s="4"/>
      <c r="C5" s="4"/>
      <c r="D5" s="112"/>
      <c r="E5" s="4"/>
      <c r="F5" s="4"/>
      <c r="G5" s="4"/>
      <c r="H5" s="112"/>
    </row>
    <row r="6" spans="1:14" ht="15.6">
      <c r="A6" s="307"/>
      <c r="B6" s="307"/>
      <c r="C6" s="307"/>
      <c r="D6" s="112"/>
      <c r="E6" s="307"/>
      <c r="F6" s="307"/>
      <c r="G6" s="307"/>
      <c r="H6" s="112"/>
    </row>
    <row r="7" spans="1:14">
      <c r="A7" s="114"/>
      <c r="B7" s="114"/>
      <c r="C7" s="114"/>
      <c r="D7" s="114"/>
      <c r="E7" s="114"/>
      <c r="F7" s="114"/>
      <c r="G7" s="114"/>
      <c r="H7" s="114"/>
    </row>
    <row r="8" spans="1:14" ht="15.6">
      <c r="A8" s="308" t="s">
        <v>103</v>
      </c>
      <c r="B8" s="309"/>
      <c r="C8" s="309"/>
      <c r="D8" s="309"/>
      <c r="E8" s="309"/>
      <c r="F8" s="309"/>
      <c r="G8" s="309"/>
      <c r="H8" s="114"/>
    </row>
    <row r="9" spans="1:14" ht="15.6">
      <c r="A9" s="308" t="s">
        <v>185</v>
      </c>
      <c r="B9" s="309"/>
      <c r="C9" s="309"/>
      <c r="D9" s="309"/>
      <c r="E9" s="309"/>
      <c r="F9" s="309"/>
      <c r="G9" s="309"/>
      <c r="H9" s="312"/>
    </row>
    <row r="1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6">
      <c r="A12" s="8" t="s">
        <v>104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>
      <c r="A13" s="313" t="s">
        <v>147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7"/>
    </row>
    <row r="14" spans="1:14" ht="15.6">
      <c r="A14" s="8" t="s">
        <v>97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5" customHeight="1">
      <c r="A15" s="313" t="s">
        <v>163</v>
      </c>
      <c r="B15" s="320"/>
      <c r="C15" s="320"/>
      <c r="D15" s="320"/>
      <c r="E15" s="320"/>
      <c r="F15" s="320"/>
      <c r="G15" s="320"/>
      <c r="H15" s="320"/>
      <c r="I15" s="320"/>
      <c r="J15" s="320"/>
      <c r="K15" s="320"/>
      <c r="L15" s="320"/>
      <c r="M15" s="320"/>
      <c r="N15" s="7"/>
    </row>
    <row r="16" spans="1:14" ht="15.6">
      <c r="A16" s="8" t="s">
        <v>177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>
      <c r="A17" s="237" t="s">
        <v>110</v>
      </c>
      <c r="B17" s="237"/>
      <c r="C17" s="237"/>
      <c r="D17" s="237"/>
      <c r="E17" s="237"/>
      <c r="F17" s="9" t="s">
        <v>109</v>
      </c>
      <c r="G17" s="237" t="s">
        <v>111</v>
      </c>
      <c r="H17" s="237"/>
      <c r="I17" s="237"/>
      <c r="J17" s="237"/>
      <c r="K17" s="237"/>
      <c r="L17" s="237"/>
      <c r="M17" s="9" t="s">
        <v>109</v>
      </c>
      <c r="N17" s="11"/>
    </row>
    <row r="18" spans="1:14">
      <c r="A18" s="303" t="s">
        <v>123</v>
      </c>
      <c r="B18" s="303"/>
      <c r="C18" s="303"/>
      <c r="D18" s="303"/>
      <c r="E18" s="303"/>
      <c r="F18" s="169">
        <f>1*5.6%-0.01</f>
        <v>4.5999999999999992E-2</v>
      </c>
      <c r="G18" s="244" t="s">
        <v>1</v>
      </c>
      <c r="H18" s="244"/>
      <c r="I18" s="244"/>
      <c r="J18" s="244"/>
      <c r="K18" s="244"/>
      <c r="L18" s="244"/>
      <c r="M18" s="190">
        <f>1*5.6%-0.01</f>
        <v>4.5999999999999992E-2</v>
      </c>
      <c r="N18" s="11"/>
    </row>
    <row r="19" spans="1:14">
      <c r="A19" s="303" t="s">
        <v>124</v>
      </c>
      <c r="B19" s="303"/>
      <c r="C19" s="303"/>
      <c r="D19" s="303"/>
      <c r="E19" s="303"/>
      <c r="F19" s="169">
        <f>9.75*5.6%</f>
        <v>0.54599999999999993</v>
      </c>
      <c r="G19" s="256" t="s">
        <v>178</v>
      </c>
      <c r="H19" s="257"/>
      <c r="I19" s="257"/>
      <c r="J19" s="257"/>
      <c r="K19" s="257"/>
      <c r="L19" s="258"/>
      <c r="M19" s="190">
        <f>1*5.6%</f>
        <v>5.5999999999999994E-2</v>
      </c>
      <c r="N19" s="11"/>
    </row>
    <row r="20" spans="1:14">
      <c r="A20" s="303" t="s">
        <v>125</v>
      </c>
      <c r="B20" s="303"/>
      <c r="C20" s="303"/>
      <c r="D20" s="303"/>
      <c r="E20" s="303"/>
      <c r="F20" s="169">
        <f>1*5.6%</f>
        <v>5.5999999999999994E-2</v>
      </c>
      <c r="G20" s="259" t="s">
        <v>129</v>
      </c>
      <c r="H20" s="259"/>
      <c r="I20" s="259"/>
      <c r="J20" s="259"/>
      <c r="K20" s="259"/>
      <c r="L20" s="259"/>
      <c r="M20" s="190">
        <f>0.5*5.6%</f>
        <v>2.7999999999999997E-2</v>
      </c>
      <c r="N20" s="11"/>
    </row>
    <row r="21" spans="1:14">
      <c r="A21" s="303" t="s">
        <v>126</v>
      </c>
      <c r="B21" s="303"/>
      <c r="C21" s="303"/>
      <c r="D21" s="303"/>
      <c r="E21" s="303"/>
      <c r="F21" s="169">
        <f>0.25*5.6%</f>
        <v>1.3999999999999999E-2</v>
      </c>
      <c r="G21" s="244" t="s">
        <v>131</v>
      </c>
      <c r="H21" s="244"/>
      <c r="I21" s="244"/>
      <c r="J21" s="244"/>
      <c r="K21" s="244"/>
      <c r="L21" s="244"/>
      <c r="M21" s="190">
        <f>1*5.6%</f>
        <v>5.5999999999999994E-2</v>
      </c>
      <c r="N21" s="11"/>
    </row>
    <row r="22" spans="1:14">
      <c r="A22" s="303" t="s">
        <v>128</v>
      </c>
      <c r="B22" s="303"/>
      <c r="C22" s="303"/>
      <c r="D22" s="303"/>
      <c r="E22" s="303"/>
      <c r="F22" s="169">
        <f>1*5.6%</f>
        <v>5.5999999999999994E-2</v>
      </c>
      <c r="G22" s="244" t="s">
        <v>130</v>
      </c>
      <c r="H22" s="244"/>
      <c r="I22" s="244"/>
      <c r="J22" s="244"/>
      <c r="K22" s="244"/>
      <c r="L22" s="244"/>
      <c r="M22" s="190">
        <f>2*5.6%</f>
        <v>0.11199999999999999</v>
      </c>
      <c r="N22" s="11"/>
    </row>
    <row r="23" spans="1:14">
      <c r="A23" s="304"/>
      <c r="B23" s="305"/>
      <c r="C23" s="305"/>
      <c r="D23" s="305"/>
      <c r="E23" s="306"/>
      <c r="F23" s="165"/>
      <c r="G23" s="256" t="s">
        <v>127</v>
      </c>
      <c r="H23" s="257"/>
      <c r="I23" s="257"/>
      <c r="J23" s="257"/>
      <c r="K23" s="257"/>
      <c r="L23" s="258"/>
      <c r="M23" s="190">
        <f>1*5.6%</f>
        <v>5.5999999999999994E-2</v>
      </c>
      <c r="N23" s="11"/>
    </row>
    <row r="24" spans="1:14">
      <c r="A24" s="303"/>
      <c r="B24" s="303"/>
      <c r="C24" s="303"/>
      <c r="D24" s="303"/>
      <c r="E24" s="303"/>
      <c r="F24" s="166"/>
      <c r="G24" s="244" t="s">
        <v>132</v>
      </c>
      <c r="H24" s="244"/>
      <c r="I24" s="244"/>
      <c r="J24" s="244"/>
      <c r="K24" s="244"/>
      <c r="L24" s="244"/>
      <c r="M24" s="190">
        <f>1.25*5.6%</f>
        <v>6.9999999999999993E-2</v>
      </c>
      <c r="N24" s="11"/>
    </row>
    <row r="25" spans="1:14" ht="15.75" customHeight="1">
      <c r="A25" s="303"/>
      <c r="B25" s="303"/>
      <c r="C25" s="303"/>
      <c r="D25" s="303"/>
      <c r="E25" s="303"/>
      <c r="F25" s="166"/>
      <c r="G25" s="217" t="s">
        <v>133</v>
      </c>
      <c r="H25" s="218"/>
      <c r="I25" s="218"/>
      <c r="J25" s="218"/>
      <c r="K25" s="218"/>
      <c r="L25" s="219"/>
      <c r="M25" s="190">
        <f>0.75*5.6%</f>
        <v>4.1999999999999996E-2</v>
      </c>
      <c r="N25" s="11"/>
    </row>
    <row r="26" spans="1:14" ht="15.75" hidden="1" customHeight="1">
      <c r="A26" s="300"/>
      <c r="B26" s="301"/>
      <c r="C26" s="301"/>
      <c r="D26" s="301"/>
      <c r="E26" s="302"/>
      <c r="F26" s="166"/>
      <c r="G26" s="217"/>
      <c r="H26" s="218"/>
      <c r="I26" s="218"/>
      <c r="J26" s="218"/>
      <c r="K26" s="218"/>
      <c r="L26" s="219"/>
      <c r="M26" s="166"/>
      <c r="N26" s="11"/>
    </row>
    <row r="27" spans="1:14" ht="15.75" customHeight="1">
      <c r="A27" s="300"/>
      <c r="B27" s="301"/>
      <c r="C27" s="301"/>
      <c r="D27" s="301"/>
      <c r="E27" s="302"/>
      <c r="F27" s="166"/>
      <c r="G27" s="217"/>
      <c r="H27" s="218"/>
      <c r="I27" s="218"/>
      <c r="J27" s="218"/>
      <c r="K27" s="218"/>
      <c r="L27" s="219"/>
      <c r="M27" s="166"/>
      <c r="N27" s="11"/>
    </row>
    <row r="28" spans="1:14" ht="15.75" hidden="1" customHeight="1">
      <c r="A28" s="300"/>
      <c r="B28" s="301"/>
      <c r="C28" s="301"/>
      <c r="D28" s="301"/>
      <c r="E28" s="302"/>
      <c r="F28" s="93"/>
      <c r="G28" s="217"/>
      <c r="H28" s="218"/>
      <c r="I28" s="218"/>
      <c r="J28" s="218"/>
      <c r="K28" s="218"/>
      <c r="L28" s="219"/>
      <c r="M28" s="93"/>
      <c r="N28" s="11"/>
    </row>
    <row r="29" spans="1:14" ht="15.75" customHeight="1">
      <c r="A29" s="300"/>
      <c r="B29" s="301"/>
      <c r="C29" s="301"/>
      <c r="D29" s="301"/>
      <c r="E29" s="302"/>
      <c r="F29" s="93"/>
      <c r="G29" s="1"/>
      <c r="H29" s="1"/>
      <c r="I29" s="1"/>
      <c r="J29" s="1"/>
      <c r="K29" s="1"/>
      <c r="L29" s="1"/>
      <c r="M29" s="93"/>
      <c r="N29" s="11"/>
    </row>
    <row r="30" spans="1:14" ht="15.75" customHeight="1">
      <c r="A30" s="300"/>
      <c r="B30" s="301"/>
      <c r="C30" s="301"/>
      <c r="D30" s="301"/>
      <c r="E30" s="302"/>
      <c r="F30" s="93"/>
      <c r="G30" s="217"/>
      <c r="H30" s="218"/>
      <c r="I30" s="218"/>
      <c r="J30" s="218"/>
      <c r="K30" s="218"/>
      <c r="L30" s="219"/>
      <c r="M30" s="93"/>
      <c r="N30" s="11"/>
    </row>
    <row r="31" spans="1:14" ht="15.75" hidden="1" customHeight="1">
      <c r="A31" s="300"/>
      <c r="B31" s="301"/>
      <c r="C31" s="301"/>
      <c r="D31" s="301"/>
      <c r="E31" s="302"/>
      <c r="F31" s="93"/>
      <c r="G31" s="217"/>
      <c r="H31" s="218"/>
      <c r="I31" s="218"/>
      <c r="J31" s="218"/>
      <c r="K31" s="218"/>
      <c r="L31" s="219"/>
      <c r="M31" s="93"/>
      <c r="N31" s="11"/>
    </row>
    <row r="32" spans="1:14" ht="15.75" hidden="1" customHeight="1">
      <c r="A32" s="300"/>
      <c r="B32" s="301"/>
      <c r="C32" s="301"/>
      <c r="D32" s="301"/>
      <c r="E32" s="302"/>
      <c r="F32" s="93"/>
      <c r="G32" s="217"/>
      <c r="H32" s="218"/>
      <c r="I32" s="218"/>
      <c r="J32" s="218"/>
      <c r="K32" s="218"/>
      <c r="L32" s="219"/>
      <c r="M32" s="93"/>
      <c r="N32" s="11"/>
    </row>
    <row r="33" spans="1:15" ht="15.75" hidden="1" customHeight="1">
      <c r="A33" s="300"/>
      <c r="B33" s="301"/>
      <c r="C33" s="301"/>
      <c r="D33" s="301"/>
      <c r="E33" s="302"/>
      <c r="F33" s="93"/>
      <c r="G33" s="217"/>
      <c r="H33" s="218"/>
      <c r="I33" s="218"/>
      <c r="J33" s="218"/>
      <c r="K33" s="218"/>
      <c r="L33" s="219"/>
      <c r="M33" s="93"/>
      <c r="N33" s="11"/>
    </row>
    <row r="34" spans="1:15" ht="15.75" hidden="1" customHeight="1">
      <c r="A34" s="300"/>
      <c r="B34" s="301"/>
      <c r="C34" s="301"/>
      <c r="D34" s="301"/>
      <c r="E34" s="302"/>
      <c r="F34" s="93"/>
      <c r="G34" s="217"/>
      <c r="H34" s="218"/>
      <c r="I34" s="218"/>
      <c r="J34" s="218"/>
      <c r="K34" s="218"/>
      <c r="L34" s="219"/>
      <c r="M34" s="93"/>
      <c r="N34" s="11"/>
    </row>
    <row r="35" spans="1:15" ht="15.75" hidden="1" customHeight="1">
      <c r="A35" s="300"/>
      <c r="B35" s="301"/>
      <c r="C35" s="301"/>
      <c r="D35" s="301"/>
      <c r="E35" s="302"/>
      <c r="F35" s="93"/>
      <c r="G35" s="217"/>
      <c r="H35" s="218"/>
      <c r="I35" s="218"/>
      <c r="J35" s="218"/>
      <c r="K35" s="218"/>
      <c r="L35" s="219"/>
      <c r="M35" s="93"/>
      <c r="N35" s="11"/>
    </row>
    <row r="36" spans="1:15" ht="15.75" hidden="1" customHeight="1">
      <c r="A36" s="300"/>
      <c r="B36" s="301"/>
      <c r="C36" s="301"/>
      <c r="D36" s="301"/>
      <c r="E36" s="302"/>
      <c r="F36" s="93"/>
      <c r="G36" s="217"/>
      <c r="H36" s="218"/>
      <c r="I36" s="218"/>
      <c r="J36" s="218"/>
      <c r="K36" s="218"/>
      <c r="L36" s="219"/>
      <c r="M36" s="93"/>
      <c r="N36" s="11"/>
    </row>
    <row r="37" spans="1:15">
      <c r="A37" s="263"/>
      <c r="B37" s="263"/>
      <c r="C37" s="263"/>
      <c r="D37" s="263"/>
      <c r="E37" s="263"/>
      <c r="F37" s="93"/>
      <c r="G37" s="244"/>
      <c r="H37" s="244"/>
      <c r="I37" s="244"/>
      <c r="J37" s="244"/>
      <c r="K37" s="244"/>
      <c r="L37" s="244"/>
      <c r="M37" s="93"/>
      <c r="N37" s="11"/>
    </row>
    <row r="38" spans="1:15">
      <c r="A38" s="263"/>
      <c r="B38" s="263"/>
      <c r="C38" s="263"/>
      <c r="D38" s="263"/>
      <c r="E38" s="263"/>
      <c r="F38" s="93"/>
      <c r="G38" s="244"/>
      <c r="H38" s="244"/>
      <c r="I38" s="244"/>
      <c r="J38" s="244"/>
      <c r="K38" s="244"/>
      <c r="L38" s="244"/>
      <c r="M38" s="93"/>
      <c r="N38" s="11"/>
    </row>
    <row r="39" spans="1:15">
      <c r="A39" s="295"/>
      <c r="B39" s="295"/>
      <c r="C39" s="295"/>
      <c r="D39" s="295"/>
      <c r="E39" s="295"/>
      <c r="F39" s="157"/>
      <c r="G39" s="244"/>
      <c r="H39" s="244"/>
      <c r="I39" s="244"/>
      <c r="J39" s="244"/>
      <c r="K39" s="244"/>
      <c r="L39" s="244"/>
      <c r="M39" s="93"/>
      <c r="N39" s="11"/>
    </row>
    <row r="40" spans="1:15">
      <c r="A40" s="295"/>
      <c r="B40" s="295"/>
      <c r="C40" s="295"/>
      <c r="D40" s="295"/>
      <c r="E40" s="295"/>
      <c r="F40" s="157"/>
      <c r="G40" s="244"/>
      <c r="H40" s="244"/>
      <c r="I40" s="244"/>
      <c r="J40" s="244"/>
      <c r="K40" s="244"/>
      <c r="L40" s="244"/>
      <c r="M40" s="93"/>
      <c r="N40" s="11"/>
    </row>
    <row r="41" spans="1:15">
      <c r="A41" s="295"/>
      <c r="B41" s="295"/>
      <c r="C41" s="295"/>
      <c r="D41" s="295"/>
      <c r="E41" s="295"/>
      <c r="F41" s="157"/>
      <c r="G41" s="244"/>
      <c r="H41" s="244"/>
      <c r="I41" s="244"/>
      <c r="J41" s="244"/>
      <c r="K41" s="244"/>
      <c r="L41" s="244"/>
      <c r="M41" s="93"/>
      <c r="N41" s="11"/>
    </row>
    <row r="42" spans="1:15">
      <c r="A42" s="295"/>
      <c r="B42" s="295"/>
      <c r="C42" s="295"/>
      <c r="D42" s="295"/>
      <c r="E42" s="295"/>
      <c r="F42" s="157"/>
      <c r="G42" s="217"/>
      <c r="H42" s="218"/>
      <c r="I42" s="218"/>
      <c r="J42" s="218"/>
      <c r="K42" s="218"/>
      <c r="L42" s="219"/>
      <c r="M42" s="93"/>
      <c r="N42" s="11"/>
    </row>
    <row r="43" spans="1:15" ht="15" customHeight="1">
      <c r="A43" s="295"/>
      <c r="B43" s="295"/>
      <c r="C43" s="295"/>
      <c r="D43" s="295"/>
      <c r="E43" s="295"/>
      <c r="F43" s="157"/>
      <c r="G43" s="217"/>
      <c r="H43" s="218"/>
      <c r="I43" s="218"/>
      <c r="J43" s="218"/>
      <c r="K43" s="218"/>
      <c r="L43" s="219"/>
      <c r="M43" s="93"/>
      <c r="N43" s="11"/>
    </row>
    <row r="44" spans="1:15" ht="15.75" customHeight="1">
      <c r="A44" s="296"/>
      <c r="B44" s="297"/>
      <c r="C44" s="297"/>
      <c r="D44" s="297"/>
      <c r="E44" s="298"/>
      <c r="F44" s="157"/>
      <c r="G44" s="217"/>
      <c r="H44" s="218"/>
      <c r="I44" s="218"/>
      <c r="J44" s="218"/>
      <c r="K44" s="218"/>
      <c r="L44" s="219"/>
      <c r="M44" s="93"/>
      <c r="N44" s="174">
        <f>F45+M45</f>
        <v>1.21</v>
      </c>
      <c r="O44" s="175">
        <f>N44/5.6%</f>
        <v>21.607142857142858</v>
      </c>
    </row>
    <row r="45" spans="1:15">
      <c r="A45" s="293" t="s">
        <v>2</v>
      </c>
      <c r="B45" s="293"/>
      <c r="C45" s="293"/>
      <c r="D45" s="293"/>
      <c r="E45" s="293"/>
      <c r="F45" s="193">
        <v>0.73</v>
      </c>
      <c r="G45" s="294" t="s">
        <v>2</v>
      </c>
      <c r="H45" s="294"/>
      <c r="I45" s="294"/>
      <c r="J45" s="294"/>
      <c r="K45" s="294"/>
      <c r="L45" s="294"/>
      <c r="M45" s="193">
        <v>0.48</v>
      </c>
      <c r="N45" s="65">
        <f>M45+F45</f>
        <v>1.21</v>
      </c>
    </row>
    <row r="46" spans="1:15">
      <c r="A46" s="14" t="s">
        <v>164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5" ht="12.75" customHeight="1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5" ht="15" customHeight="1">
      <c r="A48" s="274" t="s">
        <v>121</v>
      </c>
      <c r="B48" s="275"/>
      <c r="C48" s="275"/>
      <c r="D48" s="275"/>
      <c r="E48" s="275"/>
      <c r="F48" s="275"/>
      <c r="G48" s="275"/>
      <c r="H48" s="275"/>
      <c r="I48" s="275"/>
      <c r="J48" s="275"/>
      <c r="K48" s="275"/>
      <c r="L48" s="275"/>
      <c r="M48" s="275"/>
      <c r="N48" s="11"/>
    </row>
    <row r="49" spans="1:14" ht="55.8">
      <c r="A49" s="222" t="s">
        <v>3</v>
      </c>
      <c r="B49" s="222"/>
      <c r="C49" s="222"/>
      <c r="D49" s="222"/>
      <c r="E49" s="222"/>
      <c r="F49" s="9" t="s">
        <v>4</v>
      </c>
      <c r="G49" s="9" t="s">
        <v>0</v>
      </c>
      <c r="H49" s="9" t="s">
        <v>74</v>
      </c>
      <c r="I49" s="9" t="s">
        <v>76</v>
      </c>
      <c r="J49" s="9" t="s">
        <v>105</v>
      </c>
      <c r="K49" s="9" t="s">
        <v>135</v>
      </c>
      <c r="L49" s="9" t="s">
        <v>80</v>
      </c>
      <c r="M49" s="11"/>
      <c r="N49" s="11"/>
    </row>
    <row r="50" spans="1:14" hidden="1">
      <c r="A50" s="246"/>
      <c r="B50" s="246"/>
      <c r="C50" s="246"/>
      <c r="D50" s="246"/>
      <c r="E50" s="246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>
      <c r="A51" s="246"/>
      <c r="B51" s="246"/>
      <c r="C51" s="246"/>
      <c r="D51" s="246"/>
      <c r="E51" s="246"/>
      <c r="F51" s="10"/>
      <c r="G51" s="10"/>
      <c r="H51" s="10"/>
      <c r="I51" s="10"/>
      <c r="J51" s="15"/>
      <c r="K51" s="15"/>
      <c r="L51" s="15"/>
      <c r="M51" s="11"/>
      <c r="N51" s="11"/>
    </row>
    <row r="52" spans="1:14">
      <c r="A52" s="276">
        <v>1</v>
      </c>
      <c r="B52" s="277"/>
      <c r="C52" s="277"/>
      <c r="D52" s="277"/>
      <c r="E52" s="278"/>
      <c r="F52" s="10">
        <v>2</v>
      </c>
      <c r="G52" s="10">
        <v>3</v>
      </c>
      <c r="H52" s="10" t="s">
        <v>75</v>
      </c>
      <c r="I52" s="10" t="s">
        <v>77</v>
      </c>
      <c r="J52" s="16">
        <v>6</v>
      </c>
      <c r="K52" s="16" t="s">
        <v>79</v>
      </c>
      <c r="L52" s="16">
        <v>8</v>
      </c>
      <c r="M52" s="11"/>
      <c r="N52" s="11"/>
    </row>
    <row r="53" spans="1:14" ht="15" thickBot="1">
      <c r="A53" s="255" t="s">
        <v>110</v>
      </c>
      <c r="B53" s="255"/>
      <c r="C53" s="255"/>
      <c r="D53" s="255"/>
      <c r="E53" s="255"/>
      <c r="F53" s="56">
        <f>H53/12/G53</f>
        <v>26452.675799086759</v>
      </c>
      <c r="G53" s="56">
        <v>0.73</v>
      </c>
      <c r="H53" s="56">
        <v>231725.44</v>
      </c>
      <c r="I53" s="164">
        <v>301706.90999999997</v>
      </c>
      <c r="J53" s="86">
        <v>57</v>
      </c>
      <c r="K53" s="56">
        <f>I53/J53</f>
        <v>5293.1036842105259</v>
      </c>
      <c r="L53" s="63">
        <v>5.6</v>
      </c>
      <c r="M53" s="11"/>
      <c r="N53" s="11"/>
    </row>
    <row r="54" spans="1:14" ht="15" hidden="1" thickBot="1">
      <c r="A54" s="246"/>
      <c r="B54" s="246"/>
      <c r="C54" s="246"/>
      <c r="D54" s="246"/>
      <c r="E54" s="246"/>
      <c r="F54" s="20"/>
      <c r="G54" s="20"/>
      <c r="H54" s="20"/>
      <c r="I54" s="41"/>
      <c r="J54" s="19"/>
      <c r="K54" s="41"/>
      <c r="L54" s="20"/>
      <c r="M54" s="11"/>
      <c r="N54" s="11"/>
    </row>
    <row r="55" spans="1:14" ht="15" thickBot="1">
      <c r="A55" s="220" t="s">
        <v>81</v>
      </c>
      <c r="B55" s="220"/>
      <c r="C55" s="220"/>
      <c r="D55" s="220"/>
      <c r="E55" s="220"/>
      <c r="F55" s="71"/>
      <c r="G55" s="71"/>
      <c r="H55" s="103"/>
      <c r="I55" s="145">
        <f>I53</f>
        <v>301706.90999999997</v>
      </c>
      <c r="J55" s="104"/>
      <c r="K55" s="209">
        <f>K53</f>
        <v>5293.1036842105259</v>
      </c>
      <c r="L55" s="105"/>
      <c r="M55" s="11"/>
      <c r="N55" s="11"/>
    </row>
    <row r="56" spans="1:14">
      <c r="A56" s="21"/>
      <c r="B56" s="21"/>
      <c r="C56" s="21"/>
      <c r="D56" s="21"/>
      <c r="E56" s="21"/>
      <c r="F56" s="22"/>
      <c r="G56" s="22"/>
      <c r="H56" s="22"/>
      <c r="I56" s="22"/>
      <c r="J56" s="23"/>
      <c r="K56" s="24"/>
      <c r="L56" s="24"/>
      <c r="M56" s="11"/>
      <c r="N56" s="11"/>
    </row>
    <row r="57" spans="1:14" ht="16.5" customHeight="1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98.25" hidden="1" customHeight="1">
      <c r="A58" s="21"/>
      <c r="B58" s="21"/>
      <c r="C58" s="21"/>
      <c r="D58" s="21"/>
      <c r="E58" s="21"/>
      <c r="F58" s="25"/>
      <c r="G58" s="25"/>
      <c r="H58" s="25"/>
      <c r="I58" s="25"/>
      <c r="J58" s="25"/>
      <c r="K58" s="26"/>
      <c r="L58" s="25"/>
      <c r="M58" s="26"/>
      <c r="N58" s="11"/>
    </row>
    <row r="59" spans="1:14" hidden="1">
      <c r="A59" s="238" t="s">
        <v>15</v>
      </c>
      <c r="B59" s="238"/>
      <c r="C59" s="238"/>
      <c r="D59" s="238"/>
      <c r="E59" s="238"/>
      <c r="F59" s="238"/>
      <c r="G59" s="238"/>
      <c r="H59" s="238"/>
      <c r="I59" s="238"/>
      <c r="J59" s="238"/>
      <c r="K59" s="238"/>
      <c r="L59" s="238"/>
      <c r="M59" s="238"/>
      <c r="N59" s="11"/>
    </row>
    <row r="60" spans="1:14" hidden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11"/>
    </row>
    <row r="61" spans="1:14" ht="80.25" hidden="1" customHeight="1">
      <c r="A61" s="335" t="s">
        <v>6</v>
      </c>
      <c r="B61" s="335"/>
      <c r="C61" s="335"/>
      <c r="D61" s="335"/>
      <c r="E61" s="335"/>
      <c r="F61" s="28" t="s">
        <v>7</v>
      </c>
      <c r="G61" s="28" t="s">
        <v>8</v>
      </c>
      <c r="H61" s="28" t="s">
        <v>9</v>
      </c>
      <c r="I61" s="28" t="s">
        <v>10</v>
      </c>
      <c r="J61" s="28"/>
      <c r="K61" s="28" t="s">
        <v>11</v>
      </c>
      <c r="L61" s="28" t="s">
        <v>12</v>
      </c>
      <c r="M61" s="28" t="s">
        <v>5</v>
      </c>
      <c r="N61" s="11"/>
    </row>
    <row r="62" spans="1:14" ht="15" hidden="1" customHeight="1">
      <c r="A62" s="336">
        <v>1</v>
      </c>
      <c r="B62" s="337"/>
      <c r="C62" s="337"/>
      <c r="D62" s="337"/>
      <c r="E62" s="338"/>
      <c r="F62" s="28">
        <v>2</v>
      </c>
      <c r="G62" s="28">
        <v>3</v>
      </c>
      <c r="H62" s="28">
        <v>4</v>
      </c>
      <c r="I62" s="28" t="s">
        <v>59</v>
      </c>
      <c r="J62" s="28"/>
      <c r="K62" s="28">
        <v>6</v>
      </c>
      <c r="L62" s="28">
        <v>7</v>
      </c>
      <c r="M62" s="28" t="s">
        <v>60</v>
      </c>
      <c r="N62" s="11"/>
    </row>
    <row r="63" spans="1:14" ht="15" hidden="1" customHeight="1">
      <c r="A63" s="334" t="s">
        <v>62</v>
      </c>
      <c r="B63" s="334"/>
      <c r="C63" s="334"/>
      <c r="D63" s="334"/>
      <c r="E63" s="334"/>
      <c r="F63" s="29" t="s">
        <v>13</v>
      </c>
      <c r="G63" s="28">
        <v>7</v>
      </c>
      <c r="H63" s="29">
        <v>10</v>
      </c>
      <c r="I63" s="30">
        <f>G63/H63</f>
        <v>0.7</v>
      </c>
      <c r="J63" s="30"/>
      <c r="K63" s="28">
        <v>20</v>
      </c>
      <c r="L63" s="31">
        <v>7100</v>
      </c>
      <c r="M63" s="31">
        <f>I63*L63</f>
        <v>4970</v>
      </c>
      <c r="N63" s="11"/>
    </row>
    <row r="64" spans="1:14" ht="15" hidden="1" customHeight="1">
      <c r="A64" s="334" t="s">
        <v>63</v>
      </c>
      <c r="B64" s="334"/>
      <c r="C64" s="334"/>
      <c r="D64" s="334"/>
      <c r="E64" s="334"/>
      <c r="F64" s="29" t="s">
        <v>13</v>
      </c>
      <c r="G64" s="28">
        <v>1</v>
      </c>
      <c r="H64" s="29">
        <v>10</v>
      </c>
      <c r="I64" s="30">
        <f t="shared" ref="I64:I80" si="0">G64/H64</f>
        <v>0.1</v>
      </c>
      <c r="J64" s="30"/>
      <c r="K64" s="28">
        <v>20</v>
      </c>
      <c r="L64" s="31">
        <v>538700</v>
      </c>
      <c r="M64" s="31">
        <f t="shared" ref="M64:M81" si="1">I64*L64</f>
        <v>53870</v>
      </c>
      <c r="N64" s="11"/>
    </row>
    <row r="65" spans="1:14" ht="15" hidden="1" customHeight="1">
      <c r="A65" s="334" t="s">
        <v>64</v>
      </c>
      <c r="B65" s="334"/>
      <c r="C65" s="334"/>
      <c r="D65" s="334"/>
      <c r="E65" s="334"/>
      <c r="F65" s="29" t="s">
        <v>13</v>
      </c>
      <c r="G65" s="28">
        <v>1</v>
      </c>
      <c r="H65" s="29">
        <v>10</v>
      </c>
      <c r="I65" s="30">
        <f t="shared" si="0"/>
        <v>0.1</v>
      </c>
      <c r="J65" s="30"/>
      <c r="K65" s="28">
        <v>20</v>
      </c>
      <c r="L65" s="31">
        <v>380000</v>
      </c>
      <c r="M65" s="31">
        <f t="shared" si="1"/>
        <v>38000</v>
      </c>
      <c r="N65" s="11"/>
    </row>
    <row r="66" spans="1:14" ht="12.75" hidden="1" customHeight="1">
      <c r="A66" s="334"/>
      <c r="B66" s="334"/>
      <c r="C66" s="334"/>
      <c r="D66" s="334"/>
      <c r="E66" s="334"/>
      <c r="F66" s="29" t="s">
        <v>13</v>
      </c>
      <c r="G66" s="28"/>
      <c r="H66" s="29">
        <v>10</v>
      </c>
      <c r="I66" s="30">
        <f t="shared" si="0"/>
        <v>0</v>
      </c>
      <c r="J66" s="30"/>
      <c r="K66" s="28"/>
      <c r="L66" s="31"/>
      <c r="M66" s="31">
        <f t="shared" si="1"/>
        <v>0</v>
      </c>
      <c r="N66" s="11"/>
    </row>
    <row r="67" spans="1:14" ht="15" hidden="1" customHeight="1">
      <c r="A67" s="334"/>
      <c r="B67" s="334"/>
      <c r="C67" s="334"/>
      <c r="D67" s="334"/>
      <c r="E67" s="334"/>
      <c r="F67" s="29" t="s">
        <v>13</v>
      </c>
      <c r="G67" s="28"/>
      <c r="H67" s="29">
        <v>10</v>
      </c>
      <c r="I67" s="30">
        <f t="shared" si="0"/>
        <v>0</v>
      </c>
      <c r="J67" s="30"/>
      <c r="K67" s="28"/>
      <c r="L67" s="31"/>
      <c r="M67" s="31">
        <f t="shared" si="1"/>
        <v>0</v>
      </c>
      <c r="N67" s="11"/>
    </row>
    <row r="68" spans="1:14" ht="15" hidden="1" customHeight="1">
      <c r="A68" s="331"/>
      <c r="B68" s="332"/>
      <c r="C68" s="332"/>
      <c r="D68" s="332"/>
      <c r="E68" s="333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>
      <c r="A69" s="331"/>
      <c r="B69" s="332"/>
      <c r="C69" s="332"/>
      <c r="D69" s="332"/>
      <c r="E69" s="333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>
      <c r="A70" s="331"/>
      <c r="B70" s="332"/>
      <c r="C70" s="332"/>
      <c r="D70" s="332"/>
      <c r="E70" s="333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>
      <c r="A71" s="331"/>
      <c r="B71" s="332"/>
      <c r="C71" s="332"/>
      <c r="D71" s="332"/>
      <c r="E71" s="333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>
      <c r="A72" s="331"/>
      <c r="B72" s="332"/>
      <c r="C72" s="332"/>
      <c r="D72" s="332"/>
      <c r="E72" s="333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idden="1">
      <c r="A73" s="324"/>
      <c r="B73" s="325"/>
      <c r="C73" s="325"/>
      <c r="D73" s="325"/>
      <c r="E73" s="326"/>
      <c r="F73" s="29" t="s">
        <v>13</v>
      </c>
      <c r="G73" s="29"/>
      <c r="H73" s="29">
        <v>10</v>
      </c>
      <c r="I73" s="30">
        <f t="shared" si="0"/>
        <v>0</v>
      </c>
      <c r="J73" s="30"/>
      <c r="K73" s="29"/>
      <c r="L73" s="32"/>
      <c r="M73" s="31">
        <f t="shared" si="1"/>
        <v>0</v>
      </c>
      <c r="N73" s="11"/>
    </row>
    <row r="74" spans="1:14" hidden="1">
      <c r="A74" s="324"/>
      <c r="B74" s="325"/>
      <c r="C74" s="325"/>
      <c r="D74" s="325"/>
      <c r="E74" s="326"/>
      <c r="F74" s="29" t="s">
        <v>13</v>
      </c>
      <c r="G74" s="29"/>
      <c r="H74" s="29">
        <v>10</v>
      </c>
      <c r="I74" s="30">
        <f t="shared" si="0"/>
        <v>0</v>
      </c>
      <c r="J74" s="30"/>
      <c r="K74" s="29"/>
      <c r="L74" s="32"/>
      <c r="M74" s="31">
        <f t="shared" si="1"/>
        <v>0</v>
      </c>
      <c r="N74" s="11"/>
    </row>
    <row r="75" spans="1:14" hidden="1">
      <c r="A75" s="324"/>
      <c r="B75" s="325"/>
      <c r="C75" s="325"/>
      <c r="D75" s="325"/>
      <c r="E75" s="326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>
      <c r="A76" s="324"/>
      <c r="B76" s="325"/>
      <c r="C76" s="325"/>
      <c r="D76" s="325"/>
      <c r="E76" s="326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>
      <c r="A77" s="324"/>
      <c r="B77" s="325"/>
      <c r="C77" s="325"/>
      <c r="D77" s="325"/>
      <c r="E77" s="326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>
      <c r="A78" s="324"/>
      <c r="B78" s="325"/>
      <c r="C78" s="325"/>
      <c r="D78" s="325"/>
      <c r="E78" s="326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>
      <c r="A79" s="324"/>
      <c r="B79" s="325"/>
      <c r="C79" s="325"/>
      <c r="D79" s="325"/>
      <c r="E79" s="326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>
      <c r="A80" s="324"/>
      <c r="B80" s="325"/>
      <c r="C80" s="325"/>
      <c r="D80" s="325"/>
      <c r="E80" s="326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>
      <c r="A81" s="327" t="s">
        <v>98</v>
      </c>
      <c r="B81" s="327"/>
      <c r="C81" s="327"/>
      <c r="D81" s="327"/>
      <c r="E81" s="327"/>
      <c r="F81" s="29"/>
      <c r="G81" s="29"/>
      <c r="H81" s="29"/>
      <c r="I81" s="33"/>
      <c r="J81" s="33"/>
      <c r="K81" s="29"/>
      <c r="L81" s="32"/>
      <c r="M81" s="32">
        <f t="shared" si="1"/>
        <v>0</v>
      </c>
      <c r="N81" s="11"/>
    </row>
    <row r="82" spans="1:14" ht="57" hidden="1" customHeight="1">
      <c r="A82" s="328" t="s">
        <v>14</v>
      </c>
      <c r="B82" s="329"/>
      <c r="C82" s="329"/>
      <c r="D82" s="329"/>
      <c r="E82" s="329"/>
      <c r="F82" s="329"/>
      <c r="G82" s="329"/>
      <c r="H82" s="329"/>
      <c r="I82" s="329"/>
      <c r="J82" s="329"/>
      <c r="K82" s="329"/>
      <c r="L82" s="330"/>
      <c r="M82" s="32">
        <f>M81+M65+M64+M63</f>
        <v>96840</v>
      </c>
      <c r="N82" s="11"/>
    </row>
    <row r="83" spans="1:14" ht="1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1:14">
      <c r="A84" s="221" t="s">
        <v>16</v>
      </c>
      <c r="B84" s="221"/>
      <c r="C84" s="221"/>
      <c r="D84" s="221"/>
      <c r="E84" s="221"/>
      <c r="F84" s="221"/>
      <c r="G84" s="221"/>
      <c r="H84" s="221"/>
      <c r="I84" s="221"/>
      <c r="J84" s="221"/>
      <c r="K84" s="221"/>
      <c r="L84" s="221"/>
      <c r="M84" s="221"/>
      <c r="N84" s="11"/>
    </row>
    <row r="85" spans="1:14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11"/>
    </row>
    <row r="86" spans="1:14" ht="30.75" hidden="1" customHeight="1">
      <c r="A86" s="279"/>
      <c r="B86" s="279"/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35"/>
      <c r="N86" s="11"/>
    </row>
    <row r="87" spans="1:14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</row>
    <row r="88" spans="1:14" ht="73.5" customHeight="1">
      <c r="A88" s="222" t="s">
        <v>17</v>
      </c>
      <c r="B88" s="222"/>
      <c r="C88" s="222"/>
      <c r="D88" s="222"/>
      <c r="E88" s="222"/>
      <c r="F88" s="9" t="s">
        <v>7</v>
      </c>
      <c r="G88" s="36" t="s">
        <v>90</v>
      </c>
      <c r="H88" s="9" t="s">
        <v>71</v>
      </c>
      <c r="I88" s="9" t="s">
        <v>82</v>
      </c>
      <c r="J88" s="9" t="s">
        <v>105</v>
      </c>
      <c r="K88" s="9" t="s">
        <v>135</v>
      </c>
      <c r="L88" s="11"/>
      <c r="M88" s="11"/>
      <c r="N88" s="11"/>
    </row>
    <row r="89" spans="1:14" ht="18.75" customHeight="1">
      <c r="A89" s="280">
        <v>1</v>
      </c>
      <c r="B89" s="281"/>
      <c r="C89" s="281"/>
      <c r="D89" s="281"/>
      <c r="E89" s="282"/>
      <c r="F89" s="9">
        <v>2</v>
      </c>
      <c r="G89" s="9">
        <v>3</v>
      </c>
      <c r="H89" s="37">
        <v>4</v>
      </c>
      <c r="I89" s="37">
        <v>5</v>
      </c>
      <c r="J89" s="38">
        <v>6</v>
      </c>
      <c r="K89" s="38" t="s">
        <v>79</v>
      </c>
      <c r="L89" s="11"/>
      <c r="M89" s="39"/>
      <c r="N89" s="11"/>
    </row>
    <row r="90" spans="1:14">
      <c r="A90" s="287" t="s">
        <v>23</v>
      </c>
      <c r="B90" s="287"/>
      <c r="C90" s="287"/>
      <c r="D90" s="287"/>
      <c r="E90" s="287"/>
      <c r="F90" s="40" t="s">
        <v>26</v>
      </c>
      <c r="G90" s="63">
        <f>8.4*88.1</f>
        <v>740.04</v>
      </c>
      <c r="H90" s="56">
        <v>7802.23</v>
      </c>
      <c r="I90" s="82">
        <f>56993.23*5.6%</f>
        <v>3191.6208799999999</v>
      </c>
      <c r="J90" s="86">
        <v>57</v>
      </c>
      <c r="K90" s="56">
        <f>I90/J90</f>
        <v>55.993348771929824</v>
      </c>
      <c r="L90" s="11"/>
      <c r="M90" s="25"/>
      <c r="N90" s="11"/>
    </row>
    <row r="91" spans="1:14">
      <c r="A91" s="287" t="s">
        <v>24</v>
      </c>
      <c r="B91" s="287"/>
      <c r="C91" s="287"/>
      <c r="D91" s="287"/>
      <c r="E91" s="287"/>
      <c r="F91" s="40" t="s">
        <v>27</v>
      </c>
      <c r="G91" s="56">
        <f>175*88.1%</f>
        <v>154.17499999999998</v>
      </c>
      <c r="H91" s="56">
        <v>1768</v>
      </c>
      <c r="I91" s="82">
        <f>338294.05*5.6%</f>
        <v>18944.466799999998</v>
      </c>
      <c r="J91" s="86">
        <v>57</v>
      </c>
      <c r="K91" s="56">
        <f>I91/J91</f>
        <v>332.35906666666665</v>
      </c>
      <c r="L91" s="11"/>
      <c r="M91" s="11"/>
      <c r="N91" s="11"/>
    </row>
    <row r="92" spans="1:14">
      <c r="A92" s="287" t="s">
        <v>83</v>
      </c>
      <c r="B92" s="287"/>
      <c r="C92" s="287"/>
      <c r="D92" s="287"/>
      <c r="E92" s="287"/>
      <c r="F92" s="40" t="s">
        <v>28</v>
      </c>
      <c r="G92" s="56">
        <f>140*88.1%</f>
        <v>123.33999999999999</v>
      </c>
      <c r="H92" s="56">
        <v>42.83</v>
      </c>
      <c r="I92" s="82">
        <f>5483.26*5.6%</f>
        <v>307.06255999999996</v>
      </c>
      <c r="J92" s="86">
        <v>57</v>
      </c>
      <c r="K92" s="56">
        <f>I92/J92</f>
        <v>5.3870624561403506</v>
      </c>
      <c r="L92" s="11"/>
      <c r="M92" s="11"/>
      <c r="N92" s="11"/>
    </row>
    <row r="93" spans="1:14">
      <c r="A93" s="212" t="s">
        <v>25</v>
      </c>
      <c r="B93" s="212"/>
      <c r="C93" s="212"/>
      <c r="D93" s="212"/>
      <c r="E93" s="212"/>
      <c r="F93" s="96" t="s">
        <v>28</v>
      </c>
      <c r="G93" s="56">
        <f>140*88.1%</f>
        <v>123.33999999999999</v>
      </c>
      <c r="H93" s="88">
        <v>62.38</v>
      </c>
      <c r="I93" s="199">
        <f>8117.94*5.6%</f>
        <v>454.6046399999999</v>
      </c>
      <c r="J93" s="86">
        <v>57</v>
      </c>
      <c r="K93" s="88">
        <f>I93/J93</f>
        <v>7.9755199999999986</v>
      </c>
      <c r="L93" s="11"/>
      <c r="M93" s="11"/>
      <c r="N93" s="11"/>
    </row>
    <row r="94" spans="1:14" ht="15" thickBot="1">
      <c r="A94" s="212" t="s">
        <v>189</v>
      </c>
      <c r="B94" s="212"/>
      <c r="C94" s="212"/>
      <c r="D94" s="212"/>
      <c r="E94" s="212"/>
      <c r="F94" s="96"/>
      <c r="G94" s="56"/>
      <c r="H94" s="88">
        <v>1167</v>
      </c>
      <c r="I94" s="199">
        <f>16411.52*5.6%</f>
        <v>919.04511999999988</v>
      </c>
      <c r="J94" s="86">
        <v>57</v>
      </c>
      <c r="K94" s="88">
        <f>I94/J94</f>
        <v>16.123598596491227</v>
      </c>
      <c r="L94" s="11"/>
      <c r="M94" s="11"/>
      <c r="N94" s="11"/>
    </row>
    <row r="95" spans="1:14" ht="15" thickBot="1">
      <c r="A95" s="288" t="s">
        <v>29</v>
      </c>
      <c r="B95" s="289"/>
      <c r="C95" s="289"/>
      <c r="D95" s="289"/>
      <c r="E95" s="290"/>
      <c r="F95" s="97"/>
      <c r="G95" s="97"/>
      <c r="H95" s="97"/>
      <c r="I95" s="146">
        <f>SUM(I90:I94)</f>
        <v>23816.799999999996</v>
      </c>
      <c r="J95" s="89"/>
      <c r="K95" s="210">
        <f>SUM(K90:K94)</f>
        <v>417.83859649122809</v>
      </c>
      <c r="L95" s="11"/>
      <c r="M95" s="11"/>
      <c r="N95" s="90">
        <f>I95/88.1%</f>
        <v>27033.825198637911</v>
      </c>
    </row>
    <row r="96" spans="1:14">
      <c r="A96" s="202"/>
      <c r="B96" s="202"/>
      <c r="C96" s="202"/>
      <c r="D96" s="202"/>
      <c r="E96" s="202"/>
      <c r="F96" s="202"/>
      <c r="G96" s="202"/>
      <c r="H96" s="202"/>
      <c r="I96" s="203"/>
      <c r="J96" s="204"/>
      <c r="K96" s="205"/>
      <c r="L96" s="11"/>
      <c r="M96" s="11"/>
      <c r="N96" s="90"/>
    </row>
    <row r="97" spans="1:14">
      <c r="A97" s="221" t="s">
        <v>30</v>
      </c>
      <c r="B97" s="221"/>
      <c r="C97" s="221"/>
      <c r="D97" s="221"/>
      <c r="E97" s="221"/>
      <c r="F97" s="221"/>
      <c r="G97" s="221"/>
      <c r="H97" s="221"/>
      <c r="I97" s="221"/>
      <c r="J97" s="221"/>
      <c r="K97" s="221"/>
      <c r="L97" s="221"/>
      <c r="M97" s="221"/>
      <c r="N97" s="11"/>
    </row>
    <row r="98" spans="1:14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</row>
    <row r="99" spans="1:14" ht="55.8">
      <c r="A99" s="283" t="s">
        <v>32</v>
      </c>
      <c r="B99" s="283"/>
      <c r="C99" s="283"/>
      <c r="D99" s="283"/>
      <c r="E99" s="283"/>
      <c r="F99" s="37" t="s">
        <v>7</v>
      </c>
      <c r="G99" s="37" t="s">
        <v>18</v>
      </c>
      <c r="H99" s="42" t="s">
        <v>85</v>
      </c>
      <c r="I99" s="9" t="s">
        <v>82</v>
      </c>
      <c r="J99" s="9" t="s">
        <v>105</v>
      </c>
      <c r="K99" s="9" t="s">
        <v>135</v>
      </c>
      <c r="L99" s="11"/>
      <c r="M99" s="11"/>
      <c r="N99" s="11"/>
    </row>
    <row r="100" spans="1:14">
      <c r="A100" s="259" t="s">
        <v>188</v>
      </c>
      <c r="B100" s="259"/>
      <c r="C100" s="259"/>
      <c r="D100" s="259"/>
      <c r="E100" s="259"/>
      <c r="F100" s="93" t="s">
        <v>31</v>
      </c>
      <c r="G100" s="93">
        <v>1</v>
      </c>
      <c r="H100" s="162">
        <v>3027.85</v>
      </c>
      <c r="I100" s="82">
        <f>36334.2*5.6%</f>
        <v>2034.7151999999996</v>
      </c>
      <c r="J100" s="86">
        <v>57</v>
      </c>
      <c r="K100" s="98">
        <f t="shared" ref="K100:K105" si="2">I100/J100</f>
        <v>35.696757894736834</v>
      </c>
      <c r="L100" s="11"/>
      <c r="M100" s="11"/>
      <c r="N100" s="11"/>
    </row>
    <row r="101" spans="1:14" ht="36.6" customHeight="1">
      <c r="A101" s="291" t="s">
        <v>112</v>
      </c>
      <c r="B101" s="291"/>
      <c r="C101" s="291"/>
      <c r="D101" s="291"/>
      <c r="E101" s="292"/>
      <c r="F101" s="93" t="s">
        <v>31</v>
      </c>
      <c r="G101" s="93">
        <v>1</v>
      </c>
      <c r="H101" s="163"/>
      <c r="I101" s="200">
        <f>15000*5.6%</f>
        <v>839.99999999999989</v>
      </c>
      <c r="J101" s="86">
        <v>57</v>
      </c>
      <c r="K101" s="98">
        <f t="shared" si="2"/>
        <v>14.736842105263156</v>
      </c>
      <c r="L101" s="11"/>
      <c r="M101" s="24"/>
      <c r="N101" s="11"/>
    </row>
    <row r="102" spans="1:14" ht="15" customHeight="1">
      <c r="A102" s="284" t="s">
        <v>113</v>
      </c>
      <c r="B102" s="285"/>
      <c r="C102" s="285"/>
      <c r="D102" s="285"/>
      <c r="E102" s="286"/>
      <c r="F102" s="93" t="s">
        <v>31</v>
      </c>
      <c r="G102" s="93">
        <v>1</v>
      </c>
      <c r="H102" s="162"/>
      <c r="I102" s="82">
        <f>6500*5.6%</f>
        <v>363.99999999999994</v>
      </c>
      <c r="J102" s="86">
        <v>57</v>
      </c>
      <c r="K102" s="98">
        <f t="shared" si="2"/>
        <v>6.3859649122807012</v>
      </c>
      <c r="L102" s="11"/>
      <c r="M102" s="11"/>
      <c r="N102" s="11"/>
    </row>
    <row r="103" spans="1:14">
      <c r="A103" s="196" t="s">
        <v>114</v>
      </c>
      <c r="B103" s="197"/>
      <c r="C103" s="197"/>
      <c r="D103" s="197"/>
      <c r="E103" s="198"/>
      <c r="F103" s="93" t="s">
        <v>31</v>
      </c>
      <c r="G103" s="93">
        <v>1</v>
      </c>
      <c r="H103" s="162"/>
      <c r="I103" s="82">
        <f>8943.2*5.6%</f>
        <v>500.81919999999997</v>
      </c>
      <c r="J103" s="86">
        <v>57</v>
      </c>
      <c r="K103" s="98">
        <f t="shared" si="2"/>
        <v>8.7863017543859652</v>
      </c>
      <c r="L103" s="11"/>
      <c r="M103" s="11"/>
      <c r="N103" s="11"/>
    </row>
    <row r="104" spans="1:14" ht="15" thickBot="1">
      <c r="A104" s="259" t="s">
        <v>115</v>
      </c>
      <c r="B104" s="259"/>
      <c r="C104" s="259"/>
      <c r="D104" s="259"/>
      <c r="E104" s="259"/>
      <c r="F104" s="93" t="s">
        <v>31</v>
      </c>
      <c r="G104" s="93">
        <v>1</v>
      </c>
      <c r="H104" s="162">
        <v>500</v>
      </c>
      <c r="I104" s="199">
        <f>6000*5.6%</f>
        <v>335.99999999999994</v>
      </c>
      <c r="J104" s="86">
        <v>57</v>
      </c>
      <c r="K104" s="98">
        <f>I104/J104</f>
        <v>5.8947368421052619</v>
      </c>
      <c r="L104" s="11"/>
      <c r="M104" s="11"/>
      <c r="N104" s="11"/>
    </row>
    <row r="105" spans="1:14" s="1" customFormat="1" ht="15" hidden="1" thickBot="1">
      <c r="A105" s="267" t="s">
        <v>120</v>
      </c>
      <c r="B105" s="268"/>
      <c r="C105" s="268"/>
      <c r="D105" s="268"/>
      <c r="E105" s="269"/>
      <c r="F105" s="93" t="s">
        <v>31</v>
      </c>
      <c r="G105" s="93">
        <v>1</v>
      </c>
      <c r="H105" s="162">
        <v>1500</v>
      </c>
      <c r="I105" s="88">
        <v>0</v>
      </c>
      <c r="J105" s="86">
        <v>890</v>
      </c>
      <c r="K105" s="98">
        <f t="shared" si="2"/>
        <v>0</v>
      </c>
      <c r="L105" s="13"/>
      <c r="M105" s="13"/>
      <c r="N105" s="13"/>
    </row>
    <row r="106" spans="1:14" ht="15" thickBot="1">
      <c r="A106" s="194" t="s">
        <v>89</v>
      </c>
      <c r="B106" s="195"/>
      <c r="C106" s="195"/>
      <c r="D106" s="195"/>
      <c r="E106" s="195"/>
      <c r="F106" s="195"/>
      <c r="G106" s="195"/>
      <c r="H106" s="195"/>
      <c r="I106" s="147">
        <f>SUM(I100:I105)</f>
        <v>4075.5343999999996</v>
      </c>
      <c r="J106" s="11"/>
      <c r="K106" s="209">
        <f>K100+K101+K102+K103+K104</f>
        <v>71.500603508771917</v>
      </c>
      <c r="L106" s="11"/>
      <c r="M106" s="11"/>
      <c r="N106" s="90">
        <f>I106/88.1%</f>
        <v>4626.032236095346</v>
      </c>
    </row>
    <row r="107" spans="1:14" ht="28.5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1:14">
      <c r="A108" s="221" t="s">
        <v>84</v>
      </c>
      <c r="B108" s="221"/>
      <c r="C108" s="221"/>
      <c r="D108" s="221"/>
      <c r="E108" s="221"/>
      <c r="F108" s="221"/>
      <c r="G108" s="221"/>
      <c r="H108" s="221"/>
      <c r="I108" s="221"/>
      <c r="J108" s="221"/>
      <c r="K108" s="221"/>
      <c r="L108" s="221"/>
      <c r="M108" s="221"/>
      <c r="N108" s="11"/>
    </row>
    <row r="109" spans="1:14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</row>
    <row r="110" spans="1:14" ht="42">
      <c r="A110" s="222" t="s">
        <v>32</v>
      </c>
      <c r="B110" s="222"/>
      <c r="C110" s="222"/>
      <c r="D110" s="222"/>
      <c r="E110" s="222"/>
      <c r="F110" s="9" t="s">
        <v>92</v>
      </c>
      <c r="G110" s="9" t="s">
        <v>22</v>
      </c>
      <c r="H110" s="9" t="s">
        <v>82</v>
      </c>
      <c r="I110" s="9" t="s">
        <v>105</v>
      </c>
      <c r="J110" s="9" t="s">
        <v>135</v>
      </c>
      <c r="K110" s="11"/>
      <c r="L110" s="11"/>
      <c r="M110" s="11"/>
      <c r="N110" s="11"/>
    </row>
    <row r="111" spans="1:14" ht="18" customHeight="1">
      <c r="A111" s="217" t="s">
        <v>116</v>
      </c>
      <c r="B111" s="218"/>
      <c r="C111" s="218"/>
      <c r="D111" s="218"/>
      <c r="E111" s="219"/>
      <c r="F111" s="36">
        <v>4</v>
      </c>
      <c r="G111" s="107">
        <v>4500</v>
      </c>
      <c r="H111" s="201">
        <f>18000*5.6%</f>
        <v>1007.9999999999999</v>
      </c>
      <c r="I111" s="86">
        <v>57</v>
      </c>
      <c r="J111" s="94">
        <f t="shared" ref="J111:J113" si="3">H111/I111</f>
        <v>17.684210526315788</v>
      </c>
      <c r="K111" s="11"/>
      <c r="L111" s="11"/>
      <c r="M111" s="11"/>
      <c r="N111" s="11"/>
    </row>
    <row r="112" spans="1:14" ht="20.25" customHeight="1">
      <c r="A112" s="244" t="s">
        <v>117</v>
      </c>
      <c r="B112" s="244"/>
      <c r="C112" s="244"/>
      <c r="D112" s="244"/>
      <c r="E112" s="244"/>
      <c r="F112" s="36">
        <v>12</v>
      </c>
      <c r="G112" s="107">
        <v>3000</v>
      </c>
      <c r="H112" s="201">
        <f>36000*5.6%</f>
        <v>2015.9999999999998</v>
      </c>
      <c r="I112" s="86">
        <v>57</v>
      </c>
      <c r="J112" s="94">
        <f t="shared" si="3"/>
        <v>35.368421052631575</v>
      </c>
      <c r="K112" s="11"/>
      <c r="L112" s="11"/>
      <c r="M112" s="11"/>
      <c r="N112" s="11"/>
    </row>
    <row r="113" spans="1:14" ht="18.75" customHeight="1">
      <c r="A113" s="244" t="s">
        <v>118</v>
      </c>
      <c r="B113" s="244"/>
      <c r="C113" s="244"/>
      <c r="D113" s="244"/>
      <c r="E113" s="244"/>
      <c r="F113" s="36">
        <v>12</v>
      </c>
      <c r="G113" s="107">
        <v>1000</v>
      </c>
      <c r="H113" s="201">
        <f>12000*5.6%</f>
        <v>671.99999999999989</v>
      </c>
      <c r="I113" s="86">
        <v>57</v>
      </c>
      <c r="J113" s="94">
        <f t="shared" si="3"/>
        <v>11.789473684210524</v>
      </c>
      <c r="K113" s="11"/>
      <c r="L113" s="11"/>
      <c r="M113" s="11"/>
      <c r="N113" s="11"/>
    </row>
    <row r="114" spans="1:14" ht="25.8" hidden="1" customHeight="1" thickBot="1">
      <c r="A114" s="244" t="s">
        <v>119</v>
      </c>
      <c r="B114" s="244"/>
      <c r="C114" s="244"/>
      <c r="D114" s="244"/>
      <c r="E114" s="244"/>
      <c r="F114" s="36"/>
      <c r="G114" s="93"/>
      <c r="H114" s="56"/>
      <c r="I114" s="86">
        <v>57</v>
      </c>
      <c r="J114" s="94">
        <f>H114/I114</f>
        <v>0</v>
      </c>
      <c r="K114" s="11"/>
      <c r="L114" s="11"/>
      <c r="M114" s="11"/>
      <c r="N114" s="11"/>
    </row>
    <row r="115" spans="1:14" ht="18.75" hidden="1" customHeight="1" thickBot="1">
      <c r="A115" s="217"/>
      <c r="B115" s="218"/>
      <c r="C115" s="218"/>
      <c r="D115" s="218"/>
      <c r="E115" s="219"/>
      <c r="F115" s="36"/>
      <c r="G115" s="107"/>
      <c r="H115" s="56">
        <f t="shared" ref="H115:H117" si="4">6000*86%</f>
        <v>5160</v>
      </c>
      <c r="I115" s="86">
        <v>57</v>
      </c>
      <c r="J115" s="94">
        <f t="shared" ref="J115:J118" si="5">H115/I115</f>
        <v>90.526315789473685</v>
      </c>
      <c r="K115" s="11"/>
      <c r="L115" s="11"/>
      <c r="M115" s="11"/>
      <c r="N115" s="11"/>
    </row>
    <row r="116" spans="1:14" ht="14.25" hidden="1" customHeight="1" thickBot="1">
      <c r="F116" s="36"/>
      <c r="G116" s="36"/>
      <c r="H116" s="56">
        <f t="shared" si="4"/>
        <v>5160</v>
      </c>
      <c r="I116" s="86">
        <v>57</v>
      </c>
      <c r="J116" s="94">
        <f t="shared" si="5"/>
        <v>90.526315789473685</v>
      </c>
      <c r="K116" s="11"/>
      <c r="L116" s="11"/>
      <c r="M116" s="11"/>
      <c r="N116" s="11"/>
    </row>
    <row r="117" spans="1:14" ht="16.5" hidden="1" customHeight="1">
      <c r="A117" s="244"/>
      <c r="B117" s="244"/>
      <c r="C117" s="244"/>
      <c r="D117" s="244"/>
      <c r="E117" s="244"/>
      <c r="F117" s="36"/>
      <c r="G117" s="36"/>
      <c r="H117" s="56">
        <f t="shared" si="4"/>
        <v>5160</v>
      </c>
      <c r="I117" s="86">
        <v>57</v>
      </c>
      <c r="J117" s="94">
        <f t="shared" si="5"/>
        <v>90.526315789473685</v>
      </c>
      <c r="K117" s="11"/>
      <c r="L117" s="11"/>
      <c r="M117" s="11"/>
      <c r="N117" s="11"/>
    </row>
    <row r="118" spans="1:14" ht="15" thickBot="1">
      <c r="A118" s="267" t="s">
        <v>120</v>
      </c>
      <c r="B118" s="268"/>
      <c r="C118" s="268"/>
      <c r="D118" s="268"/>
      <c r="E118" s="269"/>
      <c r="F118" s="107"/>
      <c r="G118" s="93"/>
      <c r="H118" s="82">
        <f>18000*5.6%</f>
        <v>1007.9999999999999</v>
      </c>
      <c r="I118" s="86">
        <v>57</v>
      </c>
      <c r="J118" s="94">
        <f t="shared" si="5"/>
        <v>17.684210526315788</v>
      </c>
      <c r="K118" s="11"/>
      <c r="L118" s="11"/>
      <c r="M118" s="11"/>
      <c r="N118" s="11"/>
    </row>
    <row r="119" spans="1:14" ht="20.25" customHeight="1" thickBot="1">
      <c r="A119" s="270" t="s">
        <v>88</v>
      </c>
      <c r="B119" s="271"/>
      <c r="C119" s="271"/>
      <c r="D119" s="271"/>
      <c r="E119" s="272"/>
      <c r="F119" s="91"/>
      <c r="G119" s="91"/>
      <c r="H119" s="146">
        <f>H111+H112+H113+H118</f>
        <v>4703.9999999999991</v>
      </c>
      <c r="I119" s="87"/>
      <c r="J119" s="206">
        <f>J111+J112+J113+J118</f>
        <v>82.526315789473671</v>
      </c>
      <c r="K119" s="11"/>
      <c r="L119" s="49"/>
      <c r="M119" s="11"/>
      <c r="N119" s="90">
        <f>H119/88.1%</f>
        <v>5339.3870601589097</v>
      </c>
    </row>
    <row r="120" spans="1:14" ht="20.25" customHeight="1">
      <c r="A120" s="167"/>
      <c r="B120" s="168"/>
      <c r="C120" s="168"/>
      <c r="D120" s="168"/>
      <c r="E120" s="168"/>
      <c r="F120" s="168"/>
      <c r="G120" s="168"/>
      <c r="H120" s="52"/>
      <c r="I120" s="13"/>
      <c r="J120" s="53"/>
      <c r="K120" s="11"/>
      <c r="L120" s="49"/>
      <c r="M120" s="11"/>
      <c r="N120" s="11"/>
    </row>
    <row r="121" spans="1:14" ht="31.5" customHeight="1">
      <c r="A121" s="238" t="s">
        <v>86</v>
      </c>
      <c r="B121" s="238"/>
      <c r="C121" s="238"/>
      <c r="D121" s="238"/>
      <c r="E121" s="238"/>
      <c r="F121" s="273"/>
      <c r="G121" s="273"/>
      <c r="H121" s="273"/>
      <c r="I121" s="273"/>
      <c r="J121" s="273"/>
      <c r="K121" s="273"/>
      <c r="L121" s="273"/>
      <c r="M121" s="273"/>
      <c r="N121" s="273"/>
    </row>
    <row r="122" spans="1:14" ht="42">
      <c r="A122" s="222" t="s">
        <v>33</v>
      </c>
      <c r="B122" s="222"/>
      <c r="C122" s="222"/>
      <c r="D122" s="222"/>
      <c r="E122" s="222"/>
      <c r="F122" s="9" t="s">
        <v>7</v>
      </c>
      <c r="G122" s="9" t="s">
        <v>18</v>
      </c>
      <c r="H122" s="9" t="s">
        <v>71</v>
      </c>
      <c r="I122" s="9" t="s">
        <v>34</v>
      </c>
      <c r="J122" s="9" t="s">
        <v>82</v>
      </c>
      <c r="K122" s="37" t="s">
        <v>105</v>
      </c>
      <c r="L122" s="9" t="s">
        <v>135</v>
      </c>
      <c r="M122" s="11"/>
      <c r="N122" s="11"/>
    </row>
    <row r="123" spans="1:14" ht="31.5" customHeight="1">
      <c r="A123" s="263" t="s">
        <v>35</v>
      </c>
      <c r="B123" s="263"/>
      <c r="C123" s="263"/>
      <c r="D123" s="263"/>
      <c r="E123" s="263"/>
      <c r="F123" s="92" t="s">
        <v>36</v>
      </c>
      <c r="G123" s="93">
        <v>3</v>
      </c>
      <c r="H123" s="159">
        <v>590.59</v>
      </c>
      <c r="I123" s="93">
        <v>12</v>
      </c>
      <c r="J123" s="199">
        <f>24882.6*5.6%</f>
        <v>1393.4255999999998</v>
      </c>
      <c r="K123" s="86">
        <v>57</v>
      </c>
      <c r="L123" s="94">
        <f>J123/K123</f>
        <v>24.446063157894734</v>
      </c>
      <c r="M123" s="90"/>
      <c r="N123" s="11"/>
    </row>
    <row r="124" spans="1:14" ht="22.5" customHeight="1" thickBot="1">
      <c r="A124" s="263" t="s">
        <v>99</v>
      </c>
      <c r="B124" s="263"/>
      <c r="C124" s="263"/>
      <c r="D124" s="263"/>
      <c r="E124" s="263"/>
      <c r="F124" s="92" t="s">
        <v>100</v>
      </c>
      <c r="G124" s="93">
        <v>1</v>
      </c>
      <c r="H124" s="159">
        <v>3300</v>
      </c>
      <c r="I124" s="93">
        <v>12</v>
      </c>
      <c r="J124" s="199">
        <f>36000*5.6%</f>
        <v>2015.9999999999998</v>
      </c>
      <c r="K124" s="86">
        <v>57</v>
      </c>
      <c r="L124" s="94">
        <f>J124/K124</f>
        <v>35.368421052631575</v>
      </c>
      <c r="M124" s="90"/>
      <c r="N124" s="11"/>
    </row>
    <row r="125" spans="1:14" ht="20.25" customHeight="1" thickBot="1">
      <c r="A125" s="264" t="s">
        <v>37</v>
      </c>
      <c r="B125" s="265"/>
      <c r="C125" s="265"/>
      <c r="D125" s="265"/>
      <c r="E125" s="266"/>
      <c r="F125" s="264"/>
      <c r="G125" s="265"/>
      <c r="H125" s="265"/>
      <c r="I125" s="265"/>
      <c r="J125" s="146">
        <f>J124+J123</f>
        <v>3409.4255999999996</v>
      </c>
      <c r="K125" s="87"/>
      <c r="L125" s="206">
        <f>L123+L124</f>
        <v>59.814484210526309</v>
      </c>
      <c r="M125" s="90"/>
      <c r="N125" s="90">
        <f>J125/88.1%</f>
        <v>3869.9496027241771</v>
      </c>
    </row>
    <row r="126" spans="1:14" ht="62.25" customHeight="1">
      <c r="A126" s="51"/>
      <c r="B126" s="51"/>
      <c r="C126" s="51"/>
      <c r="D126" s="51"/>
      <c r="E126" s="51"/>
      <c r="F126" s="51"/>
      <c r="G126" s="51"/>
      <c r="H126" s="51"/>
      <c r="I126" s="51"/>
      <c r="J126" s="52"/>
      <c r="K126" s="13"/>
      <c r="L126" s="53"/>
      <c r="M126" s="11"/>
      <c r="N126" s="11"/>
    </row>
    <row r="127" spans="1:14" ht="95.25" hidden="1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25"/>
      <c r="M127" s="25"/>
      <c r="N127" s="11"/>
    </row>
    <row r="128" spans="1:14" ht="12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25"/>
      <c r="M128" s="25"/>
      <c r="N128" s="11"/>
    </row>
    <row r="129" spans="1:14">
      <c r="A129" s="221" t="s">
        <v>122</v>
      </c>
      <c r="B129" s="221"/>
      <c r="C129" s="221"/>
      <c r="D129" s="221"/>
      <c r="E129" s="221"/>
      <c r="F129" s="221"/>
      <c r="G129" s="221"/>
      <c r="H129" s="221"/>
      <c r="I129" s="221"/>
      <c r="J129" s="221"/>
      <c r="K129" s="221"/>
      <c r="L129" s="221"/>
      <c r="M129" s="221"/>
      <c r="N129" s="11"/>
    </row>
    <row r="130" spans="1:14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</row>
    <row r="131" spans="1:14" ht="55.8">
      <c r="A131" s="222" t="s">
        <v>3</v>
      </c>
      <c r="B131" s="222"/>
      <c r="C131" s="222"/>
      <c r="D131" s="222"/>
      <c r="E131" s="222"/>
      <c r="F131" s="9" t="s">
        <v>4</v>
      </c>
      <c r="G131" s="10" t="s">
        <v>0</v>
      </c>
      <c r="H131" s="50" t="s">
        <v>87</v>
      </c>
      <c r="I131" s="50" t="s">
        <v>76</v>
      </c>
      <c r="J131" s="9" t="s">
        <v>105</v>
      </c>
      <c r="K131" s="9" t="s">
        <v>135</v>
      </c>
      <c r="L131" s="9" t="s">
        <v>80</v>
      </c>
      <c r="M131" s="39"/>
      <c r="N131" s="11"/>
    </row>
    <row r="132" spans="1:14">
      <c r="A132" s="225">
        <v>1</v>
      </c>
      <c r="B132" s="226"/>
      <c r="C132" s="226"/>
      <c r="D132" s="226"/>
      <c r="E132" s="227"/>
      <c r="F132" s="37">
        <v>2</v>
      </c>
      <c r="G132" s="12">
        <v>3</v>
      </c>
      <c r="H132" s="37">
        <v>4</v>
      </c>
      <c r="I132" s="37">
        <v>5</v>
      </c>
      <c r="J132" s="38">
        <v>6</v>
      </c>
      <c r="K132" s="54">
        <v>7</v>
      </c>
      <c r="L132" s="55">
        <v>8</v>
      </c>
      <c r="M132" s="39"/>
      <c r="N132" s="13"/>
    </row>
    <row r="133" spans="1:14" ht="15" thickBot="1">
      <c r="A133" s="255" t="s">
        <v>111</v>
      </c>
      <c r="B133" s="255"/>
      <c r="C133" s="255"/>
      <c r="D133" s="255"/>
      <c r="E133" s="255"/>
      <c r="F133" s="56">
        <f>H133/12/G133</f>
        <v>26304.303819444445</v>
      </c>
      <c r="G133" s="56">
        <v>0.48</v>
      </c>
      <c r="H133" s="56">
        <v>151512.79</v>
      </c>
      <c r="I133" s="56">
        <f>197269.9-0.01</f>
        <v>197269.88999999998</v>
      </c>
      <c r="J133" s="86">
        <v>57</v>
      </c>
      <c r="K133" s="56">
        <f>I133/J133</f>
        <v>3460.8752631578946</v>
      </c>
      <c r="L133" s="115">
        <v>5.6</v>
      </c>
      <c r="M133" s="24"/>
      <c r="N133" s="13"/>
    </row>
    <row r="134" spans="1:14" ht="15" hidden="1" thickBot="1">
      <c r="A134" s="256"/>
      <c r="B134" s="257"/>
      <c r="C134" s="257"/>
      <c r="D134" s="257"/>
      <c r="E134" s="258"/>
      <c r="F134" s="56">
        <v>17865.98</v>
      </c>
      <c r="G134" s="116">
        <v>4</v>
      </c>
      <c r="H134" s="86"/>
      <c r="I134" s="63">
        <f>J81</f>
        <v>0</v>
      </c>
      <c r="J134" s="56" t="e">
        <f t="shared" ref="J134:J155" si="6">G134/H134*I134</f>
        <v>#DIV/0!</v>
      </c>
      <c r="K134" s="56">
        <f t="shared" ref="K134:K155" si="7">F134*G134*12*1.302</f>
        <v>1116552.28608</v>
      </c>
      <c r="L134" s="117" t="s">
        <v>61</v>
      </c>
      <c r="M134" s="46" t="e">
        <f t="shared" ref="M134:M158" si="8">J134*K134</f>
        <v>#DIV/0!</v>
      </c>
      <c r="N134" s="13"/>
    </row>
    <row r="135" spans="1:14" ht="15" hidden="1" thickBot="1">
      <c r="A135" s="259"/>
      <c r="B135" s="259"/>
      <c r="C135" s="259"/>
      <c r="D135" s="259"/>
      <c r="E135" s="259"/>
      <c r="F135" s="56">
        <v>9544</v>
      </c>
      <c r="G135" s="116">
        <v>1</v>
      </c>
      <c r="H135" s="86"/>
      <c r="I135" s="63">
        <f>J81</f>
        <v>0</v>
      </c>
      <c r="J135" s="56" t="e">
        <f t="shared" si="6"/>
        <v>#DIV/0!</v>
      </c>
      <c r="K135" s="56">
        <f t="shared" si="7"/>
        <v>149115.45600000001</v>
      </c>
      <c r="L135" s="63">
        <f>I135/11277167.39*100</f>
        <v>0</v>
      </c>
      <c r="M135" s="17" t="e">
        <f t="shared" si="8"/>
        <v>#DIV/0!</v>
      </c>
      <c r="N135" s="13"/>
    </row>
    <row r="136" spans="1:14" ht="15" hidden="1" customHeight="1">
      <c r="A136" s="260"/>
      <c r="B136" s="261"/>
      <c r="C136" s="261"/>
      <c r="D136" s="261"/>
      <c r="E136" s="262"/>
      <c r="F136" s="56">
        <v>11560</v>
      </c>
      <c r="G136" s="116">
        <v>1</v>
      </c>
      <c r="H136" s="86"/>
      <c r="I136" s="63">
        <f>J81</f>
        <v>0</v>
      </c>
      <c r="J136" s="56" t="e">
        <f t="shared" si="6"/>
        <v>#DIV/0!</v>
      </c>
      <c r="K136" s="56">
        <f t="shared" si="7"/>
        <v>180613.44</v>
      </c>
      <c r="L136" s="40"/>
      <c r="M136" s="17" t="e">
        <f t="shared" si="8"/>
        <v>#DIV/0!</v>
      </c>
      <c r="N136" s="13"/>
    </row>
    <row r="137" spans="1:14" ht="15" hidden="1" thickBot="1">
      <c r="A137" s="244"/>
      <c r="B137" s="244"/>
      <c r="C137" s="244"/>
      <c r="D137" s="244"/>
      <c r="E137" s="244"/>
      <c r="F137" s="56">
        <v>9544</v>
      </c>
      <c r="G137" s="118">
        <v>0.5</v>
      </c>
      <c r="H137" s="86"/>
      <c r="I137" s="63">
        <f>J81</f>
        <v>0</v>
      </c>
      <c r="J137" s="56" t="e">
        <f t="shared" si="6"/>
        <v>#DIV/0!</v>
      </c>
      <c r="K137" s="56">
        <f t="shared" si="7"/>
        <v>74557.728000000003</v>
      </c>
      <c r="L137" s="40"/>
      <c r="M137" s="17" t="e">
        <f t="shared" si="8"/>
        <v>#DIV/0!</v>
      </c>
      <c r="N137" s="13"/>
    </row>
    <row r="138" spans="1:14" ht="15" hidden="1" thickBot="1">
      <c r="A138" s="244"/>
      <c r="B138" s="244"/>
      <c r="C138" s="244"/>
      <c r="D138" s="244"/>
      <c r="E138" s="244"/>
      <c r="F138" s="56">
        <v>9544</v>
      </c>
      <c r="G138" s="116">
        <v>1</v>
      </c>
      <c r="H138" s="86"/>
      <c r="I138" s="63">
        <f>J81</f>
        <v>0</v>
      </c>
      <c r="J138" s="56" t="e">
        <f t="shared" si="6"/>
        <v>#DIV/0!</v>
      </c>
      <c r="K138" s="56">
        <f t="shared" si="7"/>
        <v>149115.45600000001</v>
      </c>
      <c r="L138" s="56"/>
      <c r="M138" s="17" t="e">
        <f t="shared" si="8"/>
        <v>#DIV/0!</v>
      </c>
      <c r="N138" s="13"/>
    </row>
    <row r="139" spans="1:14" ht="14.25" hidden="1" customHeight="1">
      <c r="A139" s="244"/>
      <c r="B139" s="244"/>
      <c r="C139" s="244"/>
      <c r="D139" s="244"/>
      <c r="E139" s="244"/>
      <c r="F139" s="56">
        <v>9544</v>
      </c>
      <c r="G139" s="116">
        <v>1</v>
      </c>
      <c r="H139" s="86"/>
      <c r="I139" s="63">
        <f>J81</f>
        <v>0</v>
      </c>
      <c r="J139" s="56" t="e">
        <f t="shared" si="6"/>
        <v>#DIV/0!</v>
      </c>
      <c r="K139" s="56">
        <f t="shared" si="7"/>
        <v>149115.45600000001</v>
      </c>
      <c r="L139" s="87"/>
      <c r="M139" s="17" t="e">
        <f t="shared" si="8"/>
        <v>#DIV/0!</v>
      </c>
      <c r="N139" s="13"/>
    </row>
    <row r="140" spans="1:14" ht="15" hidden="1" thickBot="1">
      <c r="A140" s="217"/>
      <c r="B140" s="218"/>
      <c r="C140" s="218"/>
      <c r="D140" s="218"/>
      <c r="E140" s="219"/>
      <c r="F140" s="56">
        <v>9544</v>
      </c>
      <c r="G140" s="56"/>
      <c r="H140" s="86"/>
      <c r="I140" s="63">
        <f>J81</f>
        <v>0</v>
      </c>
      <c r="J140" s="56" t="e">
        <f t="shared" si="6"/>
        <v>#DIV/0!</v>
      </c>
      <c r="K140" s="56">
        <f t="shared" si="7"/>
        <v>0</v>
      </c>
      <c r="L140" s="87"/>
      <c r="M140" s="17" t="e">
        <f t="shared" si="8"/>
        <v>#DIV/0!</v>
      </c>
      <c r="N140" s="13"/>
    </row>
    <row r="141" spans="1:14" ht="15" hidden="1" thickBot="1">
      <c r="A141" s="217"/>
      <c r="B141" s="218"/>
      <c r="C141" s="218"/>
      <c r="D141" s="218"/>
      <c r="E141" s="219"/>
      <c r="F141" s="56">
        <v>9544</v>
      </c>
      <c r="G141" s="119">
        <v>0.25</v>
      </c>
      <c r="H141" s="86"/>
      <c r="I141" s="63">
        <f>J81</f>
        <v>0</v>
      </c>
      <c r="J141" s="56" t="e">
        <f t="shared" si="6"/>
        <v>#DIV/0!</v>
      </c>
      <c r="K141" s="56">
        <f t="shared" si="7"/>
        <v>37278.864000000001</v>
      </c>
      <c r="L141" s="87"/>
      <c r="M141" s="17" t="e">
        <f t="shared" si="8"/>
        <v>#DIV/0!</v>
      </c>
      <c r="N141" s="13"/>
    </row>
    <row r="142" spans="1:14" ht="15" hidden="1" thickBot="1">
      <c r="A142" s="217"/>
      <c r="B142" s="218"/>
      <c r="C142" s="218"/>
      <c r="D142" s="218"/>
      <c r="E142" s="219"/>
      <c r="F142" s="56">
        <v>9544</v>
      </c>
      <c r="G142" s="56"/>
      <c r="H142" s="86"/>
      <c r="I142" s="63">
        <f>J81</f>
        <v>0</v>
      </c>
      <c r="J142" s="56" t="e">
        <f t="shared" si="6"/>
        <v>#DIV/0!</v>
      </c>
      <c r="K142" s="56">
        <f t="shared" si="7"/>
        <v>0</v>
      </c>
      <c r="L142" s="87"/>
      <c r="M142" s="17" t="e">
        <f t="shared" si="8"/>
        <v>#DIV/0!</v>
      </c>
      <c r="N142" s="13"/>
    </row>
    <row r="143" spans="1:14" ht="15" hidden="1" thickBot="1">
      <c r="A143" s="217"/>
      <c r="B143" s="218"/>
      <c r="C143" s="218"/>
      <c r="D143" s="218"/>
      <c r="E143" s="219"/>
      <c r="F143" s="56">
        <v>9544</v>
      </c>
      <c r="G143" s="118">
        <v>0.5</v>
      </c>
      <c r="H143" s="86"/>
      <c r="I143" s="63">
        <f>J81</f>
        <v>0</v>
      </c>
      <c r="J143" s="56" t="e">
        <f t="shared" si="6"/>
        <v>#DIV/0!</v>
      </c>
      <c r="K143" s="56">
        <f t="shared" si="7"/>
        <v>74557.728000000003</v>
      </c>
      <c r="L143" s="87"/>
      <c r="M143" s="17" t="e">
        <f t="shared" si="8"/>
        <v>#DIV/0!</v>
      </c>
      <c r="N143" s="13"/>
    </row>
    <row r="144" spans="1:14" ht="15.75" hidden="1" customHeight="1">
      <c r="A144" s="217"/>
      <c r="B144" s="218"/>
      <c r="C144" s="218"/>
      <c r="D144" s="218"/>
      <c r="E144" s="219"/>
      <c r="F144" s="56">
        <v>9544</v>
      </c>
      <c r="G144" s="116">
        <v>1</v>
      </c>
      <c r="H144" s="86"/>
      <c r="I144" s="63">
        <f>J81</f>
        <v>0</v>
      </c>
      <c r="J144" s="56" t="e">
        <f t="shared" si="6"/>
        <v>#DIV/0!</v>
      </c>
      <c r="K144" s="56">
        <f t="shared" si="7"/>
        <v>149115.45600000001</v>
      </c>
      <c r="L144" s="87"/>
      <c r="M144" s="17" t="e">
        <f t="shared" si="8"/>
        <v>#DIV/0!</v>
      </c>
      <c r="N144" s="13"/>
    </row>
    <row r="145" spans="1:14" ht="15" hidden="1" customHeight="1">
      <c r="A145" s="244"/>
      <c r="B145" s="244"/>
      <c r="C145" s="244"/>
      <c r="D145" s="244"/>
      <c r="E145" s="244"/>
      <c r="F145" s="56">
        <v>9544</v>
      </c>
      <c r="G145" s="116">
        <v>1</v>
      </c>
      <c r="H145" s="86"/>
      <c r="I145" s="63">
        <f>J81</f>
        <v>0</v>
      </c>
      <c r="J145" s="56" t="e">
        <f t="shared" si="6"/>
        <v>#DIV/0!</v>
      </c>
      <c r="K145" s="56">
        <f t="shared" si="7"/>
        <v>149115.45600000001</v>
      </c>
      <c r="L145" s="87"/>
      <c r="M145" s="17" t="e">
        <f t="shared" si="8"/>
        <v>#DIV/0!</v>
      </c>
      <c r="N145" s="13"/>
    </row>
    <row r="146" spans="1:14" ht="15" hidden="1" customHeight="1">
      <c r="A146" s="244"/>
      <c r="B146" s="244"/>
      <c r="C146" s="244"/>
      <c r="D146" s="244"/>
      <c r="E146" s="244"/>
      <c r="F146" s="56">
        <v>9544</v>
      </c>
      <c r="G146" s="118">
        <v>5.5</v>
      </c>
      <c r="H146" s="86"/>
      <c r="I146" s="63">
        <f>J81</f>
        <v>0</v>
      </c>
      <c r="J146" s="56" t="e">
        <f t="shared" si="6"/>
        <v>#DIV/0!</v>
      </c>
      <c r="K146" s="56">
        <f t="shared" si="7"/>
        <v>820135.00800000003</v>
      </c>
      <c r="L146" s="87"/>
      <c r="M146" s="17" t="e">
        <f t="shared" si="8"/>
        <v>#DIV/0!</v>
      </c>
      <c r="N146" s="13"/>
    </row>
    <row r="147" spans="1:14" ht="15" hidden="1" customHeight="1">
      <c r="A147" s="244"/>
      <c r="B147" s="244"/>
      <c r="C147" s="244"/>
      <c r="D147" s="244"/>
      <c r="E147" s="244"/>
      <c r="F147" s="56">
        <v>9544</v>
      </c>
      <c r="G147" s="116">
        <v>1</v>
      </c>
      <c r="H147" s="86"/>
      <c r="I147" s="63">
        <f>J81</f>
        <v>0</v>
      </c>
      <c r="J147" s="56" t="e">
        <f t="shared" si="6"/>
        <v>#DIV/0!</v>
      </c>
      <c r="K147" s="56">
        <f t="shared" si="7"/>
        <v>149115.45600000001</v>
      </c>
      <c r="L147" s="87"/>
      <c r="M147" s="17" t="e">
        <f t="shared" si="8"/>
        <v>#DIV/0!</v>
      </c>
      <c r="N147" s="13"/>
    </row>
    <row r="148" spans="1:14" ht="15" hidden="1" customHeight="1">
      <c r="A148" s="244"/>
      <c r="B148" s="244"/>
      <c r="C148" s="244"/>
      <c r="D148" s="244"/>
      <c r="E148" s="244"/>
      <c r="F148" s="56">
        <v>9544</v>
      </c>
      <c r="G148" s="118">
        <v>0.5</v>
      </c>
      <c r="H148" s="86"/>
      <c r="I148" s="63">
        <f>J81</f>
        <v>0</v>
      </c>
      <c r="J148" s="56" t="e">
        <f t="shared" si="6"/>
        <v>#DIV/0!</v>
      </c>
      <c r="K148" s="56">
        <f t="shared" si="7"/>
        <v>74557.728000000003</v>
      </c>
      <c r="L148" s="87"/>
      <c r="M148" s="17" t="e">
        <f t="shared" si="8"/>
        <v>#DIV/0!</v>
      </c>
      <c r="N148" s="13"/>
    </row>
    <row r="149" spans="1:14" ht="15" hidden="1" customHeight="1">
      <c r="A149" s="244"/>
      <c r="B149" s="244"/>
      <c r="C149" s="244"/>
      <c r="D149" s="244"/>
      <c r="E149" s="244"/>
      <c r="F149" s="56">
        <v>9544</v>
      </c>
      <c r="G149" s="118">
        <v>0.5</v>
      </c>
      <c r="H149" s="86"/>
      <c r="I149" s="63">
        <f>J81</f>
        <v>0</v>
      </c>
      <c r="J149" s="56" t="e">
        <f t="shared" si="6"/>
        <v>#DIV/0!</v>
      </c>
      <c r="K149" s="56">
        <f t="shared" si="7"/>
        <v>74557.728000000003</v>
      </c>
      <c r="L149" s="87"/>
      <c r="M149" s="17" t="e">
        <f t="shared" si="8"/>
        <v>#DIV/0!</v>
      </c>
      <c r="N149" s="13"/>
    </row>
    <row r="150" spans="1:14" ht="15" hidden="1" thickBot="1">
      <c r="A150" s="244"/>
      <c r="B150" s="244"/>
      <c r="C150" s="244"/>
      <c r="D150" s="244"/>
      <c r="E150" s="244"/>
      <c r="F150" s="56">
        <v>9544</v>
      </c>
      <c r="G150" s="116">
        <v>1</v>
      </c>
      <c r="H150" s="86"/>
      <c r="I150" s="63">
        <f>J81</f>
        <v>0</v>
      </c>
      <c r="J150" s="56" t="e">
        <f t="shared" si="6"/>
        <v>#DIV/0!</v>
      </c>
      <c r="K150" s="56">
        <f t="shared" si="7"/>
        <v>149115.45600000001</v>
      </c>
      <c r="L150" s="87"/>
      <c r="M150" s="17" t="e">
        <f t="shared" si="8"/>
        <v>#DIV/0!</v>
      </c>
      <c r="N150" s="13"/>
    </row>
    <row r="151" spans="1:14" ht="15.75" hidden="1" customHeight="1">
      <c r="A151" s="244"/>
      <c r="B151" s="244"/>
      <c r="C151" s="244"/>
      <c r="D151" s="244"/>
      <c r="E151" s="244"/>
      <c r="F151" s="56">
        <v>9544</v>
      </c>
      <c r="G151" s="116">
        <v>4</v>
      </c>
      <c r="H151" s="86"/>
      <c r="I151" s="63">
        <f>J81</f>
        <v>0</v>
      </c>
      <c r="J151" s="56" t="e">
        <f t="shared" si="6"/>
        <v>#DIV/0!</v>
      </c>
      <c r="K151" s="56">
        <f t="shared" si="7"/>
        <v>596461.82400000002</v>
      </c>
      <c r="L151" s="87"/>
      <c r="M151" s="17" t="e">
        <f t="shared" si="8"/>
        <v>#DIV/0!</v>
      </c>
      <c r="N151" s="13"/>
    </row>
    <row r="152" spans="1:14" ht="16.5" hidden="1" customHeight="1">
      <c r="A152" s="217"/>
      <c r="B152" s="218"/>
      <c r="C152" s="218"/>
      <c r="D152" s="218"/>
      <c r="E152" s="219"/>
      <c r="F152" s="56">
        <v>9544</v>
      </c>
      <c r="G152" s="116">
        <v>1</v>
      </c>
      <c r="H152" s="86"/>
      <c r="I152" s="63">
        <f>J81</f>
        <v>0</v>
      </c>
      <c r="J152" s="56" t="e">
        <f t="shared" si="6"/>
        <v>#DIV/0!</v>
      </c>
      <c r="K152" s="56">
        <f t="shared" si="7"/>
        <v>149115.45600000001</v>
      </c>
      <c r="L152" s="87"/>
      <c r="M152" s="17" t="e">
        <f t="shared" si="8"/>
        <v>#DIV/0!</v>
      </c>
      <c r="N152" s="13"/>
    </row>
    <row r="153" spans="1:14" ht="16.5" hidden="1" customHeight="1">
      <c r="A153" s="217"/>
      <c r="B153" s="218"/>
      <c r="C153" s="218"/>
      <c r="D153" s="218"/>
      <c r="E153" s="219"/>
      <c r="F153" s="56">
        <v>9544</v>
      </c>
      <c r="G153" s="119">
        <v>1.75</v>
      </c>
      <c r="H153" s="86"/>
      <c r="I153" s="63">
        <f>J81</f>
        <v>0</v>
      </c>
      <c r="J153" s="56" t="e">
        <f t="shared" si="6"/>
        <v>#DIV/0!</v>
      </c>
      <c r="K153" s="56">
        <f t="shared" si="7"/>
        <v>260952.04800000001</v>
      </c>
      <c r="L153" s="87"/>
      <c r="M153" s="17" t="e">
        <f t="shared" si="8"/>
        <v>#DIV/0!</v>
      </c>
      <c r="N153" s="13"/>
    </row>
    <row r="154" spans="1:14" ht="16.5" hidden="1" customHeight="1">
      <c r="A154" s="217"/>
      <c r="B154" s="218"/>
      <c r="C154" s="218"/>
      <c r="D154" s="218"/>
      <c r="E154" s="219"/>
      <c r="F154" s="56">
        <v>9544</v>
      </c>
      <c r="G154" s="63"/>
      <c r="H154" s="86"/>
      <c r="I154" s="63">
        <f>J81</f>
        <v>0</v>
      </c>
      <c r="J154" s="56" t="e">
        <f t="shared" si="6"/>
        <v>#DIV/0!</v>
      </c>
      <c r="K154" s="56">
        <f t="shared" si="7"/>
        <v>0</v>
      </c>
      <c r="L154" s="87"/>
      <c r="M154" s="17" t="e">
        <f t="shared" si="8"/>
        <v>#DIV/0!</v>
      </c>
      <c r="N154" s="13"/>
    </row>
    <row r="155" spans="1:14" ht="16.5" hidden="1" customHeight="1">
      <c r="A155" s="217"/>
      <c r="B155" s="218"/>
      <c r="C155" s="218"/>
      <c r="D155" s="218"/>
      <c r="E155" s="219"/>
      <c r="F155" s="56">
        <v>9544</v>
      </c>
      <c r="G155" s="118">
        <v>0.5</v>
      </c>
      <c r="H155" s="86"/>
      <c r="I155" s="63">
        <f>J81</f>
        <v>0</v>
      </c>
      <c r="J155" s="56" t="e">
        <f t="shared" si="6"/>
        <v>#DIV/0!</v>
      </c>
      <c r="K155" s="56">
        <f t="shared" si="7"/>
        <v>74557.728000000003</v>
      </c>
      <c r="L155" s="87"/>
      <c r="M155" s="17" t="e">
        <f t="shared" si="8"/>
        <v>#DIV/0!</v>
      </c>
      <c r="N155" s="13"/>
    </row>
    <row r="156" spans="1:14" ht="15" hidden="1" customHeight="1">
      <c r="A156" s="217"/>
      <c r="B156" s="218"/>
      <c r="C156" s="218"/>
      <c r="D156" s="218"/>
      <c r="E156" s="219"/>
      <c r="F156" s="56"/>
      <c r="G156" s="56"/>
      <c r="H156" s="56"/>
      <c r="I156" s="56"/>
      <c r="J156" s="56"/>
      <c r="K156" s="56"/>
      <c r="L156" s="87"/>
      <c r="M156" s="17">
        <f t="shared" si="8"/>
        <v>0</v>
      </c>
      <c r="N156" s="13"/>
    </row>
    <row r="157" spans="1:14" ht="15.75" hidden="1" customHeight="1">
      <c r="A157" s="217"/>
      <c r="B157" s="218"/>
      <c r="C157" s="218"/>
      <c r="D157" s="218"/>
      <c r="E157" s="219"/>
      <c r="F157" s="56"/>
      <c r="G157" s="56"/>
      <c r="H157" s="56"/>
      <c r="I157" s="56"/>
      <c r="J157" s="56"/>
      <c r="K157" s="56"/>
      <c r="L157" s="87"/>
      <c r="M157" s="17">
        <f t="shared" si="8"/>
        <v>0</v>
      </c>
      <c r="N157" s="13"/>
    </row>
    <row r="158" spans="1:14" ht="14.25" hidden="1" customHeight="1">
      <c r="A158" s="217"/>
      <c r="B158" s="218"/>
      <c r="C158" s="218"/>
      <c r="D158" s="218"/>
      <c r="E158" s="219"/>
      <c r="F158" s="56"/>
      <c r="G158" s="56"/>
      <c r="H158" s="56"/>
      <c r="I158" s="56"/>
      <c r="J158" s="86">
        <v>105</v>
      </c>
      <c r="K158" s="88">
        <f>I158/J158</f>
        <v>0</v>
      </c>
      <c r="L158" s="87"/>
      <c r="M158" s="44">
        <f t="shared" si="8"/>
        <v>0</v>
      </c>
      <c r="N158" s="13"/>
    </row>
    <row r="159" spans="1:14" ht="15" thickBot="1">
      <c r="A159" s="220" t="s">
        <v>81</v>
      </c>
      <c r="B159" s="220"/>
      <c r="C159" s="220"/>
      <c r="D159" s="220"/>
      <c r="E159" s="220"/>
      <c r="F159" s="120"/>
      <c r="G159" s="171"/>
      <c r="H159" s="171"/>
      <c r="I159" s="146">
        <f>I133</f>
        <v>197269.88999999998</v>
      </c>
      <c r="J159" s="89"/>
      <c r="K159" s="208">
        <f>K133</f>
        <v>3460.8752631578946</v>
      </c>
      <c r="L159" s="87"/>
      <c r="M159" s="24"/>
      <c r="N159" s="13"/>
    </row>
    <row r="160" spans="1:14" ht="24.75" customHeight="1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11"/>
      <c r="N160" s="11"/>
    </row>
    <row r="161" spans="1:14" hidden="1">
      <c r="A161" s="221" t="s">
        <v>38</v>
      </c>
      <c r="B161" s="221"/>
      <c r="C161" s="221"/>
      <c r="D161" s="221"/>
      <c r="E161" s="221"/>
      <c r="F161" s="221"/>
      <c r="G161" s="221"/>
      <c r="H161" s="221"/>
      <c r="I161" s="221"/>
      <c r="J161" s="221"/>
      <c r="K161" s="221"/>
      <c r="L161" s="221"/>
      <c r="M161" s="221"/>
      <c r="N161" s="11"/>
    </row>
    <row r="162" spans="1:14" hidden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</row>
    <row r="163" spans="1:14" ht="42" hidden="1">
      <c r="A163" s="222" t="s">
        <v>39</v>
      </c>
      <c r="B163" s="222"/>
      <c r="C163" s="222"/>
      <c r="D163" s="222"/>
      <c r="E163" s="222"/>
      <c r="F163" s="9" t="s">
        <v>7</v>
      </c>
      <c r="G163" s="9" t="s">
        <v>18</v>
      </c>
      <c r="H163" s="9" t="s">
        <v>19</v>
      </c>
      <c r="I163" s="9" t="s">
        <v>20</v>
      </c>
      <c r="J163" s="9"/>
      <c r="K163" s="9" t="s">
        <v>21</v>
      </c>
      <c r="L163" s="9" t="s">
        <v>22</v>
      </c>
      <c r="M163" s="9" t="s">
        <v>82</v>
      </c>
      <c r="N163" s="11"/>
    </row>
    <row r="164" spans="1:14" hidden="1">
      <c r="A164" s="231" t="s">
        <v>40</v>
      </c>
      <c r="B164" s="231"/>
      <c r="C164" s="231"/>
      <c r="D164" s="231"/>
      <c r="E164" s="231"/>
      <c r="F164" s="12" t="s">
        <v>43</v>
      </c>
      <c r="G164" s="12">
        <v>0</v>
      </c>
      <c r="H164" s="54">
        <f>M86</f>
        <v>0</v>
      </c>
      <c r="I164" s="45">
        <f>J55</f>
        <v>0</v>
      </c>
      <c r="J164" s="45"/>
      <c r="K164" s="12"/>
      <c r="L164" s="12"/>
      <c r="M164" s="12"/>
      <c r="N164" s="11"/>
    </row>
    <row r="165" spans="1:14" hidden="1">
      <c r="A165" s="231" t="s">
        <v>41</v>
      </c>
      <c r="B165" s="231"/>
      <c r="C165" s="231"/>
      <c r="D165" s="231"/>
      <c r="E165" s="231"/>
      <c r="F165" s="12" t="s">
        <v>44</v>
      </c>
      <c r="G165" s="12">
        <v>0</v>
      </c>
      <c r="H165" s="54">
        <f>M86</f>
        <v>0</v>
      </c>
      <c r="I165" s="45">
        <f>J55</f>
        <v>0</v>
      </c>
      <c r="J165" s="45"/>
      <c r="K165" s="12"/>
      <c r="L165" s="12"/>
      <c r="M165" s="12"/>
      <c r="N165" s="11"/>
    </row>
    <row r="166" spans="1:14" hidden="1">
      <c r="A166" s="231" t="s">
        <v>42</v>
      </c>
      <c r="B166" s="231"/>
      <c r="C166" s="231"/>
      <c r="D166" s="231"/>
      <c r="E166" s="231"/>
      <c r="F166" s="12" t="s">
        <v>44</v>
      </c>
      <c r="G166" s="12">
        <v>0</v>
      </c>
      <c r="H166" s="54">
        <f>M86</f>
        <v>0</v>
      </c>
      <c r="I166" s="45">
        <f>J55</f>
        <v>0</v>
      </c>
      <c r="J166" s="45"/>
      <c r="K166" s="12"/>
      <c r="L166" s="12"/>
      <c r="M166" s="12"/>
      <c r="N166" s="11"/>
    </row>
    <row r="167" spans="1:14" hidden="1">
      <c r="A167" s="232" t="s">
        <v>45</v>
      </c>
      <c r="B167" s="233"/>
      <c r="C167" s="233"/>
      <c r="D167" s="233"/>
      <c r="E167" s="233"/>
      <c r="F167" s="233"/>
      <c r="G167" s="233"/>
      <c r="H167" s="233"/>
      <c r="I167" s="233"/>
      <c r="J167" s="233"/>
      <c r="K167" s="233"/>
      <c r="L167" s="234"/>
      <c r="M167" s="58">
        <f>M164+M165+M166</f>
        <v>0</v>
      </c>
      <c r="N167" s="11"/>
    </row>
    <row r="168" spans="1:14" hidden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1"/>
    </row>
    <row r="169" spans="1:14" hidden="1">
      <c r="A169" s="223" t="s">
        <v>93</v>
      </c>
      <c r="B169" s="224"/>
      <c r="C169" s="224"/>
      <c r="D169" s="224"/>
      <c r="E169" s="224"/>
      <c r="F169" s="224"/>
      <c r="G169" s="224"/>
      <c r="H169" s="224"/>
      <c r="I169" s="224"/>
      <c r="J169" s="224"/>
      <c r="K169" s="224"/>
      <c r="L169" s="224"/>
      <c r="M169" s="11"/>
      <c r="N169" s="11"/>
    </row>
    <row r="170" spans="1:14" hidden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</row>
    <row r="171" spans="1:14" ht="55.8" hidden="1">
      <c r="A171" s="214" t="s">
        <v>66</v>
      </c>
      <c r="B171" s="215"/>
      <c r="C171" s="215"/>
      <c r="D171" s="215"/>
      <c r="E171" s="216"/>
      <c r="F171" s="9" t="s">
        <v>7</v>
      </c>
      <c r="G171" s="9" t="s">
        <v>18</v>
      </c>
      <c r="H171" s="37" t="s">
        <v>22</v>
      </c>
      <c r="I171" s="9" t="s">
        <v>82</v>
      </c>
      <c r="J171" s="37" t="s">
        <v>78</v>
      </c>
      <c r="K171" s="37" t="s">
        <v>73</v>
      </c>
      <c r="L171" s="11"/>
      <c r="M171" s="11"/>
      <c r="N171" s="11"/>
    </row>
    <row r="172" spans="1:14" hidden="1">
      <c r="A172" s="225">
        <v>1</v>
      </c>
      <c r="B172" s="226"/>
      <c r="C172" s="226"/>
      <c r="D172" s="226"/>
      <c r="E172" s="227"/>
      <c r="F172" s="37">
        <v>2</v>
      </c>
      <c r="G172" s="37">
        <v>3</v>
      </c>
      <c r="H172" s="37">
        <v>4</v>
      </c>
      <c r="I172" s="37">
        <v>5</v>
      </c>
      <c r="J172" s="38">
        <v>6</v>
      </c>
      <c r="K172" s="54">
        <v>7</v>
      </c>
      <c r="L172" s="11"/>
      <c r="M172" s="11"/>
      <c r="N172" s="11"/>
    </row>
    <row r="173" spans="1:14" hidden="1">
      <c r="A173" s="228" t="s">
        <v>95</v>
      </c>
      <c r="B173" s="229"/>
      <c r="C173" s="229"/>
      <c r="D173" s="229"/>
      <c r="E173" s="230"/>
      <c r="F173" s="17"/>
      <c r="G173" s="18"/>
      <c r="H173" s="17"/>
      <c r="I173" s="17"/>
      <c r="J173" s="18">
        <v>30</v>
      </c>
      <c r="K173" s="10">
        <f>I173/J173</f>
        <v>0</v>
      </c>
      <c r="L173" s="11"/>
      <c r="M173" s="11"/>
      <c r="N173" s="11"/>
    </row>
    <row r="174" spans="1:14" ht="15" hidden="1" thickBot="1">
      <c r="A174" s="69" t="s">
        <v>94</v>
      </c>
      <c r="B174" s="70"/>
      <c r="C174" s="70"/>
      <c r="D174" s="70"/>
      <c r="E174" s="70"/>
      <c r="F174" s="70"/>
      <c r="G174" s="70"/>
      <c r="H174" s="70"/>
      <c r="I174" s="59">
        <f>I173</f>
        <v>0</v>
      </c>
      <c r="J174" s="60"/>
      <c r="K174" s="61">
        <f>K173</f>
        <v>0</v>
      </c>
      <c r="L174" s="11"/>
      <c r="M174" s="11"/>
      <c r="N174" s="11"/>
    </row>
    <row r="175" spans="1:14" hidden="1">
      <c r="A175" s="213" t="s">
        <v>65</v>
      </c>
      <c r="B175" s="213"/>
      <c r="C175" s="213"/>
      <c r="D175" s="213"/>
      <c r="E175" s="213"/>
      <c r="F175" s="213"/>
      <c r="G175" s="213"/>
      <c r="H175" s="213"/>
      <c r="I175" s="213"/>
      <c r="J175" s="213"/>
      <c r="K175" s="213"/>
      <c r="L175" s="213"/>
      <c r="M175" s="213"/>
      <c r="N175" s="11"/>
    </row>
    <row r="176" spans="1:14" hidden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</row>
    <row r="177" spans="1:14" hidden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idden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idden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 ht="55.8" hidden="1">
      <c r="A180" s="214" t="s">
        <v>66</v>
      </c>
      <c r="B180" s="215"/>
      <c r="C180" s="215"/>
      <c r="D180" s="215"/>
      <c r="E180" s="216"/>
      <c r="F180" s="9" t="s">
        <v>7</v>
      </c>
      <c r="G180" s="9" t="s">
        <v>18</v>
      </c>
      <c r="H180" s="37" t="s">
        <v>22</v>
      </c>
      <c r="I180" s="9" t="s">
        <v>82</v>
      </c>
      <c r="J180" s="9" t="s">
        <v>105</v>
      </c>
      <c r="K180" s="9" t="s">
        <v>106</v>
      </c>
      <c r="L180" s="11"/>
      <c r="M180" s="11"/>
      <c r="N180" s="11"/>
    </row>
    <row r="181" spans="1:14" hidden="1">
      <c r="A181" s="225">
        <v>1</v>
      </c>
      <c r="B181" s="226"/>
      <c r="C181" s="226"/>
      <c r="D181" s="226"/>
      <c r="E181" s="227"/>
      <c r="F181" s="37">
        <v>2</v>
      </c>
      <c r="G181" s="37">
        <v>3</v>
      </c>
      <c r="H181" s="37">
        <v>4</v>
      </c>
      <c r="I181" s="37">
        <v>5</v>
      </c>
      <c r="J181" s="38">
        <v>6</v>
      </c>
      <c r="K181" s="54">
        <v>7</v>
      </c>
      <c r="L181" s="11"/>
      <c r="M181" s="62"/>
      <c r="N181" s="11"/>
    </row>
    <row r="182" spans="1:14" hidden="1">
      <c r="A182" s="228" t="s">
        <v>68</v>
      </c>
      <c r="B182" s="229"/>
      <c r="C182" s="229"/>
      <c r="D182" s="229"/>
      <c r="E182" s="230"/>
      <c r="F182" s="17" t="s">
        <v>31</v>
      </c>
      <c r="G182" s="18">
        <v>0</v>
      </c>
      <c r="H182" s="17"/>
      <c r="I182" s="17">
        <f>J55</f>
        <v>0</v>
      </c>
      <c r="J182" s="24"/>
      <c r="K182" s="11"/>
      <c r="L182" s="11"/>
      <c r="M182" s="46">
        <f>J182*H182</f>
        <v>0</v>
      </c>
      <c r="N182" s="11"/>
    </row>
    <row r="183" spans="1:14" hidden="1">
      <c r="A183" s="228" t="s">
        <v>69</v>
      </c>
      <c r="B183" s="229"/>
      <c r="C183" s="229"/>
      <c r="D183" s="229"/>
      <c r="E183" s="230"/>
      <c r="F183" s="17" t="s">
        <v>31</v>
      </c>
      <c r="G183" s="18">
        <v>0</v>
      </c>
      <c r="H183" s="17"/>
      <c r="I183" s="17">
        <f>J55</f>
        <v>0</v>
      </c>
      <c r="J183" s="24"/>
      <c r="K183" s="11"/>
      <c r="L183" s="11"/>
      <c r="M183" s="17"/>
      <c r="N183" s="11"/>
    </row>
    <row r="184" spans="1:14" hidden="1">
      <c r="A184" s="228" t="s">
        <v>70</v>
      </c>
      <c r="B184" s="229"/>
      <c r="C184" s="229"/>
      <c r="D184" s="229"/>
      <c r="E184" s="230"/>
      <c r="F184" s="17" t="s">
        <v>91</v>
      </c>
      <c r="G184" s="63"/>
      <c r="H184" s="17"/>
      <c r="I184" s="43"/>
      <c r="J184" s="86">
        <v>3260</v>
      </c>
      <c r="K184" s="64">
        <f>I184/J184</f>
        <v>0</v>
      </c>
      <c r="L184" s="11"/>
      <c r="M184" s="11"/>
      <c r="N184" s="11"/>
    </row>
    <row r="185" spans="1:14" ht="15" hidden="1" thickBot="1">
      <c r="A185" s="69" t="s">
        <v>67</v>
      </c>
      <c r="B185" s="70"/>
      <c r="C185" s="70"/>
      <c r="D185" s="70"/>
      <c r="E185" s="70"/>
      <c r="F185" s="70"/>
      <c r="G185" s="70"/>
      <c r="H185" s="70"/>
      <c r="I185" s="59">
        <f>I184</f>
        <v>0</v>
      </c>
      <c r="J185" s="57"/>
      <c r="K185" s="48">
        <f>K184</f>
        <v>0</v>
      </c>
      <c r="L185" s="11"/>
      <c r="M185" s="11"/>
      <c r="N185" s="11"/>
    </row>
    <row r="186" spans="1:14">
      <c r="A186" s="76"/>
      <c r="B186" s="76"/>
      <c r="C186" s="76"/>
      <c r="D186" s="76"/>
      <c r="E186" s="76"/>
      <c r="F186" s="76"/>
      <c r="G186" s="76"/>
      <c r="H186" s="76"/>
      <c r="I186" s="52"/>
      <c r="J186" s="78"/>
      <c r="K186" s="53"/>
      <c r="L186" s="11"/>
      <c r="M186" s="11"/>
      <c r="N186" s="11"/>
    </row>
    <row r="187" spans="1:14">
      <c r="A187" s="11"/>
      <c r="B187" s="11"/>
      <c r="C187" s="11"/>
      <c r="D187" s="11"/>
      <c r="E187" s="11"/>
      <c r="F187" s="11"/>
      <c r="G187" s="11"/>
      <c r="H187" s="11"/>
      <c r="I187" s="13"/>
      <c r="J187" s="13"/>
      <c r="K187" s="13"/>
      <c r="L187" s="11"/>
      <c r="M187" s="11"/>
      <c r="N187" s="11"/>
    </row>
    <row r="188" spans="1:14">
      <c r="A188" s="238" t="s">
        <v>101</v>
      </c>
      <c r="B188" s="238"/>
      <c r="C188" s="238"/>
      <c r="D188" s="238"/>
      <c r="E188" s="238"/>
      <c r="F188" s="238"/>
      <c r="G188" s="238"/>
      <c r="H188" s="238"/>
      <c r="I188" s="238"/>
      <c r="J188" s="238"/>
      <c r="K188" s="238"/>
      <c r="L188" s="238"/>
      <c r="M188" s="11"/>
      <c r="N188" s="11"/>
    </row>
    <row r="189" spans="1:14" ht="55.8">
      <c r="A189" s="214" t="s">
        <v>102</v>
      </c>
      <c r="B189" s="215"/>
      <c r="C189" s="215"/>
      <c r="D189" s="215"/>
      <c r="E189" s="216"/>
      <c r="F189" s="170" t="s">
        <v>7</v>
      </c>
      <c r="G189" s="170" t="s">
        <v>90</v>
      </c>
      <c r="H189" s="170" t="s">
        <v>71</v>
      </c>
      <c r="I189" s="170" t="s">
        <v>82</v>
      </c>
      <c r="J189" s="9" t="s">
        <v>105</v>
      </c>
      <c r="K189" s="9" t="s">
        <v>135</v>
      </c>
      <c r="L189" s="73"/>
      <c r="M189" s="11"/>
      <c r="N189" s="11"/>
    </row>
    <row r="190" spans="1:14" ht="20.25" customHeight="1">
      <c r="A190" s="244" t="s">
        <v>179</v>
      </c>
      <c r="B190" s="244"/>
      <c r="C190" s="244"/>
      <c r="D190" s="244"/>
      <c r="E190" s="244"/>
      <c r="F190" s="77"/>
      <c r="G190" s="115">
        <v>70</v>
      </c>
      <c r="H190" s="150">
        <v>150</v>
      </c>
      <c r="I190" s="82">
        <f>10500*5.6%</f>
        <v>587.99999999999989</v>
      </c>
      <c r="J190" s="86">
        <v>57</v>
      </c>
      <c r="K190" s="109">
        <f>I190/J190</f>
        <v>10.315789473684209</v>
      </c>
      <c r="L190" s="74"/>
      <c r="M190" s="11"/>
      <c r="N190" s="11"/>
    </row>
    <row r="191" spans="1:14" hidden="1">
      <c r="A191" s="239" t="s">
        <v>94</v>
      </c>
      <c r="B191" s="240"/>
      <c r="C191" s="240"/>
      <c r="D191" s="240"/>
      <c r="E191" s="240"/>
      <c r="F191" s="240"/>
      <c r="G191" s="240"/>
      <c r="H191" s="240"/>
      <c r="I191" s="75">
        <f>SUM(I190:I190)</f>
        <v>587.99999999999989</v>
      </c>
      <c r="J191" s="86">
        <v>57</v>
      </c>
      <c r="K191" s="75">
        <f>SUM(K190:K190)</f>
        <v>10.315789473684209</v>
      </c>
      <c r="L191" s="74"/>
      <c r="M191" s="11"/>
      <c r="N191" s="11"/>
    </row>
    <row r="192" spans="1:14">
      <c r="A192" s="250" t="s">
        <v>180</v>
      </c>
      <c r="B192" s="253"/>
      <c r="C192" s="253"/>
      <c r="D192" s="253"/>
      <c r="E192" s="254"/>
      <c r="F192" s="10"/>
      <c r="G192" s="10"/>
      <c r="H192" s="10"/>
      <c r="I192" s="85">
        <f>1440*5.6%</f>
        <v>80.639999999999986</v>
      </c>
      <c r="J192" s="86">
        <v>57</v>
      </c>
      <c r="K192" s="109">
        <f>I192/J192</f>
        <v>1.4147368421052628</v>
      </c>
      <c r="L192" s="11"/>
      <c r="M192" s="11"/>
      <c r="N192" s="11"/>
    </row>
    <row r="193" spans="1:14" ht="15" thickBot="1">
      <c r="A193" s="241" t="s">
        <v>94</v>
      </c>
      <c r="B193" s="241"/>
      <c r="C193" s="241"/>
      <c r="D193" s="241"/>
      <c r="E193" s="241"/>
      <c r="F193" s="242"/>
      <c r="G193" s="242"/>
      <c r="H193" s="243"/>
      <c r="I193" s="176">
        <f>I190+I192</f>
        <v>668.63999999999987</v>
      </c>
      <c r="J193" s="177"/>
      <c r="K193" s="207">
        <f>K190+K192</f>
        <v>11.730526315789472</v>
      </c>
      <c r="L193" s="11"/>
      <c r="M193" s="11"/>
      <c r="N193" s="90">
        <f>I193/88.1%</f>
        <v>758.95573212258796</v>
      </c>
    </row>
    <row r="194" spans="1:14">
      <c r="A194" s="182"/>
      <c r="B194" s="182"/>
      <c r="C194" s="182"/>
      <c r="D194" s="182"/>
      <c r="E194" s="182"/>
      <c r="F194" s="182"/>
      <c r="G194" s="182"/>
      <c r="H194" s="182"/>
      <c r="I194" s="183"/>
      <c r="J194" s="184"/>
      <c r="K194" s="185"/>
      <c r="L194" s="11"/>
      <c r="M194" s="11"/>
      <c r="N194" s="11"/>
    </row>
    <row r="195" spans="1:14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1"/>
    </row>
    <row r="196" spans="1:14">
      <c r="A196" s="245" t="s">
        <v>136</v>
      </c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38"/>
      <c r="M196" s="11"/>
      <c r="N196" s="13"/>
    </row>
    <row r="197" spans="1:14" ht="55.8">
      <c r="A197" s="222" t="s">
        <v>134</v>
      </c>
      <c r="B197" s="222"/>
      <c r="C197" s="222"/>
      <c r="D197" s="222"/>
      <c r="E197" s="222"/>
      <c r="F197" s="111" t="s">
        <v>7</v>
      </c>
      <c r="G197" s="111" t="s">
        <v>90</v>
      </c>
      <c r="H197" s="111" t="s">
        <v>71</v>
      </c>
      <c r="I197" s="111" t="s">
        <v>82</v>
      </c>
      <c r="J197" s="9" t="s">
        <v>105</v>
      </c>
      <c r="K197" s="9" t="s">
        <v>135</v>
      </c>
      <c r="L197" s="73"/>
      <c r="M197" s="11"/>
      <c r="N197" s="13"/>
    </row>
    <row r="198" spans="1:14" ht="28.5" customHeight="1">
      <c r="A198" s="317" t="s">
        <v>140</v>
      </c>
      <c r="B198" s="318"/>
      <c r="C198" s="318"/>
      <c r="D198" s="318"/>
      <c r="E198" s="319"/>
      <c r="F198" s="123" t="s">
        <v>44</v>
      </c>
      <c r="G198" s="149"/>
      <c r="H198" s="149"/>
      <c r="I198" s="187">
        <f>114219.25</f>
        <v>114219.25</v>
      </c>
      <c r="J198" s="86">
        <v>57</v>
      </c>
      <c r="K198" s="109">
        <f>I198/J198</f>
        <v>2003.8464912280701</v>
      </c>
      <c r="L198" s="73"/>
      <c r="M198" s="11"/>
      <c r="N198" s="13"/>
    </row>
    <row r="199" spans="1:14" ht="21" customHeight="1">
      <c r="A199" s="300" t="s">
        <v>187</v>
      </c>
      <c r="B199" s="321"/>
      <c r="C199" s="321"/>
      <c r="D199" s="321"/>
      <c r="E199" s="322"/>
      <c r="F199" s="123" t="s">
        <v>44</v>
      </c>
      <c r="G199" s="149"/>
      <c r="H199" s="149"/>
      <c r="I199" s="187">
        <v>727290</v>
      </c>
      <c r="J199" s="86">
        <v>57</v>
      </c>
      <c r="K199" s="109">
        <f>I199/J199</f>
        <v>12759.473684210527</v>
      </c>
      <c r="L199" s="73"/>
      <c r="M199" s="11"/>
      <c r="N199" s="13"/>
    </row>
    <row r="200" spans="1:14" ht="28.5" customHeight="1">
      <c r="A200" s="317" t="s">
        <v>168</v>
      </c>
      <c r="B200" s="318"/>
      <c r="C200" s="318"/>
      <c r="D200" s="318"/>
      <c r="E200" s="319"/>
      <c r="F200" s="123" t="s">
        <v>44</v>
      </c>
      <c r="G200" s="149"/>
      <c r="H200" s="149"/>
      <c r="I200" s="186">
        <v>161620</v>
      </c>
      <c r="J200" s="86">
        <v>57</v>
      </c>
      <c r="K200" s="109">
        <f>I200/J200</f>
        <v>2835.4385964912281</v>
      </c>
      <c r="L200" s="73"/>
      <c r="M200" s="11"/>
      <c r="N200" s="13"/>
    </row>
    <row r="201" spans="1:14" ht="22.5" customHeight="1" thickBot="1">
      <c r="A201" s="317" t="s">
        <v>169</v>
      </c>
      <c r="B201" s="318"/>
      <c r="C201" s="318"/>
      <c r="D201" s="318"/>
      <c r="E201" s="319"/>
      <c r="F201" s="123" t="s">
        <v>44</v>
      </c>
      <c r="G201" s="115"/>
      <c r="H201" s="150"/>
      <c r="I201" s="186">
        <v>13750</v>
      </c>
      <c r="J201" s="86">
        <v>57</v>
      </c>
      <c r="K201" s="109">
        <f>I201/J201</f>
        <v>241.2280701754386</v>
      </c>
      <c r="L201" s="74"/>
      <c r="M201" s="11"/>
      <c r="N201" s="13"/>
    </row>
    <row r="202" spans="1:14" ht="15" thickBot="1">
      <c r="A202" s="264"/>
      <c r="B202" s="265"/>
      <c r="C202" s="265"/>
      <c r="D202" s="265"/>
      <c r="E202" s="265"/>
      <c r="F202" s="265"/>
      <c r="G202" s="265"/>
      <c r="H202" s="323"/>
      <c r="I202" s="151">
        <f>I198+I199+I201+I200</f>
        <v>1016879.25</v>
      </c>
      <c r="J202" s="152"/>
      <c r="K202" s="208">
        <f>K198+K199+K201+K200</f>
        <v>17839.986842105263</v>
      </c>
      <c r="L202" s="26"/>
      <c r="M202" s="11"/>
      <c r="N202" s="13"/>
    </row>
    <row r="203" spans="1:14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3"/>
    </row>
    <row r="204" spans="1:14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</row>
    <row r="205" spans="1:14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  <c r="N205" s="11"/>
    </row>
    <row r="206" spans="1:14">
      <c r="A206" s="221" t="s">
        <v>46</v>
      </c>
      <c r="B206" s="221"/>
      <c r="C206" s="221"/>
      <c r="D206" s="221"/>
      <c r="E206" s="221"/>
      <c r="F206" s="221"/>
      <c r="G206" s="221"/>
      <c r="H206" s="221"/>
      <c r="I206" s="221"/>
      <c r="J206" s="221"/>
      <c r="K206" s="221"/>
      <c r="L206" s="221"/>
      <c r="M206" s="221"/>
      <c r="N206" s="11"/>
    </row>
    <row r="207" spans="1:14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</row>
    <row r="208" spans="1:14" ht="47.25" customHeight="1">
      <c r="A208" s="237" t="s">
        <v>47</v>
      </c>
      <c r="B208" s="237"/>
      <c r="C208" s="237"/>
      <c r="D208" s="214" t="s">
        <v>48</v>
      </c>
      <c r="E208" s="215"/>
      <c r="F208" s="215"/>
      <c r="G208" s="215"/>
      <c r="H208" s="215"/>
      <c r="I208" s="215"/>
      <c r="J208" s="215"/>
      <c r="K208" s="216"/>
      <c r="L208" s="237" t="s">
        <v>58</v>
      </c>
      <c r="M208" s="237"/>
      <c r="N208" s="11"/>
    </row>
    <row r="209" spans="1:14" ht="28.2">
      <c r="A209" s="10" t="s">
        <v>49</v>
      </c>
      <c r="B209" s="9" t="s">
        <v>50</v>
      </c>
      <c r="C209" s="10" t="s">
        <v>51</v>
      </c>
      <c r="D209" s="10" t="s">
        <v>52</v>
      </c>
      <c r="E209" s="10" t="s">
        <v>53</v>
      </c>
      <c r="F209" s="10" t="s">
        <v>137</v>
      </c>
      <c r="G209" s="10" t="s">
        <v>54</v>
      </c>
      <c r="H209" s="10" t="s">
        <v>55</v>
      </c>
      <c r="I209" s="10" t="s">
        <v>56</v>
      </c>
      <c r="J209" s="10" t="s">
        <v>96</v>
      </c>
      <c r="K209" s="10" t="s">
        <v>57</v>
      </c>
      <c r="L209" s="237"/>
      <c r="M209" s="237"/>
      <c r="N209" s="11"/>
    </row>
    <row r="210" spans="1:14">
      <c r="A210" s="17">
        <f>K55</f>
        <v>5293.1036842105259</v>
      </c>
      <c r="B210" s="17"/>
      <c r="C210" s="17"/>
      <c r="D210" s="17">
        <f>K95</f>
        <v>417.83859649122809</v>
      </c>
      <c r="E210" s="17">
        <f>K106</f>
        <v>71.500603508771917</v>
      </c>
      <c r="F210" s="17">
        <f>K202</f>
        <v>17839.986842105263</v>
      </c>
      <c r="G210" s="17">
        <f>L125</f>
        <v>59.814484210526309</v>
      </c>
      <c r="H210" s="17">
        <f>K185</f>
        <v>0</v>
      </c>
      <c r="I210" s="17">
        <f>K159</f>
        <v>3460.8752631578946</v>
      </c>
      <c r="J210" s="17">
        <f>K193</f>
        <v>11.730526315789472</v>
      </c>
      <c r="K210" s="20">
        <f>J119</f>
        <v>82.526315789473671</v>
      </c>
      <c r="L210" s="235">
        <f>SUM(A210:K210)</f>
        <v>27237.376315789472</v>
      </c>
      <c r="M210" s="236"/>
      <c r="N210" s="13"/>
    </row>
    <row r="211" spans="1:14" ht="15" thickBo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</row>
    <row r="212" spans="1:14" ht="15" thickBo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N212" s="148">
        <f>L210*57</f>
        <v>1552530.45</v>
      </c>
    </row>
    <row r="213" spans="1:14" ht="15" thickBot="1">
      <c r="A213" s="14" t="s">
        <v>107</v>
      </c>
      <c r="B213" s="14"/>
      <c r="C213" s="14"/>
      <c r="D213" s="11"/>
      <c r="E213" s="11"/>
      <c r="F213" s="11"/>
      <c r="G213" s="11"/>
      <c r="H213" s="11"/>
      <c r="I213" s="11"/>
      <c r="J213" s="13"/>
      <c r="K213" s="145">
        <f>I202+I193+I159+J125+H119+I106+I95+I55</f>
        <v>1552530.45</v>
      </c>
      <c r="L213" s="11"/>
      <c r="M213" s="11"/>
      <c r="N213" s="11"/>
    </row>
    <row r="214" spans="1: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3"/>
      <c r="L214" s="11"/>
      <c r="M214" s="11"/>
      <c r="N214" s="11"/>
    </row>
    <row r="215" spans="1:14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65"/>
      <c r="L215" s="11"/>
      <c r="M215" s="11"/>
      <c r="N215" s="11"/>
    </row>
    <row r="216" spans="1:14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  <c r="N216" s="11"/>
    </row>
    <row r="217" spans="1:14" ht="18">
      <c r="A217" s="3" t="s">
        <v>108</v>
      </c>
      <c r="B217" s="3"/>
      <c r="C217" s="3"/>
      <c r="G217" s="3" t="s">
        <v>190</v>
      </c>
      <c r="K217" s="141"/>
    </row>
    <row r="221" spans="1:14" ht="15.6">
      <c r="A221" s="7" t="s">
        <v>72</v>
      </c>
      <c r="B221" s="7"/>
    </row>
    <row r="222" spans="1:14" ht="15.6">
      <c r="A222" s="7" t="s">
        <v>181</v>
      </c>
      <c r="B222" s="7"/>
    </row>
    <row r="223" spans="1:14" ht="15.6">
      <c r="A223" s="7" t="s">
        <v>182</v>
      </c>
      <c r="C223" s="7"/>
    </row>
    <row r="225" spans="1:11">
      <c r="I225" s="11">
        <v>9565200</v>
      </c>
      <c r="K225" s="141">
        <f>I193+I159+J125+H119+I106+I95+I55</f>
        <v>535651.19999999995</v>
      </c>
    </row>
    <row r="227" spans="1:11" ht="15.6">
      <c r="C227" s="7"/>
      <c r="I227">
        <f>I225-K227</f>
        <v>0</v>
      </c>
      <c r="K227">
        <f>K225/5.6%</f>
        <v>9565200</v>
      </c>
    </row>
    <row r="228" spans="1:11" ht="15.6">
      <c r="A228" s="2"/>
      <c r="B228" s="2"/>
      <c r="C228" s="2"/>
    </row>
    <row r="230" spans="1:11">
      <c r="I230" s="141"/>
    </row>
  </sheetData>
  <mergeCells count="198">
    <mergeCell ref="A192:E192"/>
    <mergeCell ref="A6:C6"/>
    <mergeCell ref="E6:G6"/>
    <mergeCell ref="A8:G8"/>
    <mergeCell ref="A9:H9"/>
    <mergeCell ref="A13:M13"/>
    <mergeCell ref="A17:E17"/>
    <mergeCell ref="G17:L17"/>
    <mergeCell ref="A2:D2"/>
    <mergeCell ref="E2:H2"/>
    <mergeCell ref="A3:B3"/>
    <mergeCell ref="E3:F3"/>
    <mergeCell ref="A4:C4"/>
    <mergeCell ref="E4:G4"/>
    <mergeCell ref="I4:L4"/>
    <mergeCell ref="A21:E21"/>
    <mergeCell ref="G21:L21"/>
    <mergeCell ref="A22:E22"/>
    <mergeCell ref="G22:L22"/>
    <mergeCell ref="A23:E23"/>
    <mergeCell ref="G23:L23"/>
    <mergeCell ref="A18:E18"/>
    <mergeCell ref="G18:L18"/>
    <mergeCell ref="A19:E19"/>
    <mergeCell ref="G19:L19"/>
    <mergeCell ref="A20:E20"/>
    <mergeCell ref="G20:L20"/>
    <mergeCell ref="A27:E27"/>
    <mergeCell ref="G27:L27"/>
    <mergeCell ref="A28:E28"/>
    <mergeCell ref="A29:E29"/>
    <mergeCell ref="A30:E30"/>
    <mergeCell ref="G30:L30"/>
    <mergeCell ref="A24:E24"/>
    <mergeCell ref="G24:L24"/>
    <mergeCell ref="A25:E25"/>
    <mergeCell ref="G25:L25"/>
    <mergeCell ref="A26:E26"/>
    <mergeCell ref="G26:L26"/>
    <mergeCell ref="G28:L28"/>
    <mergeCell ref="A34:E34"/>
    <mergeCell ref="G34:L34"/>
    <mergeCell ref="A35:E35"/>
    <mergeCell ref="G35:L35"/>
    <mergeCell ref="A36:E36"/>
    <mergeCell ref="G36:L36"/>
    <mergeCell ref="A31:E31"/>
    <mergeCell ref="G31:L31"/>
    <mergeCell ref="A32:E32"/>
    <mergeCell ref="G32:L32"/>
    <mergeCell ref="A33:E33"/>
    <mergeCell ref="G33:L33"/>
    <mergeCell ref="A40:E40"/>
    <mergeCell ref="G40:L40"/>
    <mergeCell ref="A41:E41"/>
    <mergeCell ref="G41:L41"/>
    <mergeCell ref="A42:E42"/>
    <mergeCell ref="G42:L42"/>
    <mergeCell ref="A37:E37"/>
    <mergeCell ref="G37:L37"/>
    <mergeCell ref="A38:E38"/>
    <mergeCell ref="G38:L38"/>
    <mergeCell ref="A39:E39"/>
    <mergeCell ref="G39:L39"/>
    <mergeCell ref="A50:E50"/>
    <mergeCell ref="A51:E51"/>
    <mergeCell ref="A52:E52"/>
    <mergeCell ref="A53:E53"/>
    <mergeCell ref="A54:E54"/>
    <mergeCell ref="A43:E43"/>
    <mergeCell ref="G43:L43"/>
    <mergeCell ref="A44:E44"/>
    <mergeCell ref="G44:L44"/>
    <mergeCell ref="A48:M48"/>
    <mergeCell ref="A49:E49"/>
    <mergeCell ref="A45:E45"/>
    <mergeCell ref="G45:L45"/>
    <mergeCell ref="A65:E65"/>
    <mergeCell ref="A66:E66"/>
    <mergeCell ref="A67:E67"/>
    <mergeCell ref="A68:E68"/>
    <mergeCell ref="A69:E69"/>
    <mergeCell ref="A70:E70"/>
    <mergeCell ref="A55:E55"/>
    <mergeCell ref="A59:M59"/>
    <mergeCell ref="A61:E61"/>
    <mergeCell ref="A62:E62"/>
    <mergeCell ref="A63:E63"/>
    <mergeCell ref="A64:E64"/>
    <mergeCell ref="A77:E77"/>
    <mergeCell ref="A78:E78"/>
    <mergeCell ref="A79:E79"/>
    <mergeCell ref="A80:E80"/>
    <mergeCell ref="A81:E81"/>
    <mergeCell ref="A82:L82"/>
    <mergeCell ref="A71:E71"/>
    <mergeCell ref="A72:E72"/>
    <mergeCell ref="A73:E73"/>
    <mergeCell ref="A74:E74"/>
    <mergeCell ref="A75:E75"/>
    <mergeCell ref="A76:E76"/>
    <mergeCell ref="A92:E92"/>
    <mergeCell ref="A93:E93"/>
    <mergeCell ref="A94:E94"/>
    <mergeCell ref="A97:M97"/>
    <mergeCell ref="A99:E99"/>
    <mergeCell ref="A100:E100"/>
    <mergeCell ref="A84:M84"/>
    <mergeCell ref="A86:L86"/>
    <mergeCell ref="A88:E88"/>
    <mergeCell ref="A89:E89"/>
    <mergeCell ref="A90:E90"/>
    <mergeCell ref="A91:E91"/>
    <mergeCell ref="A95:E95"/>
    <mergeCell ref="A111:E111"/>
    <mergeCell ref="A112:E112"/>
    <mergeCell ref="A113:E113"/>
    <mergeCell ref="A114:E114"/>
    <mergeCell ref="A115:E115"/>
    <mergeCell ref="A117:E117"/>
    <mergeCell ref="A101:E101"/>
    <mergeCell ref="A102:E102"/>
    <mergeCell ref="A105:E105"/>
    <mergeCell ref="A108:M108"/>
    <mergeCell ref="A110:E110"/>
    <mergeCell ref="A104:E104"/>
    <mergeCell ref="A125:E125"/>
    <mergeCell ref="F125:I125"/>
    <mergeCell ref="A129:M129"/>
    <mergeCell ref="A131:E131"/>
    <mergeCell ref="A132:E132"/>
    <mergeCell ref="A133:E133"/>
    <mergeCell ref="A118:E118"/>
    <mergeCell ref="A119:E119"/>
    <mergeCell ref="A121:N121"/>
    <mergeCell ref="A122:E122"/>
    <mergeCell ref="A123:E123"/>
    <mergeCell ref="A124:E124"/>
    <mergeCell ref="A140:E140"/>
    <mergeCell ref="A141:E141"/>
    <mergeCell ref="A142:E142"/>
    <mergeCell ref="A143:E143"/>
    <mergeCell ref="A144:E144"/>
    <mergeCell ref="A145:E145"/>
    <mergeCell ref="A134:E134"/>
    <mergeCell ref="A135:E135"/>
    <mergeCell ref="A136:E136"/>
    <mergeCell ref="A137:E137"/>
    <mergeCell ref="A138:E138"/>
    <mergeCell ref="A139:E139"/>
    <mergeCell ref="A152:E152"/>
    <mergeCell ref="A153:E153"/>
    <mergeCell ref="A154:E154"/>
    <mergeCell ref="A155:E155"/>
    <mergeCell ref="A156:E156"/>
    <mergeCell ref="A157:E157"/>
    <mergeCell ref="A146:E146"/>
    <mergeCell ref="A147:E147"/>
    <mergeCell ref="A148:E148"/>
    <mergeCell ref="A149:E149"/>
    <mergeCell ref="A150:E150"/>
    <mergeCell ref="A151:E151"/>
    <mergeCell ref="A166:E166"/>
    <mergeCell ref="A167:L167"/>
    <mergeCell ref="A169:L169"/>
    <mergeCell ref="A171:E171"/>
    <mergeCell ref="A172:E172"/>
    <mergeCell ref="A173:E173"/>
    <mergeCell ref="A158:E158"/>
    <mergeCell ref="A159:E159"/>
    <mergeCell ref="A161:M161"/>
    <mergeCell ref="A163:E163"/>
    <mergeCell ref="A164:E164"/>
    <mergeCell ref="A165:E165"/>
    <mergeCell ref="A200:E200"/>
    <mergeCell ref="A208:C208"/>
    <mergeCell ref="D208:K208"/>
    <mergeCell ref="L208:M209"/>
    <mergeCell ref="L210:M210"/>
    <mergeCell ref="A15:M15"/>
    <mergeCell ref="A197:E197"/>
    <mergeCell ref="A198:E198"/>
    <mergeCell ref="A199:E199"/>
    <mergeCell ref="A201:E201"/>
    <mergeCell ref="A202:H202"/>
    <mergeCell ref="A206:M206"/>
    <mergeCell ref="A188:L188"/>
    <mergeCell ref="A189:E189"/>
    <mergeCell ref="A190:E190"/>
    <mergeCell ref="A191:H191"/>
    <mergeCell ref="A193:H193"/>
    <mergeCell ref="A196:L196"/>
    <mergeCell ref="A175:M175"/>
    <mergeCell ref="A180:E180"/>
    <mergeCell ref="A181:E181"/>
    <mergeCell ref="A182:E182"/>
    <mergeCell ref="A183:E183"/>
    <mergeCell ref="A184:E184"/>
  </mergeCells>
  <pageMargins left="0.70866141732283472" right="0.70866141732283472" top="0.15" bottom="0.23" header="0.15" footer="0.15"/>
  <pageSetup paperSize="9" scale="6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O220"/>
  <sheetViews>
    <sheetView view="pageBreakPreview" topLeftCell="A126" zoomScale="60" zoomScaleNormal="50" workbookViewId="0">
      <selection activeCell="N201" sqref="N201"/>
    </sheetView>
  </sheetViews>
  <sheetFormatPr defaultRowHeight="14.4"/>
  <cols>
    <col min="1" max="1" width="12.6640625" customWidth="1"/>
    <col min="2" max="2" width="10.44140625" customWidth="1"/>
    <col min="4" max="4" width="15.5546875" customWidth="1"/>
    <col min="5" max="5" width="24.6640625" customWidth="1"/>
    <col min="6" max="6" width="16.44140625" customWidth="1"/>
    <col min="7" max="7" width="13.88671875" customWidth="1"/>
    <col min="8" max="8" width="17.44140625" customWidth="1"/>
    <col min="9" max="9" width="18.88671875" customWidth="1"/>
    <col min="10" max="10" width="15.109375" customWidth="1"/>
    <col min="11" max="11" width="13.88671875" customWidth="1"/>
    <col min="12" max="12" width="16" customWidth="1"/>
    <col min="13" max="13" width="13.109375" customWidth="1"/>
    <col min="14" max="14" width="16.109375" customWidth="1"/>
  </cols>
  <sheetData>
    <row r="2" spans="1:14" ht="15.6">
      <c r="A2" s="310"/>
      <c r="B2" s="310"/>
      <c r="C2" s="310"/>
      <c r="D2" s="310"/>
      <c r="E2" s="310"/>
      <c r="F2" s="310"/>
      <c r="G2" s="310"/>
      <c r="H2" s="310"/>
    </row>
    <row r="3" spans="1:14" ht="15.6">
      <c r="A3" s="310"/>
      <c r="B3" s="310"/>
      <c r="C3" s="79"/>
      <c r="D3" s="79"/>
      <c r="E3" s="310"/>
      <c r="F3" s="310"/>
      <c r="G3" s="79"/>
      <c r="H3" s="79"/>
    </row>
    <row r="4" spans="1:14" ht="40.5" customHeight="1">
      <c r="A4" s="311"/>
      <c r="B4" s="311"/>
      <c r="C4" s="311"/>
      <c r="D4" s="113"/>
      <c r="E4" s="311"/>
      <c r="F4" s="311"/>
      <c r="G4" s="311"/>
      <c r="H4" s="81"/>
      <c r="J4" s="315" t="s">
        <v>175</v>
      </c>
      <c r="K4" s="316"/>
      <c r="L4" s="316"/>
      <c r="M4" s="316"/>
    </row>
    <row r="5" spans="1:14" ht="15.6">
      <c r="A5" s="4"/>
      <c r="B5" s="4"/>
      <c r="C5" s="4"/>
      <c r="D5" s="112"/>
      <c r="E5" s="4"/>
      <c r="F5" s="4"/>
      <c r="G5" s="4"/>
      <c r="H5" s="112"/>
    </row>
    <row r="6" spans="1:14" ht="15.6">
      <c r="A6" s="307"/>
      <c r="B6" s="307"/>
      <c r="C6" s="307"/>
      <c r="D6" s="112"/>
      <c r="E6" s="307"/>
      <c r="F6" s="307"/>
      <c r="G6" s="307"/>
      <c r="H6" s="112"/>
    </row>
    <row r="7" spans="1:14">
      <c r="A7" s="114"/>
      <c r="B7" s="114"/>
      <c r="C7" s="114"/>
      <c r="D7" s="114"/>
      <c r="E7" s="114"/>
      <c r="F7" s="114"/>
      <c r="G7" s="114"/>
      <c r="H7" s="114"/>
    </row>
    <row r="8" spans="1:14" ht="15.6">
      <c r="A8" s="308" t="s">
        <v>103</v>
      </c>
      <c r="B8" s="309"/>
      <c r="C8" s="309"/>
      <c r="D8" s="309"/>
      <c r="E8" s="309"/>
      <c r="F8" s="309"/>
      <c r="G8" s="309"/>
      <c r="H8" s="114"/>
    </row>
    <row r="9" spans="1:14" ht="15.6">
      <c r="A9" s="308" t="s">
        <v>185</v>
      </c>
      <c r="B9" s="309"/>
      <c r="C9" s="309"/>
      <c r="D9" s="309"/>
      <c r="E9" s="309"/>
      <c r="F9" s="309"/>
      <c r="G9" s="309"/>
      <c r="H9" s="312"/>
    </row>
    <row r="1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6">
      <c r="A12" s="8" t="s">
        <v>104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>
      <c r="A13" s="313" t="s">
        <v>148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7"/>
    </row>
    <row r="14" spans="1:14" ht="15.6">
      <c r="A14" s="8" t="s">
        <v>97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21" customHeight="1">
      <c r="A15" s="313" t="s">
        <v>141</v>
      </c>
      <c r="B15" s="320"/>
      <c r="C15" s="320"/>
      <c r="D15" s="320"/>
      <c r="E15" s="320"/>
      <c r="F15" s="320"/>
      <c r="G15" s="320"/>
      <c r="H15" s="320"/>
      <c r="I15" s="320"/>
      <c r="J15" s="320"/>
      <c r="K15" s="320"/>
      <c r="L15" s="320"/>
      <c r="M15" s="320"/>
      <c r="N15" s="7"/>
    </row>
    <row r="16" spans="1:14" ht="15.6">
      <c r="A16" s="8" t="s">
        <v>177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>
      <c r="A17" s="237" t="s">
        <v>110</v>
      </c>
      <c r="B17" s="237"/>
      <c r="C17" s="237"/>
      <c r="D17" s="237"/>
      <c r="E17" s="237"/>
      <c r="F17" s="9" t="s">
        <v>109</v>
      </c>
      <c r="G17" s="237" t="s">
        <v>111</v>
      </c>
      <c r="H17" s="237"/>
      <c r="I17" s="237"/>
      <c r="J17" s="237"/>
      <c r="K17" s="237"/>
      <c r="L17" s="237"/>
      <c r="M17" s="9" t="s">
        <v>109</v>
      </c>
      <c r="N17" s="11"/>
    </row>
    <row r="18" spans="1:14">
      <c r="A18" s="303" t="s">
        <v>123</v>
      </c>
      <c r="B18" s="303"/>
      <c r="C18" s="303"/>
      <c r="D18" s="303"/>
      <c r="E18" s="303"/>
      <c r="F18" s="169">
        <f>1*2.5%</f>
        <v>2.5000000000000001E-2</v>
      </c>
      <c r="G18" s="244" t="s">
        <v>1</v>
      </c>
      <c r="H18" s="244"/>
      <c r="I18" s="244"/>
      <c r="J18" s="244"/>
      <c r="K18" s="244"/>
      <c r="L18" s="244"/>
      <c r="M18" s="190">
        <f>1*2.5%-0.01</f>
        <v>1.5000000000000001E-2</v>
      </c>
      <c r="N18" s="11"/>
    </row>
    <row r="19" spans="1:14">
      <c r="A19" s="303" t="s">
        <v>124</v>
      </c>
      <c r="B19" s="303"/>
      <c r="C19" s="303"/>
      <c r="D19" s="303"/>
      <c r="E19" s="303"/>
      <c r="F19" s="169">
        <f>9.75*2.5%-0.02</f>
        <v>0.22375000000000003</v>
      </c>
      <c r="G19" s="256" t="s">
        <v>178</v>
      </c>
      <c r="H19" s="257"/>
      <c r="I19" s="257"/>
      <c r="J19" s="257"/>
      <c r="K19" s="257"/>
      <c r="L19" s="258"/>
      <c r="M19" s="190">
        <f>1*2.5%-0.01</f>
        <v>1.5000000000000001E-2</v>
      </c>
      <c r="N19" s="11"/>
    </row>
    <row r="20" spans="1:14">
      <c r="A20" s="303" t="s">
        <v>125</v>
      </c>
      <c r="B20" s="303"/>
      <c r="C20" s="303"/>
      <c r="D20" s="303"/>
      <c r="E20" s="303"/>
      <c r="F20" s="169">
        <f>1*2.5%</f>
        <v>2.5000000000000001E-2</v>
      </c>
      <c r="G20" s="259" t="s">
        <v>129</v>
      </c>
      <c r="H20" s="259"/>
      <c r="I20" s="259"/>
      <c r="J20" s="259"/>
      <c r="K20" s="259"/>
      <c r="L20" s="259"/>
      <c r="M20" s="190">
        <f>0.5*2.5%</f>
        <v>1.2500000000000001E-2</v>
      </c>
      <c r="N20" s="11"/>
    </row>
    <row r="21" spans="1:14">
      <c r="A21" s="303" t="s">
        <v>126</v>
      </c>
      <c r="B21" s="303"/>
      <c r="C21" s="303"/>
      <c r="D21" s="303"/>
      <c r="E21" s="303"/>
      <c r="F21" s="169">
        <f>0.25*2.5%</f>
        <v>6.2500000000000003E-3</v>
      </c>
      <c r="G21" s="244" t="s">
        <v>131</v>
      </c>
      <c r="H21" s="244"/>
      <c r="I21" s="244"/>
      <c r="J21" s="244"/>
      <c r="K21" s="244"/>
      <c r="L21" s="244"/>
      <c r="M21" s="190">
        <f>1*2.5%</f>
        <v>2.5000000000000001E-2</v>
      </c>
      <c r="N21" s="11"/>
    </row>
    <row r="22" spans="1:14">
      <c r="A22" s="303" t="s">
        <v>128</v>
      </c>
      <c r="B22" s="303"/>
      <c r="C22" s="303"/>
      <c r="D22" s="303"/>
      <c r="E22" s="303"/>
      <c r="F22" s="169">
        <f>1*2.5%</f>
        <v>2.5000000000000001E-2</v>
      </c>
      <c r="G22" s="244" t="s">
        <v>130</v>
      </c>
      <c r="H22" s="244"/>
      <c r="I22" s="244"/>
      <c r="J22" s="244"/>
      <c r="K22" s="244"/>
      <c r="L22" s="244"/>
      <c r="M22" s="190">
        <f>2*2.5%</f>
        <v>0.05</v>
      </c>
      <c r="N22" s="11"/>
    </row>
    <row r="23" spans="1:14">
      <c r="A23" s="304"/>
      <c r="B23" s="305"/>
      <c r="C23" s="305"/>
      <c r="D23" s="305"/>
      <c r="E23" s="306"/>
      <c r="F23" s="165"/>
      <c r="G23" s="256" t="s">
        <v>127</v>
      </c>
      <c r="H23" s="257"/>
      <c r="I23" s="257"/>
      <c r="J23" s="257"/>
      <c r="K23" s="257"/>
      <c r="L23" s="258"/>
      <c r="M23" s="190">
        <f>1*2.5%</f>
        <v>2.5000000000000001E-2</v>
      </c>
      <c r="N23" s="11"/>
    </row>
    <row r="24" spans="1:14">
      <c r="A24" s="303"/>
      <c r="B24" s="303"/>
      <c r="C24" s="303"/>
      <c r="D24" s="303"/>
      <c r="E24" s="303"/>
      <c r="F24" s="166"/>
      <c r="G24" s="244" t="s">
        <v>132</v>
      </c>
      <c r="H24" s="244"/>
      <c r="I24" s="244"/>
      <c r="J24" s="244"/>
      <c r="K24" s="244"/>
      <c r="L24" s="244"/>
      <c r="M24" s="190">
        <f>1.25*2.5%</f>
        <v>3.125E-2</v>
      </c>
      <c r="N24" s="11"/>
    </row>
    <row r="25" spans="1:14" ht="15.75" customHeight="1">
      <c r="A25" s="303"/>
      <c r="B25" s="303"/>
      <c r="C25" s="303"/>
      <c r="D25" s="303"/>
      <c r="E25" s="303"/>
      <c r="F25" s="166"/>
      <c r="G25" s="217" t="s">
        <v>133</v>
      </c>
      <c r="H25" s="218"/>
      <c r="I25" s="218"/>
      <c r="J25" s="218"/>
      <c r="K25" s="218"/>
      <c r="L25" s="219"/>
      <c r="M25" s="190">
        <f>0.75*2.5%</f>
        <v>1.8750000000000003E-2</v>
      </c>
      <c r="N25" s="11"/>
    </row>
    <row r="26" spans="1:14" ht="15.75" hidden="1" customHeight="1">
      <c r="A26" s="300"/>
      <c r="B26" s="301"/>
      <c r="C26" s="301"/>
      <c r="D26" s="301"/>
      <c r="E26" s="302"/>
      <c r="F26" s="166"/>
      <c r="G26" s="217"/>
      <c r="H26" s="218"/>
      <c r="I26" s="218"/>
      <c r="J26" s="218"/>
      <c r="K26" s="218"/>
      <c r="L26" s="219"/>
      <c r="M26" s="166"/>
      <c r="N26" s="11"/>
    </row>
    <row r="27" spans="1:14" ht="15.75" customHeight="1">
      <c r="A27" s="300"/>
      <c r="B27" s="301"/>
      <c r="C27" s="301"/>
      <c r="D27" s="301"/>
      <c r="E27" s="302"/>
      <c r="F27" s="166"/>
      <c r="G27" s="217"/>
      <c r="H27" s="218"/>
      <c r="I27" s="218"/>
      <c r="J27" s="218"/>
      <c r="K27" s="218"/>
      <c r="L27" s="219"/>
      <c r="M27" s="166"/>
      <c r="N27" s="11"/>
    </row>
    <row r="28" spans="1:14" ht="15.75" hidden="1" customHeight="1">
      <c r="A28" s="300"/>
      <c r="B28" s="301"/>
      <c r="C28" s="301"/>
      <c r="D28" s="301"/>
      <c r="E28" s="302"/>
      <c r="F28" s="93"/>
      <c r="G28" s="217"/>
      <c r="H28" s="218"/>
      <c r="I28" s="218"/>
      <c r="J28" s="218"/>
      <c r="K28" s="218"/>
      <c r="L28" s="219"/>
      <c r="M28" s="93"/>
      <c r="N28" s="11"/>
    </row>
    <row r="29" spans="1:14" ht="15.75" customHeight="1">
      <c r="A29" s="300"/>
      <c r="B29" s="301"/>
      <c r="C29" s="301"/>
      <c r="D29" s="301"/>
      <c r="E29" s="302"/>
      <c r="F29" s="93"/>
      <c r="G29" s="1"/>
      <c r="H29" s="1"/>
      <c r="I29" s="1"/>
      <c r="J29" s="1"/>
      <c r="K29" s="1"/>
      <c r="L29" s="1"/>
      <c r="M29" s="93"/>
      <c r="N29" s="11"/>
    </row>
    <row r="30" spans="1:14" ht="15.75" customHeight="1">
      <c r="A30" s="300"/>
      <c r="B30" s="301"/>
      <c r="C30" s="301"/>
      <c r="D30" s="301"/>
      <c r="E30" s="302"/>
      <c r="F30" s="93"/>
      <c r="G30" s="217"/>
      <c r="H30" s="218"/>
      <c r="I30" s="218"/>
      <c r="J30" s="218"/>
      <c r="K30" s="218"/>
      <c r="L30" s="219"/>
      <c r="M30" s="93"/>
      <c r="N30" s="11"/>
    </row>
    <row r="31" spans="1:14" ht="15.75" hidden="1" customHeight="1">
      <c r="A31" s="300"/>
      <c r="B31" s="301"/>
      <c r="C31" s="301"/>
      <c r="D31" s="301"/>
      <c r="E31" s="302"/>
      <c r="F31" s="93"/>
      <c r="G31" s="217"/>
      <c r="H31" s="218"/>
      <c r="I31" s="218"/>
      <c r="J31" s="218"/>
      <c r="K31" s="218"/>
      <c r="L31" s="219"/>
      <c r="M31" s="93"/>
      <c r="N31" s="11"/>
    </row>
    <row r="32" spans="1:14" ht="15.75" hidden="1" customHeight="1">
      <c r="A32" s="300"/>
      <c r="B32" s="301"/>
      <c r="C32" s="301"/>
      <c r="D32" s="301"/>
      <c r="E32" s="302"/>
      <c r="F32" s="93"/>
      <c r="G32" s="217"/>
      <c r="H32" s="218"/>
      <c r="I32" s="218"/>
      <c r="J32" s="218"/>
      <c r="K32" s="218"/>
      <c r="L32" s="219"/>
      <c r="M32" s="93"/>
      <c r="N32" s="11"/>
    </row>
    <row r="33" spans="1:15" ht="15.75" hidden="1" customHeight="1">
      <c r="A33" s="300"/>
      <c r="B33" s="301"/>
      <c r="C33" s="301"/>
      <c r="D33" s="301"/>
      <c r="E33" s="302"/>
      <c r="F33" s="93"/>
      <c r="G33" s="217"/>
      <c r="H33" s="218"/>
      <c r="I33" s="218"/>
      <c r="J33" s="218"/>
      <c r="K33" s="218"/>
      <c r="L33" s="219"/>
      <c r="M33" s="93"/>
      <c r="N33" s="11"/>
    </row>
    <row r="34" spans="1:15" ht="15.75" hidden="1" customHeight="1">
      <c r="A34" s="300"/>
      <c r="B34" s="301"/>
      <c r="C34" s="301"/>
      <c r="D34" s="301"/>
      <c r="E34" s="302"/>
      <c r="F34" s="93"/>
      <c r="G34" s="217"/>
      <c r="H34" s="218"/>
      <c r="I34" s="218"/>
      <c r="J34" s="218"/>
      <c r="K34" s="218"/>
      <c r="L34" s="219"/>
      <c r="M34" s="93"/>
      <c r="N34" s="11"/>
    </row>
    <row r="35" spans="1:15" ht="15.75" hidden="1" customHeight="1">
      <c r="A35" s="300"/>
      <c r="B35" s="301"/>
      <c r="C35" s="301"/>
      <c r="D35" s="301"/>
      <c r="E35" s="302"/>
      <c r="F35" s="93"/>
      <c r="G35" s="217"/>
      <c r="H35" s="218"/>
      <c r="I35" s="218"/>
      <c r="J35" s="218"/>
      <c r="K35" s="218"/>
      <c r="L35" s="219"/>
      <c r="M35" s="93"/>
      <c r="N35" s="11"/>
    </row>
    <row r="36" spans="1:15" ht="15.75" hidden="1" customHeight="1">
      <c r="A36" s="300"/>
      <c r="B36" s="301"/>
      <c r="C36" s="301"/>
      <c r="D36" s="301"/>
      <c r="E36" s="302"/>
      <c r="F36" s="93"/>
      <c r="G36" s="217"/>
      <c r="H36" s="218"/>
      <c r="I36" s="218"/>
      <c r="J36" s="218"/>
      <c r="K36" s="218"/>
      <c r="L36" s="219"/>
      <c r="M36" s="93"/>
      <c r="N36" s="11"/>
    </row>
    <row r="37" spans="1:15">
      <c r="A37" s="263"/>
      <c r="B37" s="263"/>
      <c r="C37" s="263"/>
      <c r="D37" s="263"/>
      <c r="E37" s="263"/>
      <c r="F37" s="93"/>
      <c r="G37" s="244"/>
      <c r="H37" s="244"/>
      <c r="I37" s="244"/>
      <c r="J37" s="244"/>
      <c r="K37" s="244"/>
      <c r="L37" s="244"/>
      <c r="M37" s="93"/>
      <c r="N37" s="11"/>
    </row>
    <row r="38" spans="1:15">
      <c r="A38" s="263"/>
      <c r="B38" s="263"/>
      <c r="C38" s="263"/>
      <c r="D38" s="263"/>
      <c r="E38" s="263"/>
      <c r="F38" s="93"/>
      <c r="G38" s="244"/>
      <c r="H38" s="244"/>
      <c r="I38" s="244"/>
      <c r="J38" s="244"/>
      <c r="K38" s="244"/>
      <c r="L38" s="244"/>
      <c r="M38" s="93"/>
      <c r="N38" s="11"/>
    </row>
    <row r="39" spans="1:15">
      <c r="A39" s="295"/>
      <c r="B39" s="295"/>
      <c r="C39" s="295"/>
      <c r="D39" s="295"/>
      <c r="E39" s="295"/>
      <c r="F39" s="157"/>
      <c r="G39" s="244"/>
      <c r="H39" s="244"/>
      <c r="I39" s="244"/>
      <c r="J39" s="244"/>
      <c r="K39" s="244"/>
      <c r="L39" s="244"/>
      <c r="M39" s="93"/>
      <c r="N39" s="11"/>
    </row>
    <row r="40" spans="1:15">
      <c r="A40" s="295"/>
      <c r="B40" s="295"/>
      <c r="C40" s="295"/>
      <c r="D40" s="295"/>
      <c r="E40" s="295"/>
      <c r="F40" s="157"/>
      <c r="G40" s="244"/>
      <c r="H40" s="244"/>
      <c r="I40" s="244"/>
      <c r="J40" s="244"/>
      <c r="K40" s="244"/>
      <c r="L40" s="244"/>
      <c r="M40" s="93"/>
      <c r="N40" s="11"/>
    </row>
    <row r="41" spans="1:15">
      <c r="A41" s="295"/>
      <c r="B41" s="295"/>
      <c r="C41" s="295"/>
      <c r="D41" s="295"/>
      <c r="E41" s="295"/>
      <c r="F41" s="157"/>
      <c r="G41" s="244"/>
      <c r="H41" s="244"/>
      <c r="I41" s="244"/>
      <c r="J41" s="244"/>
      <c r="K41" s="244"/>
      <c r="L41" s="244"/>
      <c r="M41" s="93"/>
      <c r="N41" s="11"/>
    </row>
    <row r="42" spans="1:15">
      <c r="A42" s="295"/>
      <c r="B42" s="295"/>
      <c r="C42" s="295"/>
      <c r="D42" s="295"/>
      <c r="E42" s="295"/>
      <c r="F42" s="157"/>
      <c r="G42" s="217"/>
      <c r="H42" s="218"/>
      <c r="I42" s="218"/>
      <c r="J42" s="218"/>
      <c r="K42" s="218"/>
      <c r="L42" s="219"/>
      <c r="M42" s="93"/>
      <c r="N42" s="11"/>
    </row>
    <row r="43" spans="1:15" ht="15" customHeight="1">
      <c r="A43" s="295"/>
      <c r="B43" s="295"/>
      <c r="C43" s="295"/>
      <c r="D43" s="295"/>
      <c r="E43" s="295"/>
      <c r="F43" s="157"/>
      <c r="G43" s="217"/>
      <c r="H43" s="218"/>
      <c r="I43" s="218"/>
      <c r="J43" s="218"/>
      <c r="K43" s="218"/>
      <c r="L43" s="219"/>
      <c r="M43" s="93"/>
      <c r="N43" s="11"/>
    </row>
    <row r="44" spans="1:15" ht="15.75" customHeight="1">
      <c r="A44" s="296"/>
      <c r="B44" s="297"/>
      <c r="C44" s="297"/>
      <c r="D44" s="297"/>
      <c r="E44" s="298"/>
      <c r="F44" s="82"/>
      <c r="G44" s="217"/>
      <c r="H44" s="218"/>
      <c r="I44" s="218"/>
      <c r="J44" s="218"/>
      <c r="K44" s="218"/>
      <c r="L44" s="219"/>
      <c r="M44" s="93"/>
      <c r="N44" s="174">
        <f>F45+M45</f>
        <v>0.53</v>
      </c>
      <c r="O44" s="175">
        <f>N44/86%</f>
        <v>0.61627906976744196</v>
      </c>
    </row>
    <row r="45" spans="1:15">
      <c r="A45" s="293" t="s">
        <v>2</v>
      </c>
      <c r="B45" s="293"/>
      <c r="C45" s="293"/>
      <c r="D45" s="293"/>
      <c r="E45" s="293"/>
      <c r="F45" s="193">
        <v>0.32</v>
      </c>
      <c r="G45" s="294" t="s">
        <v>2</v>
      </c>
      <c r="H45" s="294"/>
      <c r="I45" s="294"/>
      <c r="J45" s="294"/>
      <c r="K45" s="294"/>
      <c r="L45" s="294"/>
      <c r="M45" s="193">
        <v>0.21</v>
      </c>
      <c r="N45" s="11"/>
    </row>
    <row r="46" spans="1:15">
      <c r="A46" s="14" t="s">
        <v>142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5" ht="30" customHeight="1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5" ht="15" customHeight="1">
      <c r="A48" s="274" t="s">
        <v>121</v>
      </c>
      <c r="B48" s="275"/>
      <c r="C48" s="275"/>
      <c r="D48" s="275"/>
      <c r="E48" s="275"/>
      <c r="F48" s="275"/>
      <c r="G48" s="275"/>
      <c r="H48" s="275"/>
      <c r="I48" s="275"/>
      <c r="J48" s="275"/>
      <c r="K48" s="275"/>
      <c r="L48" s="275"/>
      <c r="M48" s="275"/>
      <c r="N48" s="11"/>
    </row>
    <row r="49" spans="1:14" ht="55.8">
      <c r="A49" s="222" t="s">
        <v>3</v>
      </c>
      <c r="B49" s="222"/>
      <c r="C49" s="222"/>
      <c r="D49" s="222"/>
      <c r="E49" s="222"/>
      <c r="F49" s="9" t="s">
        <v>4</v>
      </c>
      <c r="G49" s="9" t="s">
        <v>0</v>
      </c>
      <c r="H49" s="9" t="s">
        <v>74</v>
      </c>
      <c r="I49" s="9" t="s">
        <v>76</v>
      </c>
      <c r="J49" s="9" t="s">
        <v>105</v>
      </c>
      <c r="K49" s="9" t="s">
        <v>135</v>
      </c>
      <c r="L49" s="9" t="s">
        <v>80</v>
      </c>
      <c r="M49" s="11"/>
      <c r="N49" s="11"/>
    </row>
    <row r="50" spans="1:14" hidden="1">
      <c r="A50" s="246"/>
      <c r="B50" s="246"/>
      <c r="C50" s="246"/>
      <c r="D50" s="246"/>
      <c r="E50" s="246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>
      <c r="A51" s="246"/>
      <c r="B51" s="246"/>
      <c r="C51" s="246"/>
      <c r="D51" s="246"/>
      <c r="E51" s="246"/>
      <c r="F51" s="10"/>
      <c r="G51" s="10"/>
      <c r="H51" s="10"/>
      <c r="I51" s="10"/>
      <c r="J51" s="15"/>
      <c r="K51" s="15"/>
      <c r="L51" s="15"/>
      <c r="M51" s="11"/>
      <c r="N51" s="11"/>
    </row>
    <row r="52" spans="1:14">
      <c r="A52" s="276">
        <v>1</v>
      </c>
      <c r="B52" s="277"/>
      <c r="C52" s="277"/>
      <c r="D52" s="277"/>
      <c r="E52" s="278"/>
      <c r="F52" s="10">
        <v>2</v>
      </c>
      <c r="G52" s="10">
        <v>3</v>
      </c>
      <c r="H52" s="10" t="s">
        <v>75</v>
      </c>
      <c r="I52" s="10" t="s">
        <v>77</v>
      </c>
      <c r="J52" s="16">
        <v>6</v>
      </c>
      <c r="K52" s="16" t="s">
        <v>79</v>
      </c>
      <c r="L52" s="16">
        <v>8</v>
      </c>
      <c r="M52" s="11"/>
      <c r="N52" s="11"/>
    </row>
    <row r="53" spans="1:14" ht="15" thickBot="1">
      <c r="A53" s="255" t="s">
        <v>110</v>
      </c>
      <c r="B53" s="255"/>
      <c r="C53" s="255"/>
      <c r="D53" s="255"/>
      <c r="E53" s="255"/>
      <c r="F53" s="56">
        <f>H53/12/G53</f>
        <v>26939.807291666664</v>
      </c>
      <c r="G53" s="56">
        <v>0.32</v>
      </c>
      <c r="H53" s="56">
        <v>103448.86</v>
      </c>
      <c r="I53" s="164">
        <v>134690.57999999999</v>
      </c>
      <c r="J53" s="86">
        <v>25</v>
      </c>
      <c r="K53" s="56">
        <f>I53/J53</f>
        <v>5387.6231999999991</v>
      </c>
      <c r="L53" s="63">
        <f>I53/5372204.14*100</f>
        <v>2.5071753881638608</v>
      </c>
      <c r="M53" s="11"/>
      <c r="N53" s="11"/>
    </row>
    <row r="54" spans="1:14" ht="15" hidden="1" thickBot="1">
      <c r="A54" s="246"/>
      <c r="B54" s="246"/>
      <c r="C54" s="246"/>
      <c r="D54" s="246"/>
      <c r="E54" s="246"/>
      <c r="F54" s="20"/>
      <c r="G54" s="20"/>
      <c r="H54" s="20"/>
      <c r="I54" s="41"/>
      <c r="J54" s="19"/>
      <c r="K54" s="41"/>
      <c r="L54" s="20"/>
      <c r="M54" s="11"/>
      <c r="N54" s="11"/>
    </row>
    <row r="55" spans="1:14" ht="15" thickBot="1">
      <c r="A55" s="239" t="s">
        <v>81</v>
      </c>
      <c r="B55" s="240"/>
      <c r="C55" s="240"/>
      <c r="D55" s="240"/>
      <c r="E55" s="340"/>
      <c r="F55" s="71"/>
      <c r="G55" s="71"/>
      <c r="H55" s="103"/>
      <c r="I55" s="145">
        <f>I53</f>
        <v>134690.57999999999</v>
      </c>
      <c r="J55" s="104"/>
      <c r="K55" s="47">
        <f>K53</f>
        <v>5387.6231999999991</v>
      </c>
      <c r="L55" s="105"/>
      <c r="M55" s="180"/>
      <c r="N55" s="11"/>
    </row>
    <row r="56" spans="1:14">
      <c r="A56" s="21"/>
      <c r="B56" s="21"/>
      <c r="C56" s="21"/>
      <c r="D56" s="21"/>
      <c r="E56" s="21"/>
      <c r="F56" s="22"/>
      <c r="G56" s="22"/>
      <c r="H56" s="22"/>
      <c r="I56" s="22"/>
      <c r="J56" s="23"/>
      <c r="K56" s="24"/>
      <c r="L56" s="24"/>
      <c r="M56" s="11"/>
      <c r="N56" s="11"/>
    </row>
    <row r="57" spans="1:14" ht="98.25" hidden="1" customHeight="1">
      <c r="A57" s="21"/>
      <c r="B57" s="21"/>
      <c r="C57" s="21"/>
      <c r="D57" s="21"/>
      <c r="E57" s="21"/>
      <c r="F57" s="25"/>
      <c r="G57" s="25"/>
      <c r="H57" s="25"/>
      <c r="I57" s="25"/>
      <c r="J57" s="25"/>
      <c r="K57" s="26"/>
      <c r="L57" s="25"/>
      <c r="M57" s="26"/>
      <c r="N57" s="11"/>
    </row>
    <row r="58" spans="1:14" hidden="1">
      <c r="A58" s="238" t="s">
        <v>15</v>
      </c>
      <c r="B58" s="238"/>
      <c r="C58" s="238"/>
      <c r="D58" s="238"/>
      <c r="E58" s="238"/>
      <c r="F58" s="238"/>
      <c r="G58" s="238"/>
      <c r="H58" s="238"/>
      <c r="I58" s="238"/>
      <c r="J58" s="238"/>
      <c r="K58" s="238"/>
      <c r="L58" s="238"/>
      <c r="M58" s="238"/>
      <c r="N58" s="11"/>
    </row>
    <row r="59" spans="1:14" hidden="1">
      <c r="A59" s="27"/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11"/>
    </row>
    <row r="60" spans="1:14" ht="80.25" hidden="1" customHeight="1">
      <c r="A60" s="335" t="s">
        <v>6</v>
      </c>
      <c r="B60" s="335"/>
      <c r="C60" s="335"/>
      <c r="D60" s="335"/>
      <c r="E60" s="335"/>
      <c r="F60" s="28" t="s">
        <v>7</v>
      </c>
      <c r="G60" s="28" t="s">
        <v>8</v>
      </c>
      <c r="H60" s="28" t="s">
        <v>9</v>
      </c>
      <c r="I60" s="28" t="s">
        <v>10</v>
      </c>
      <c r="J60" s="28"/>
      <c r="K60" s="28" t="s">
        <v>11</v>
      </c>
      <c r="L60" s="28" t="s">
        <v>12</v>
      </c>
      <c r="M60" s="28" t="s">
        <v>5</v>
      </c>
      <c r="N60" s="11"/>
    </row>
    <row r="61" spans="1:14" ht="15" hidden="1" customHeight="1">
      <c r="A61" s="336">
        <v>1</v>
      </c>
      <c r="B61" s="337"/>
      <c r="C61" s="337"/>
      <c r="D61" s="337"/>
      <c r="E61" s="338"/>
      <c r="F61" s="28">
        <v>2</v>
      </c>
      <c r="G61" s="28">
        <v>3</v>
      </c>
      <c r="H61" s="28">
        <v>4</v>
      </c>
      <c r="I61" s="28" t="s">
        <v>59</v>
      </c>
      <c r="J61" s="28"/>
      <c r="K61" s="28">
        <v>6</v>
      </c>
      <c r="L61" s="28">
        <v>7</v>
      </c>
      <c r="M61" s="28" t="s">
        <v>60</v>
      </c>
      <c r="N61" s="11"/>
    </row>
    <row r="62" spans="1:14" ht="15" hidden="1" customHeight="1">
      <c r="A62" s="334" t="s">
        <v>62</v>
      </c>
      <c r="B62" s="334"/>
      <c r="C62" s="334"/>
      <c r="D62" s="334"/>
      <c r="E62" s="334"/>
      <c r="F62" s="29" t="s">
        <v>13</v>
      </c>
      <c r="G62" s="28">
        <v>7</v>
      </c>
      <c r="H62" s="29">
        <v>10</v>
      </c>
      <c r="I62" s="30">
        <f>G62/H62</f>
        <v>0.7</v>
      </c>
      <c r="J62" s="30"/>
      <c r="K62" s="28">
        <v>20</v>
      </c>
      <c r="L62" s="31">
        <v>7100</v>
      </c>
      <c r="M62" s="31">
        <f>I62*L62</f>
        <v>4970</v>
      </c>
      <c r="N62" s="11"/>
    </row>
    <row r="63" spans="1:14" ht="15" hidden="1" customHeight="1">
      <c r="A63" s="334" t="s">
        <v>63</v>
      </c>
      <c r="B63" s="334"/>
      <c r="C63" s="334"/>
      <c r="D63" s="334"/>
      <c r="E63" s="334"/>
      <c r="F63" s="29" t="s">
        <v>13</v>
      </c>
      <c r="G63" s="28">
        <v>1</v>
      </c>
      <c r="H63" s="29">
        <v>10</v>
      </c>
      <c r="I63" s="30">
        <f t="shared" ref="I63:I79" si="0">G63/H63</f>
        <v>0.1</v>
      </c>
      <c r="J63" s="30"/>
      <c r="K63" s="28">
        <v>20</v>
      </c>
      <c r="L63" s="31">
        <v>538700</v>
      </c>
      <c r="M63" s="31">
        <f t="shared" ref="M63:M80" si="1">I63*L63</f>
        <v>53870</v>
      </c>
      <c r="N63" s="11"/>
    </row>
    <row r="64" spans="1:14" ht="15" hidden="1" customHeight="1">
      <c r="A64" s="334" t="s">
        <v>64</v>
      </c>
      <c r="B64" s="334"/>
      <c r="C64" s="334"/>
      <c r="D64" s="334"/>
      <c r="E64" s="334"/>
      <c r="F64" s="29" t="s">
        <v>13</v>
      </c>
      <c r="G64" s="28">
        <v>1</v>
      </c>
      <c r="H64" s="29">
        <v>10</v>
      </c>
      <c r="I64" s="30">
        <f t="shared" si="0"/>
        <v>0.1</v>
      </c>
      <c r="J64" s="30"/>
      <c r="K64" s="28">
        <v>20</v>
      </c>
      <c r="L64" s="31">
        <v>380000</v>
      </c>
      <c r="M64" s="31">
        <f t="shared" si="1"/>
        <v>38000</v>
      </c>
      <c r="N64" s="11"/>
    </row>
    <row r="65" spans="1:14" ht="12.75" hidden="1" customHeight="1">
      <c r="A65" s="334"/>
      <c r="B65" s="334"/>
      <c r="C65" s="334"/>
      <c r="D65" s="334"/>
      <c r="E65" s="334"/>
      <c r="F65" s="29" t="s">
        <v>13</v>
      </c>
      <c r="G65" s="28"/>
      <c r="H65" s="29">
        <v>10</v>
      </c>
      <c r="I65" s="30">
        <f t="shared" si="0"/>
        <v>0</v>
      </c>
      <c r="J65" s="30"/>
      <c r="K65" s="28"/>
      <c r="L65" s="31"/>
      <c r="M65" s="31">
        <f t="shared" si="1"/>
        <v>0</v>
      </c>
      <c r="N65" s="11"/>
    </row>
    <row r="66" spans="1:14" ht="15" hidden="1" customHeight="1">
      <c r="A66" s="334"/>
      <c r="B66" s="334"/>
      <c r="C66" s="334"/>
      <c r="D66" s="334"/>
      <c r="E66" s="334"/>
      <c r="F66" s="29" t="s">
        <v>13</v>
      </c>
      <c r="G66" s="28"/>
      <c r="H66" s="29">
        <v>10</v>
      </c>
      <c r="I66" s="30">
        <f t="shared" si="0"/>
        <v>0</v>
      </c>
      <c r="J66" s="30"/>
      <c r="K66" s="28"/>
      <c r="L66" s="31"/>
      <c r="M66" s="31">
        <f t="shared" si="1"/>
        <v>0</v>
      </c>
      <c r="N66" s="11"/>
    </row>
    <row r="67" spans="1:14" ht="15" hidden="1" customHeight="1">
      <c r="A67" s="331"/>
      <c r="B67" s="332"/>
      <c r="C67" s="332"/>
      <c r="D67" s="332"/>
      <c r="E67" s="333"/>
      <c r="F67" s="29" t="s">
        <v>13</v>
      </c>
      <c r="G67" s="28"/>
      <c r="H67" s="29">
        <v>10</v>
      </c>
      <c r="I67" s="30">
        <f t="shared" si="0"/>
        <v>0</v>
      </c>
      <c r="J67" s="30"/>
      <c r="K67" s="28"/>
      <c r="L67" s="31"/>
      <c r="M67" s="31">
        <f t="shared" si="1"/>
        <v>0</v>
      </c>
      <c r="N67" s="11"/>
    </row>
    <row r="68" spans="1:14" ht="15" hidden="1" customHeight="1">
      <c r="A68" s="331"/>
      <c r="B68" s="332"/>
      <c r="C68" s="332"/>
      <c r="D68" s="332"/>
      <c r="E68" s="333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>
      <c r="A69" s="331"/>
      <c r="B69" s="332"/>
      <c r="C69" s="332"/>
      <c r="D69" s="332"/>
      <c r="E69" s="333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>
      <c r="A70" s="331"/>
      <c r="B70" s="332"/>
      <c r="C70" s="332"/>
      <c r="D70" s="332"/>
      <c r="E70" s="333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>
      <c r="A71" s="331"/>
      <c r="B71" s="332"/>
      <c r="C71" s="332"/>
      <c r="D71" s="332"/>
      <c r="E71" s="333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idden="1">
      <c r="A72" s="324"/>
      <c r="B72" s="325"/>
      <c r="C72" s="325"/>
      <c r="D72" s="325"/>
      <c r="E72" s="326"/>
      <c r="F72" s="29" t="s">
        <v>13</v>
      </c>
      <c r="G72" s="29"/>
      <c r="H72" s="29">
        <v>10</v>
      </c>
      <c r="I72" s="30">
        <f t="shared" si="0"/>
        <v>0</v>
      </c>
      <c r="J72" s="30"/>
      <c r="K72" s="29"/>
      <c r="L72" s="32"/>
      <c r="M72" s="31">
        <f t="shared" si="1"/>
        <v>0</v>
      </c>
      <c r="N72" s="11"/>
    </row>
    <row r="73" spans="1:14" hidden="1">
      <c r="A73" s="324"/>
      <c r="B73" s="325"/>
      <c r="C73" s="325"/>
      <c r="D73" s="325"/>
      <c r="E73" s="326"/>
      <c r="F73" s="29" t="s">
        <v>13</v>
      </c>
      <c r="G73" s="29"/>
      <c r="H73" s="29">
        <v>10</v>
      </c>
      <c r="I73" s="30">
        <f t="shared" si="0"/>
        <v>0</v>
      </c>
      <c r="J73" s="30"/>
      <c r="K73" s="29"/>
      <c r="L73" s="32"/>
      <c r="M73" s="31">
        <f t="shared" si="1"/>
        <v>0</v>
      </c>
      <c r="N73" s="11"/>
    </row>
    <row r="74" spans="1:14" hidden="1">
      <c r="A74" s="324"/>
      <c r="B74" s="325"/>
      <c r="C74" s="325"/>
      <c r="D74" s="325"/>
      <c r="E74" s="326"/>
      <c r="F74" s="29" t="s">
        <v>13</v>
      </c>
      <c r="G74" s="29"/>
      <c r="H74" s="29">
        <v>10</v>
      </c>
      <c r="I74" s="30">
        <f t="shared" si="0"/>
        <v>0</v>
      </c>
      <c r="J74" s="30"/>
      <c r="K74" s="29"/>
      <c r="L74" s="32"/>
      <c r="M74" s="31">
        <f t="shared" si="1"/>
        <v>0</v>
      </c>
      <c r="N74" s="11"/>
    </row>
    <row r="75" spans="1:14" hidden="1">
      <c r="A75" s="324"/>
      <c r="B75" s="325"/>
      <c r="C75" s="325"/>
      <c r="D75" s="325"/>
      <c r="E75" s="326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>
      <c r="A76" s="324"/>
      <c r="B76" s="325"/>
      <c r="C76" s="325"/>
      <c r="D76" s="325"/>
      <c r="E76" s="326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>
      <c r="A77" s="324"/>
      <c r="B77" s="325"/>
      <c r="C77" s="325"/>
      <c r="D77" s="325"/>
      <c r="E77" s="326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>
      <c r="A78" s="324"/>
      <c r="B78" s="325"/>
      <c r="C78" s="325"/>
      <c r="D78" s="325"/>
      <c r="E78" s="326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>
      <c r="A79" s="324"/>
      <c r="B79" s="325"/>
      <c r="C79" s="325"/>
      <c r="D79" s="325"/>
      <c r="E79" s="326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>
      <c r="A80" s="327" t="s">
        <v>98</v>
      </c>
      <c r="B80" s="327"/>
      <c r="C80" s="327"/>
      <c r="D80" s="327"/>
      <c r="E80" s="327"/>
      <c r="F80" s="29"/>
      <c r="G80" s="29"/>
      <c r="H80" s="29"/>
      <c r="I80" s="33"/>
      <c r="J80" s="33"/>
      <c r="K80" s="29"/>
      <c r="L80" s="32"/>
      <c r="M80" s="32">
        <f t="shared" si="1"/>
        <v>0</v>
      </c>
      <c r="N80" s="11"/>
    </row>
    <row r="81" spans="1:14" ht="0.75" customHeight="1">
      <c r="A81" s="328" t="s">
        <v>14</v>
      </c>
      <c r="B81" s="329"/>
      <c r="C81" s="329"/>
      <c r="D81" s="329"/>
      <c r="E81" s="329"/>
      <c r="F81" s="329"/>
      <c r="G81" s="329"/>
      <c r="H81" s="329"/>
      <c r="I81" s="329"/>
      <c r="J81" s="329"/>
      <c r="K81" s="329"/>
      <c r="L81" s="330"/>
      <c r="M81" s="32">
        <f>M80+M64+M63+M62</f>
        <v>96840</v>
      </c>
      <c r="N81" s="11"/>
    </row>
    <row r="82" spans="1:14" ht="11.25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</row>
    <row r="83" spans="1:14">
      <c r="A83" s="221" t="s">
        <v>16</v>
      </c>
      <c r="B83" s="221"/>
      <c r="C83" s="221"/>
      <c r="D83" s="221"/>
      <c r="E83" s="221"/>
      <c r="F83" s="221"/>
      <c r="G83" s="221"/>
      <c r="H83" s="221"/>
      <c r="I83" s="221"/>
      <c r="J83" s="221"/>
      <c r="K83" s="221"/>
      <c r="L83" s="221"/>
      <c r="M83" s="221"/>
      <c r="N83" s="11"/>
    </row>
    <row r="84" spans="1:14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11"/>
    </row>
    <row r="85" spans="1:14" ht="30.75" hidden="1" customHeight="1">
      <c r="A85" s="279"/>
      <c r="B85" s="279"/>
      <c r="C85" s="279"/>
      <c r="D85" s="279"/>
      <c r="E85" s="279"/>
      <c r="F85" s="279"/>
      <c r="G85" s="279"/>
      <c r="H85" s="279"/>
      <c r="I85" s="279"/>
      <c r="J85" s="279"/>
      <c r="K85" s="279"/>
      <c r="L85" s="279"/>
      <c r="M85" s="35"/>
      <c r="N85" s="11"/>
    </row>
    <row r="86" spans="1:14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</row>
    <row r="87" spans="1:14" ht="73.5" customHeight="1">
      <c r="A87" s="222" t="s">
        <v>17</v>
      </c>
      <c r="B87" s="222"/>
      <c r="C87" s="222"/>
      <c r="D87" s="222"/>
      <c r="E87" s="222"/>
      <c r="F87" s="9" t="s">
        <v>7</v>
      </c>
      <c r="G87" s="36" t="s">
        <v>90</v>
      </c>
      <c r="H87" s="9" t="s">
        <v>71</v>
      </c>
      <c r="I87" s="9" t="s">
        <v>82</v>
      </c>
      <c r="J87" s="9" t="s">
        <v>105</v>
      </c>
      <c r="K87" s="9" t="s">
        <v>135</v>
      </c>
      <c r="L87" s="11"/>
      <c r="M87" s="11"/>
      <c r="N87" s="11"/>
    </row>
    <row r="88" spans="1:14" ht="18.75" customHeight="1">
      <c r="A88" s="280">
        <v>1</v>
      </c>
      <c r="B88" s="281"/>
      <c r="C88" s="281"/>
      <c r="D88" s="281"/>
      <c r="E88" s="282"/>
      <c r="F88" s="9">
        <v>2</v>
      </c>
      <c r="G88" s="9">
        <v>3</v>
      </c>
      <c r="H88" s="37">
        <v>4</v>
      </c>
      <c r="I88" s="37">
        <v>5</v>
      </c>
      <c r="J88" s="38">
        <v>6</v>
      </c>
      <c r="K88" s="38" t="s">
        <v>79</v>
      </c>
      <c r="L88" s="11"/>
      <c r="M88" s="39"/>
      <c r="N88" s="11"/>
    </row>
    <row r="89" spans="1:14">
      <c r="A89" s="287" t="s">
        <v>23</v>
      </c>
      <c r="B89" s="287"/>
      <c r="C89" s="287"/>
      <c r="D89" s="287"/>
      <c r="E89" s="287"/>
      <c r="F89" s="40" t="s">
        <v>26</v>
      </c>
      <c r="G89" s="63">
        <f>8.4*88.1</f>
        <v>740.04</v>
      </c>
      <c r="H89" s="56">
        <v>7802.23</v>
      </c>
      <c r="I89" s="82">
        <f>56993.23*2.5%</f>
        <v>1424.8307500000001</v>
      </c>
      <c r="J89" s="86">
        <v>25</v>
      </c>
      <c r="K89" s="56">
        <f>I89/J89</f>
        <v>56.993230000000004</v>
      </c>
      <c r="L89" s="11"/>
      <c r="M89" s="25"/>
      <c r="N89" s="11"/>
    </row>
    <row r="90" spans="1:14">
      <c r="A90" s="287" t="s">
        <v>24</v>
      </c>
      <c r="B90" s="287"/>
      <c r="C90" s="287"/>
      <c r="D90" s="287"/>
      <c r="E90" s="287"/>
      <c r="F90" s="40" t="s">
        <v>27</v>
      </c>
      <c r="G90" s="56">
        <f>175*88.1%</f>
        <v>154.17499999999998</v>
      </c>
      <c r="H90" s="56">
        <v>1768</v>
      </c>
      <c r="I90" s="82">
        <f>338294.05*2.5%</f>
        <v>8457.3512499999997</v>
      </c>
      <c r="J90" s="86">
        <v>25</v>
      </c>
      <c r="K90" s="56">
        <f>I90/J90</f>
        <v>338.29404999999997</v>
      </c>
      <c r="L90" s="11"/>
      <c r="M90" s="11"/>
      <c r="N90" s="11"/>
    </row>
    <row r="91" spans="1:14">
      <c r="A91" s="287" t="s">
        <v>83</v>
      </c>
      <c r="B91" s="287"/>
      <c r="C91" s="287"/>
      <c r="D91" s="287"/>
      <c r="E91" s="287"/>
      <c r="F91" s="40" t="s">
        <v>28</v>
      </c>
      <c r="G91" s="56">
        <f>140*88.1%</f>
        <v>123.33999999999999</v>
      </c>
      <c r="H91" s="56">
        <v>42.83</v>
      </c>
      <c r="I91" s="82">
        <f>5483.26*2.5%</f>
        <v>137.08150000000001</v>
      </c>
      <c r="J91" s="86">
        <v>25</v>
      </c>
      <c r="K91" s="56">
        <f>I91/J91</f>
        <v>5.4832600000000005</v>
      </c>
      <c r="L91" s="11"/>
      <c r="M91" s="11"/>
      <c r="N91" s="11"/>
    </row>
    <row r="92" spans="1:14">
      <c r="A92" s="212" t="s">
        <v>25</v>
      </c>
      <c r="B92" s="212"/>
      <c r="C92" s="212"/>
      <c r="D92" s="212"/>
      <c r="E92" s="212"/>
      <c r="F92" s="96" t="s">
        <v>28</v>
      </c>
      <c r="G92" s="56">
        <f>140*88.1%</f>
        <v>123.33999999999999</v>
      </c>
      <c r="H92" s="88">
        <v>62.38</v>
      </c>
      <c r="I92" s="199">
        <f>8117.94*2.5%</f>
        <v>202.9485</v>
      </c>
      <c r="J92" s="86">
        <v>25</v>
      </c>
      <c r="K92" s="88">
        <f>I92/J92</f>
        <v>8.117939999999999</v>
      </c>
      <c r="L92" s="11"/>
      <c r="M92" s="11"/>
      <c r="N92" s="11"/>
    </row>
    <row r="93" spans="1:14" ht="15" thickBot="1">
      <c r="A93" s="212" t="s">
        <v>189</v>
      </c>
      <c r="B93" s="212"/>
      <c r="C93" s="212"/>
      <c r="D93" s="212"/>
      <c r="E93" s="212"/>
      <c r="F93" s="96"/>
      <c r="G93" s="56"/>
      <c r="H93" s="88">
        <v>1167</v>
      </c>
      <c r="I93" s="199">
        <f>16411.52*2.5%</f>
        <v>410.28800000000001</v>
      </c>
      <c r="J93" s="86">
        <v>25</v>
      </c>
      <c r="K93" s="88">
        <f>I93/J93</f>
        <v>16.411519999999999</v>
      </c>
      <c r="L93" s="11"/>
      <c r="M93" s="11"/>
      <c r="N93" s="11"/>
    </row>
    <row r="94" spans="1:14" ht="15" thickBot="1">
      <c r="A94" s="288" t="s">
        <v>29</v>
      </c>
      <c r="B94" s="289"/>
      <c r="C94" s="289"/>
      <c r="D94" s="289"/>
      <c r="E94" s="290"/>
      <c r="F94" s="97"/>
      <c r="G94" s="97"/>
      <c r="H94" s="97"/>
      <c r="I94" s="146">
        <f>SUM(I89:I93)</f>
        <v>10632.500000000002</v>
      </c>
      <c r="J94" s="89"/>
      <c r="K94" s="210">
        <f>SUM(K89:K93)</f>
        <v>425.2999999999999</v>
      </c>
      <c r="L94" s="11"/>
      <c r="M94" s="11"/>
      <c r="N94" s="90">
        <f>I94/88.1%</f>
        <v>12068.671963677643</v>
      </c>
    </row>
    <row r="95" spans="1:14">
      <c r="A95" s="202"/>
      <c r="B95" s="202"/>
      <c r="C95" s="202"/>
      <c r="D95" s="202"/>
      <c r="E95" s="202"/>
      <c r="F95" s="202"/>
      <c r="G95" s="202"/>
      <c r="H95" s="202"/>
      <c r="I95" s="203"/>
      <c r="J95" s="204"/>
      <c r="K95" s="211"/>
      <c r="L95" s="11"/>
      <c r="M95" s="11"/>
      <c r="N95" s="90"/>
    </row>
    <row r="96" spans="1:14">
      <c r="A96" s="221" t="s">
        <v>30</v>
      </c>
      <c r="B96" s="221"/>
      <c r="C96" s="221"/>
      <c r="D96" s="221"/>
      <c r="E96" s="221"/>
      <c r="F96" s="221"/>
      <c r="G96" s="221"/>
      <c r="H96" s="221"/>
      <c r="I96" s="221"/>
      <c r="J96" s="221"/>
      <c r="K96" s="221"/>
      <c r="L96" s="221"/>
      <c r="M96" s="221"/>
      <c r="N96" s="11"/>
    </row>
    <row r="97" spans="1:14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</row>
    <row r="98" spans="1:14" ht="55.8">
      <c r="A98" s="283" t="s">
        <v>32</v>
      </c>
      <c r="B98" s="283"/>
      <c r="C98" s="283"/>
      <c r="D98" s="283"/>
      <c r="E98" s="283"/>
      <c r="F98" s="37" t="s">
        <v>7</v>
      </c>
      <c r="G98" s="37" t="s">
        <v>18</v>
      </c>
      <c r="H98" s="42" t="s">
        <v>85</v>
      </c>
      <c r="I98" s="9" t="s">
        <v>82</v>
      </c>
      <c r="J98" s="9" t="s">
        <v>105</v>
      </c>
      <c r="K98" s="9" t="s">
        <v>135</v>
      </c>
      <c r="L98" s="11"/>
      <c r="M98" s="11"/>
      <c r="N98" s="11"/>
    </row>
    <row r="99" spans="1:14">
      <c r="A99" s="259" t="s">
        <v>188</v>
      </c>
      <c r="B99" s="259"/>
      <c r="C99" s="259"/>
      <c r="D99" s="259"/>
      <c r="E99" s="259"/>
      <c r="F99" s="93" t="s">
        <v>31</v>
      </c>
      <c r="G99" s="93">
        <v>1</v>
      </c>
      <c r="H99" s="162">
        <v>3027.85</v>
      </c>
      <c r="I99" s="82">
        <f>36334.2*2.5%</f>
        <v>908.35500000000002</v>
      </c>
      <c r="J99" s="86">
        <v>25</v>
      </c>
      <c r="K99" s="98">
        <f t="shared" ref="K99:K102" si="2">I99/J99</f>
        <v>36.334200000000003</v>
      </c>
      <c r="L99" s="11"/>
      <c r="M99" s="11"/>
      <c r="N99" s="11"/>
    </row>
    <row r="100" spans="1:14" ht="36.6" customHeight="1">
      <c r="A100" s="291" t="s">
        <v>112</v>
      </c>
      <c r="B100" s="291"/>
      <c r="C100" s="291"/>
      <c r="D100" s="291"/>
      <c r="E100" s="292"/>
      <c r="F100" s="93" t="s">
        <v>31</v>
      </c>
      <c r="G100" s="93">
        <v>1</v>
      </c>
      <c r="H100" s="163"/>
      <c r="I100" s="200">
        <f>15000*2.5%</f>
        <v>375</v>
      </c>
      <c r="J100" s="86">
        <v>25</v>
      </c>
      <c r="K100" s="98">
        <f t="shared" si="2"/>
        <v>15</v>
      </c>
      <c r="L100" s="11"/>
      <c r="M100" s="24"/>
      <c r="N100" s="11"/>
    </row>
    <row r="101" spans="1:14" ht="15" customHeight="1">
      <c r="A101" s="284" t="s">
        <v>113</v>
      </c>
      <c r="B101" s="285"/>
      <c r="C101" s="285"/>
      <c r="D101" s="285"/>
      <c r="E101" s="286"/>
      <c r="F101" s="93" t="s">
        <v>31</v>
      </c>
      <c r="G101" s="93">
        <v>1</v>
      </c>
      <c r="H101" s="162"/>
      <c r="I101" s="82">
        <f>6500*2.5%</f>
        <v>162.5</v>
      </c>
      <c r="J101" s="86">
        <v>25</v>
      </c>
      <c r="K101" s="98">
        <f t="shared" si="2"/>
        <v>6.5</v>
      </c>
      <c r="L101" s="11"/>
      <c r="M101" s="11"/>
      <c r="N101" s="11"/>
    </row>
    <row r="102" spans="1:14">
      <c r="A102" s="196" t="s">
        <v>114</v>
      </c>
      <c r="B102" s="197"/>
      <c r="C102" s="197"/>
      <c r="D102" s="197"/>
      <c r="E102" s="198"/>
      <c r="F102" s="93" t="s">
        <v>31</v>
      </c>
      <c r="G102" s="93">
        <v>1</v>
      </c>
      <c r="H102" s="162"/>
      <c r="I102" s="82">
        <f>8943.2*2.5%</f>
        <v>223.58000000000004</v>
      </c>
      <c r="J102" s="86">
        <v>25</v>
      </c>
      <c r="K102" s="98">
        <f t="shared" si="2"/>
        <v>8.9432000000000009</v>
      </c>
      <c r="L102" s="11"/>
      <c r="M102" s="11"/>
      <c r="N102" s="11"/>
    </row>
    <row r="103" spans="1:14" ht="15" thickBot="1">
      <c r="A103" s="259" t="s">
        <v>115</v>
      </c>
      <c r="B103" s="259"/>
      <c r="C103" s="259"/>
      <c r="D103" s="259"/>
      <c r="E103" s="259"/>
      <c r="F103" s="93" t="s">
        <v>31</v>
      </c>
      <c r="G103" s="93">
        <v>1</v>
      </c>
      <c r="H103" s="162">
        <v>500</v>
      </c>
      <c r="I103" s="199">
        <f>6000*2.5%</f>
        <v>150</v>
      </c>
      <c r="J103" s="86">
        <v>25</v>
      </c>
      <c r="K103" s="98">
        <f>I103/J103</f>
        <v>6</v>
      </c>
      <c r="L103" s="11"/>
      <c r="M103" s="11"/>
      <c r="N103" s="11"/>
    </row>
    <row r="104" spans="1:14" ht="15" thickBot="1">
      <c r="A104" s="194" t="s">
        <v>89</v>
      </c>
      <c r="B104" s="195"/>
      <c r="C104" s="195"/>
      <c r="D104" s="195"/>
      <c r="E104" s="195"/>
      <c r="F104" s="195"/>
      <c r="G104" s="195"/>
      <c r="H104" s="195"/>
      <c r="I104" s="147">
        <f>SUM(I99:I103)</f>
        <v>1819.4349999999999</v>
      </c>
      <c r="J104" s="11"/>
      <c r="K104" s="209">
        <f>SUM(K99:K103)</f>
        <v>72.7774</v>
      </c>
      <c r="L104" s="11"/>
      <c r="M104" s="11"/>
      <c r="N104" s="90">
        <f>I104/88.1%</f>
        <v>2065.1929625425655</v>
      </c>
    </row>
    <row r="105" spans="1:14" ht="28.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</row>
    <row r="106" spans="1:14">
      <c r="A106" s="221" t="s">
        <v>84</v>
      </c>
      <c r="B106" s="221"/>
      <c r="C106" s="221"/>
      <c r="D106" s="221"/>
      <c r="E106" s="221"/>
      <c r="F106" s="221"/>
      <c r="G106" s="221"/>
      <c r="H106" s="221"/>
      <c r="I106" s="221"/>
      <c r="J106" s="221"/>
      <c r="K106" s="221"/>
      <c r="L106" s="221"/>
      <c r="M106" s="221"/>
      <c r="N106" s="11"/>
    </row>
    <row r="107" spans="1:14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1:14" ht="42">
      <c r="A108" s="222" t="s">
        <v>32</v>
      </c>
      <c r="B108" s="222"/>
      <c r="C108" s="222"/>
      <c r="D108" s="222"/>
      <c r="E108" s="222"/>
      <c r="F108" s="9" t="s">
        <v>92</v>
      </c>
      <c r="G108" s="9" t="s">
        <v>22</v>
      </c>
      <c r="H108" s="9" t="s">
        <v>82</v>
      </c>
      <c r="I108" s="9" t="s">
        <v>105</v>
      </c>
      <c r="J108" s="9" t="s">
        <v>135</v>
      </c>
      <c r="K108" s="11"/>
      <c r="L108" s="11"/>
      <c r="M108" s="11"/>
      <c r="N108" s="11"/>
    </row>
    <row r="109" spans="1:14" ht="18" customHeight="1">
      <c r="A109" s="217" t="s">
        <v>116</v>
      </c>
      <c r="B109" s="218"/>
      <c r="C109" s="218"/>
      <c r="D109" s="218"/>
      <c r="E109" s="219"/>
      <c r="F109" s="36">
        <v>4</v>
      </c>
      <c r="G109" s="107">
        <v>4500</v>
      </c>
      <c r="H109" s="201">
        <f>18000*2.5%</f>
        <v>450</v>
      </c>
      <c r="I109" s="86">
        <v>25</v>
      </c>
      <c r="J109" s="94">
        <f t="shared" ref="J109:J111" si="3">H109/I109</f>
        <v>18</v>
      </c>
      <c r="K109" s="11"/>
      <c r="L109" s="11"/>
      <c r="M109" s="11"/>
      <c r="N109" s="11"/>
    </row>
    <row r="110" spans="1:14" ht="20.25" customHeight="1">
      <c r="A110" s="244" t="s">
        <v>117</v>
      </c>
      <c r="B110" s="244"/>
      <c r="C110" s="244"/>
      <c r="D110" s="244"/>
      <c r="E110" s="244"/>
      <c r="F110" s="36">
        <v>12</v>
      </c>
      <c r="G110" s="107">
        <v>3000</v>
      </c>
      <c r="H110" s="201">
        <f>36000*2.5%</f>
        <v>900</v>
      </c>
      <c r="I110" s="86">
        <v>25</v>
      </c>
      <c r="J110" s="94">
        <f t="shared" si="3"/>
        <v>36</v>
      </c>
      <c r="K110" s="11"/>
      <c r="L110" s="11"/>
      <c r="M110" s="11"/>
      <c r="N110" s="11"/>
    </row>
    <row r="111" spans="1:14" ht="18.75" customHeight="1">
      <c r="A111" s="244" t="s">
        <v>118</v>
      </c>
      <c r="B111" s="244"/>
      <c r="C111" s="244"/>
      <c r="D111" s="244"/>
      <c r="E111" s="244"/>
      <c r="F111" s="36">
        <v>12</v>
      </c>
      <c r="G111" s="107">
        <v>1000</v>
      </c>
      <c r="H111" s="201">
        <f>12000*2.5%</f>
        <v>300</v>
      </c>
      <c r="I111" s="86">
        <v>25</v>
      </c>
      <c r="J111" s="94">
        <f t="shared" si="3"/>
        <v>12</v>
      </c>
      <c r="K111" s="11"/>
      <c r="L111" s="11"/>
      <c r="M111" s="11"/>
      <c r="N111" s="11"/>
    </row>
    <row r="112" spans="1:14" ht="15" thickBot="1">
      <c r="A112" s="267" t="s">
        <v>120</v>
      </c>
      <c r="B112" s="268"/>
      <c r="C112" s="268"/>
      <c r="D112" s="268"/>
      <c r="E112" s="269"/>
      <c r="F112" s="107"/>
      <c r="G112" s="93"/>
      <c r="H112" s="82">
        <f>18000*2.5%</f>
        <v>450</v>
      </c>
      <c r="I112" s="86">
        <v>25</v>
      </c>
      <c r="J112" s="94">
        <f t="shared" ref="J112" si="4">H112/I112</f>
        <v>18</v>
      </c>
      <c r="K112" s="11"/>
      <c r="L112" s="11"/>
      <c r="M112" s="11"/>
      <c r="N112" s="11"/>
    </row>
    <row r="113" spans="1:14" ht="20.25" customHeight="1" thickBot="1">
      <c r="A113" s="270" t="s">
        <v>88</v>
      </c>
      <c r="B113" s="271"/>
      <c r="C113" s="271"/>
      <c r="D113" s="271"/>
      <c r="E113" s="272"/>
      <c r="F113" s="91"/>
      <c r="G113" s="91"/>
      <c r="H113" s="146">
        <f>H109+H110+H111+H112</f>
        <v>2100</v>
      </c>
      <c r="I113" s="87"/>
      <c r="J113" s="206">
        <f>SUM(J109:J112)</f>
        <v>84</v>
      </c>
      <c r="K113" s="11"/>
      <c r="L113" s="49"/>
      <c r="M113" s="11"/>
      <c r="N113" s="90">
        <f>H113/88.1%</f>
        <v>2383.6549375709424</v>
      </c>
    </row>
    <row r="114" spans="1:14" ht="69" customHeight="1">
      <c r="A114" s="167"/>
      <c r="B114" s="168"/>
      <c r="C114" s="168"/>
      <c r="D114" s="168"/>
      <c r="E114" s="168"/>
      <c r="F114" s="168"/>
      <c r="G114" s="168"/>
      <c r="H114" s="52"/>
      <c r="I114" s="13"/>
      <c r="J114" s="53"/>
      <c r="K114" s="11"/>
      <c r="L114" s="49"/>
      <c r="M114" s="11"/>
      <c r="N114" s="11"/>
    </row>
    <row r="115" spans="1:14" ht="31.5" customHeight="1">
      <c r="A115" s="238" t="s">
        <v>86</v>
      </c>
      <c r="B115" s="238"/>
      <c r="C115" s="238"/>
      <c r="D115" s="238"/>
      <c r="E115" s="238"/>
      <c r="F115" s="273"/>
      <c r="G115" s="273"/>
      <c r="H115" s="273"/>
      <c r="I115" s="273"/>
      <c r="J115" s="273"/>
      <c r="K115" s="273"/>
      <c r="L115" s="273"/>
      <c r="M115" s="273"/>
      <c r="N115" s="273"/>
    </row>
    <row r="116" spans="1:14" ht="42">
      <c r="A116" s="222" t="s">
        <v>33</v>
      </c>
      <c r="B116" s="222"/>
      <c r="C116" s="222"/>
      <c r="D116" s="222"/>
      <c r="E116" s="222"/>
      <c r="F116" s="9" t="s">
        <v>7</v>
      </c>
      <c r="G116" s="9" t="s">
        <v>18</v>
      </c>
      <c r="H116" s="9" t="s">
        <v>71</v>
      </c>
      <c r="I116" s="9" t="s">
        <v>34</v>
      </c>
      <c r="J116" s="9" t="s">
        <v>82</v>
      </c>
      <c r="K116" s="37" t="s">
        <v>105</v>
      </c>
      <c r="L116" s="9" t="s">
        <v>135</v>
      </c>
      <c r="M116" s="11"/>
      <c r="N116" s="11"/>
    </row>
    <row r="117" spans="1:14" ht="31.5" customHeight="1">
      <c r="A117" s="263" t="s">
        <v>35</v>
      </c>
      <c r="B117" s="263"/>
      <c r="C117" s="263"/>
      <c r="D117" s="263"/>
      <c r="E117" s="263"/>
      <c r="F117" s="92" t="s">
        <v>36</v>
      </c>
      <c r="G117" s="93">
        <v>3</v>
      </c>
      <c r="H117" s="159">
        <v>590.59</v>
      </c>
      <c r="I117" s="93">
        <v>12</v>
      </c>
      <c r="J117" s="199">
        <f>24882.6*2.5%</f>
        <v>622.06500000000005</v>
      </c>
      <c r="K117" s="86">
        <v>25</v>
      </c>
      <c r="L117" s="94">
        <f>J117/K117</f>
        <v>24.882600000000004</v>
      </c>
      <c r="M117" s="90"/>
      <c r="N117" s="11"/>
    </row>
    <row r="118" spans="1:14" ht="22.5" customHeight="1" thickBot="1">
      <c r="A118" s="263" t="s">
        <v>99</v>
      </c>
      <c r="B118" s="263"/>
      <c r="C118" s="263"/>
      <c r="D118" s="263"/>
      <c r="E118" s="263"/>
      <c r="F118" s="92" t="s">
        <v>100</v>
      </c>
      <c r="G118" s="93">
        <v>1</v>
      </c>
      <c r="H118" s="159">
        <v>3300</v>
      </c>
      <c r="I118" s="93">
        <v>12</v>
      </c>
      <c r="J118" s="199">
        <f>36000*2.5%</f>
        <v>900</v>
      </c>
      <c r="K118" s="86">
        <v>25</v>
      </c>
      <c r="L118" s="94">
        <f>J118/K118</f>
        <v>36</v>
      </c>
      <c r="M118" s="90"/>
      <c r="N118" s="11"/>
    </row>
    <row r="119" spans="1:14" ht="20.25" customHeight="1" thickBot="1">
      <c r="A119" s="264" t="s">
        <v>37</v>
      </c>
      <c r="B119" s="265"/>
      <c r="C119" s="265"/>
      <c r="D119" s="265"/>
      <c r="E119" s="266"/>
      <c r="F119" s="264"/>
      <c r="G119" s="265"/>
      <c r="H119" s="265"/>
      <c r="I119" s="265"/>
      <c r="J119" s="146">
        <f>J118+J117</f>
        <v>1522.0650000000001</v>
      </c>
      <c r="K119" s="87"/>
      <c r="L119" s="95">
        <f>SUM(L117:L118)</f>
        <v>60.882600000000004</v>
      </c>
      <c r="M119" s="181"/>
      <c r="N119" s="11"/>
    </row>
    <row r="120" spans="1:14" ht="62.25" customHeight="1">
      <c r="A120" s="51"/>
      <c r="B120" s="51"/>
      <c r="C120" s="51"/>
      <c r="D120" s="51"/>
      <c r="E120" s="51"/>
      <c r="F120" s="51"/>
      <c r="G120" s="51"/>
      <c r="H120" s="51"/>
      <c r="I120" s="51"/>
      <c r="J120" s="52"/>
      <c r="K120" s="13"/>
      <c r="L120" s="53"/>
      <c r="M120" s="11"/>
      <c r="N120" s="11"/>
    </row>
    <row r="121" spans="1:14" ht="95.25" hidden="1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25"/>
      <c r="M121" s="25"/>
      <c r="N121" s="11"/>
    </row>
    <row r="122" spans="1:14" ht="12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25"/>
      <c r="M122" s="25"/>
      <c r="N122" s="11"/>
    </row>
    <row r="123" spans="1:14">
      <c r="A123" s="221" t="s">
        <v>122</v>
      </c>
      <c r="B123" s="221"/>
      <c r="C123" s="221"/>
      <c r="D123" s="221"/>
      <c r="E123" s="221"/>
      <c r="F123" s="221"/>
      <c r="G123" s="221"/>
      <c r="H123" s="221"/>
      <c r="I123" s="221"/>
      <c r="J123" s="221"/>
      <c r="K123" s="221"/>
      <c r="L123" s="221"/>
      <c r="M123" s="221"/>
      <c r="N123" s="11"/>
    </row>
    <row r="124" spans="1:14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</row>
    <row r="125" spans="1:14" ht="55.8">
      <c r="A125" s="222" t="s">
        <v>3</v>
      </c>
      <c r="B125" s="222"/>
      <c r="C125" s="222"/>
      <c r="D125" s="222"/>
      <c r="E125" s="222"/>
      <c r="F125" s="9" t="s">
        <v>4</v>
      </c>
      <c r="G125" s="10" t="s">
        <v>0</v>
      </c>
      <c r="H125" s="50" t="s">
        <v>87</v>
      </c>
      <c r="I125" s="50" t="s">
        <v>76</v>
      </c>
      <c r="J125" s="9" t="s">
        <v>105</v>
      </c>
      <c r="K125" s="9" t="s">
        <v>135</v>
      </c>
      <c r="L125" s="9" t="s">
        <v>80</v>
      </c>
      <c r="M125" s="39"/>
      <c r="N125" s="11"/>
    </row>
    <row r="126" spans="1:14">
      <c r="A126" s="225">
        <v>1</v>
      </c>
      <c r="B126" s="226"/>
      <c r="C126" s="226"/>
      <c r="D126" s="226"/>
      <c r="E126" s="227"/>
      <c r="F126" s="37">
        <v>2</v>
      </c>
      <c r="G126" s="12">
        <v>3</v>
      </c>
      <c r="H126" s="37">
        <v>4</v>
      </c>
      <c r="I126" s="37">
        <v>5</v>
      </c>
      <c r="J126" s="38">
        <v>6</v>
      </c>
      <c r="K126" s="54">
        <v>7</v>
      </c>
      <c r="L126" s="55">
        <v>8</v>
      </c>
      <c r="M126" s="39"/>
      <c r="N126" s="13"/>
    </row>
    <row r="127" spans="1:14" ht="15" thickBot="1">
      <c r="A127" s="255" t="s">
        <v>111</v>
      </c>
      <c r="B127" s="255"/>
      <c r="C127" s="255"/>
      <c r="D127" s="255"/>
      <c r="E127" s="255"/>
      <c r="F127" s="56">
        <f>H127/12/G127</f>
        <v>26841.126984126982</v>
      </c>
      <c r="G127" s="56">
        <v>0.21</v>
      </c>
      <c r="H127" s="56">
        <v>67639.64</v>
      </c>
      <c r="I127" s="56">
        <v>88066.92</v>
      </c>
      <c r="J127" s="86">
        <v>25</v>
      </c>
      <c r="K127" s="56">
        <f>I127/J127</f>
        <v>3522.6767999999997</v>
      </c>
      <c r="L127" s="115">
        <v>2.5</v>
      </c>
      <c r="M127" s="24"/>
      <c r="N127" s="13"/>
    </row>
    <row r="128" spans="1:14" ht="15" hidden="1" thickBot="1">
      <c r="A128" s="256"/>
      <c r="B128" s="257"/>
      <c r="C128" s="257"/>
      <c r="D128" s="257"/>
      <c r="E128" s="258"/>
      <c r="F128" s="56">
        <v>17865.98</v>
      </c>
      <c r="G128" s="116">
        <v>4</v>
      </c>
      <c r="H128" s="86"/>
      <c r="I128" s="63">
        <f>J80</f>
        <v>0</v>
      </c>
      <c r="J128" s="56" t="e">
        <f t="shared" ref="J128:J149" si="5">G128/H128*I128</f>
        <v>#DIV/0!</v>
      </c>
      <c r="K128" s="56">
        <f t="shared" ref="K128:K149" si="6">F128*G128*12*1.302</f>
        <v>1116552.28608</v>
      </c>
      <c r="L128" s="117" t="s">
        <v>61</v>
      </c>
      <c r="M128" s="46" t="e">
        <f t="shared" ref="M128:M152" si="7">J128*K128</f>
        <v>#DIV/0!</v>
      </c>
      <c r="N128" s="13"/>
    </row>
    <row r="129" spans="1:14" ht="15" hidden="1" thickBot="1">
      <c r="A129" s="259"/>
      <c r="B129" s="259"/>
      <c r="C129" s="259"/>
      <c r="D129" s="259"/>
      <c r="E129" s="259"/>
      <c r="F129" s="56">
        <v>9544</v>
      </c>
      <c r="G129" s="116">
        <v>1</v>
      </c>
      <c r="H129" s="86"/>
      <c r="I129" s="63">
        <f>J80</f>
        <v>0</v>
      </c>
      <c r="J129" s="56" t="e">
        <f t="shared" si="5"/>
        <v>#DIV/0!</v>
      </c>
      <c r="K129" s="56">
        <f t="shared" si="6"/>
        <v>149115.45600000001</v>
      </c>
      <c r="L129" s="63">
        <f>I129/11277167.39*100</f>
        <v>0</v>
      </c>
      <c r="M129" s="17" t="e">
        <f t="shared" si="7"/>
        <v>#DIV/0!</v>
      </c>
      <c r="N129" s="13"/>
    </row>
    <row r="130" spans="1:14" ht="15" hidden="1" customHeight="1">
      <c r="A130" s="260"/>
      <c r="B130" s="261"/>
      <c r="C130" s="261"/>
      <c r="D130" s="261"/>
      <c r="E130" s="262"/>
      <c r="F130" s="56">
        <v>11560</v>
      </c>
      <c r="G130" s="116">
        <v>1</v>
      </c>
      <c r="H130" s="86"/>
      <c r="I130" s="63">
        <f>J80</f>
        <v>0</v>
      </c>
      <c r="J130" s="56" t="e">
        <f t="shared" si="5"/>
        <v>#DIV/0!</v>
      </c>
      <c r="K130" s="56">
        <f t="shared" si="6"/>
        <v>180613.44</v>
      </c>
      <c r="L130" s="40"/>
      <c r="M130" s="17" t="e">
        <f t="shared" si="7"/>
        <v>#DIV/0!</v>
      </c>
      <c r="N130" s="13"/>
    </row>
    <row r="131" spans="1:14" ht="15" hidden="1" thickBot="1">
      <c r="A131" s="244"/>
      <c r="B131" s="244"/>
      <c r="C131" s="244"/>
      <c r="D131" s="244"/>
      <c r="E131" s="244"/>
      <c r="F131" s="56">
        <v>9544</v>
      </c>
      <c r="G131" s="118">
        <v>0.5</v>
      </c>
      <c r="H131" s="86"/>
      <c r="I131" s="63">
        <f>J80</f>
        <v>0</v>
      </c>
      <c r="J131" s="56" t="e">
        <f t="shared" si="5"/>
        <v>#DIV/0!</v>
      </c>
      <c r="K131" s="56">
        <f t="shared" si="6"/>
        <v>74557.728000000003</v>
      </c>
      <c r="L131" s="40"/>
      <c r="M131" s="17" t="e">
        <f t="shared" si="7"/>
        <v>#DIV/0!</v>
      </c>
      <c r="N131" s="13"/>
    </row>
    <row r="132" spans="1:14" ht="15" hidden="1" thickBot="1">
      <c r="A132" s="244"/>
      <c r="B132" s="244"/>
      <c r="C132" s="244"/>
      <c r="D132" s="244"/>
      <c r="E132" s="244"/>
      <c r="F132" s="56">
        <v>9544</v>
      </c>
      <c r="G132" s="116">
        <v>1</v>
      </c>
      <c r="H132" s="86"/>
      <c r="I132" s="63">
        <f>J80</f>
        <v>0</v>
      </c>
      <c r="J132" s="56" t="e">
        <f t="shared" si="5"/>
        <v>#DIV/0!</v>
      </c>
      <c r="K132" s="56">
        <f t="shared" si="6"/>
        <v>149115.45600000001</v>
      </c>
      <c r="L132" s="56"/>
      <c r="M132" s="17" t="e">
        <f t="shared" si="7"/>
        <v>#DIV/0!</v>
      </c>
      <c r="N132" s="13"/>
    </row>
    <row r="133" spans="1:14" ht="14.25" hidden="1" customHeight="1">
      <c r="A133" s="244"/>
      <c r="B133" s="244"/>
      <c r="C133" s="244"/>
      <c r="D133" s="244"/>
      <c r="E133" s="244"/>
      <c r="F133" s="56">
        <v>9544</v>
      </c>
      <c r="G133" s="116">
        <v>1</v>
      </c>
      <c r="H133" s="86"/>
      <c r="I133" s="63">
        <f>J80</f>
        <v>0</v>
      </c>
      <c r="J133" s="56" t="e">
        <f t="shared" si="5"/>
        <v>#DIV/0!</v>
      </c>
      <c r="K133" s="56">
        <f t="shared" si="6"/>
        <v>149115.45600000001</v>
      </c>
      <c r="L133" s="87"/>
      <c r="M133" s="17" t="e">
        <f t="shared" si="7"/>
        <v>#DIV/0!</v>
      </c>
      <c r="N133" s="13"/>
    </row>
    <row r="134" spans="1:14" ht="15" hidden="1" thickBot="1">
      <c r="A134" s="217"/>
      <c r="B134" s="218"/>
      <c r="C134" s="218"/>
      <c r="D134" s="218"/>
      <c r="E134" s="219"/>
      <c r="F134" s="56">
        <v>9544</v>
      </c>
      <c r="G134" s="56"/>
      <c r="H134" s="86"/>
      <c r="I134" s="63">
        <f>J80</f>
        <v>0</v>
      </c>
      <c r="J134" s="56" t="e">
        <f t="shared" si="5"/>
        <v>#DIV/0!</v>
      </c>
      <c r="K134" s="56">
        <f t="shared" si="6"/>
        <v>0</v>
      </c>
      <c r="L134" s="87"/>
      <c r="M134" s="17" t="e">
        <f t="shared" si="7"/>
        <v>#DIV/0!</v>
      </c>
      <c r="N134" s="13"/>
    </row>
    <row r="135" spans="1:14" ht="15" hidden="1" thickBot="1">
      <c r="A135" s="217"/>
      <c r="B135" s="218"/>
      <c r="C135" s="218"/>
      <c r="D135" s="218"/>
      <c r="E135" s="219"/>
      <c r="F135" s="56">
        <v>9544</v>
      </c>
      <c r="G135" s="119">
        <v>0.25</v>
      </c>
      <c r="H135" s="86"/>
      <c r="I135" s="63">
        <f>J80</f>
        <v>0</v>
      </c>
      <c r="J135" s="56" t="e">
        <f t="shared" si="5"/>
        <v>#DIV/0!</v>
      </c>
      <c r="K135" s="56">
        <f t="shared" si="6"/>
        <v>37278.864000000001</v>
      </c>
      <c r="L135" s="87"/>
      <c r="M135" s="17" t="e">
        <f t="shared" si="7"/>
        <v>#DIV/0!</v>
      </c>
      <c r="N135" s="13"/>
    </row>
    <row r="136" spans="1:14" ht="15" hidden="1" thickBot="1">
      <c r="A136" s="217"/>
      <c r="B136" s="218"/>
      <c r="C136" s="218"/>
      <c r="D136" s="218"/>
      <c r="E136" s="219"/>
      <c r="F136" s="56">
        <v>9544</v>
      </c>
      <c r="G136" s="56"/>
      <c r="H136" s="86"/>
      <c r="I136" s="63">
        <f>J80</f>
        <v>0</v>
      </c>
      <c r="J136" s="56" t="e">
        <f t="shared" si="5"/>
        <v>#DIV/0!</v>
      </c>
      <c r="K136" s="56">
        <f t="shared" si="6"/>
        <v>0</v>
      </c>
      <c r="L136" s="87"/>
      <c r="M136" s="17" t="e">
        <f t="shared" si="7"/>
        <v>#DIV/0!</v>
      </c>
      <c r="N136" s="13"/>
    </row>
    <row r="137" spans="1:14" ht="15" hidden="1" thickBot="1">
      <c r="A137" s="217"/>
      <c r="B137" s="218"/>
      <c r="C137" s="218"/>
      <c r="D137" s="218"/>
      <c r="E137" s="219"/>
      <c r="F137" s="56">
        <v>9544</v>
      </c>
      <c r="G137" s="118">
        <v>0.5</v>
      </c>
      <c r="H137" s="86"/>
      <c r="I137" s="63">
        <f>J80</f>
        <v>0</v>
      </c>
      <c r="J137" s="56" t="e">
        <f t="shared" si="5"/>
        <v>#DIV/0!</v>
      </c>
      <c r="K137" s="56">
        <f t="shared" si="6"/>
        <v>74557.728000000003</v>
      </c>
      <c r="L137" s="87"/>
      <c r="M137" s="17" t="e">
        <f t="shared" si="7"/>
        <v>#DIV/0!</v>
      </c>
      <c r="N137" s="13"/>
    </row>
    <row r="138" spans="1:14" ht="15.75" hidden="1" customHeight="1">
      <c r="A138" s="217"/>
      <c r="B138" s="218"/>
      <c r="C138" s="218"/>
      <c r="D138" s="218"/>
      <c r="E138" s="219"/>
      <c r="F138" s="56">
        <v>9544</v>
      </c>
      <c r="G138" s="116">
        <v>1</v>
      </c>
      <c r="H138" s="86"/>
      <c r="I138" s="63">
        <f>J80</f>
        <v>0</v>
      </c>
      <c r="J138" s="56" t="e">
        <f t="shared" si="5"/>
        <v>#DIV/0!</v>
      </c>
      <c r="K138" s="56">
        <f t="shared" si="6"/>
        <v>149115.45600000001</v>
      </c>
      <c r="L138" s="87"/>
      <c r="M138" s="17" t="e">
        <f t="shared" si="7"/>
        <v>#DIV/0!</v>
      </c>
      <c r="N138" s="13"/>
    </row>
    <row r="139" spans="1:14" ht="15" hidden="1" customHeight="1">
      <c r="A139" s="244"/>
      <c r="B139" s="244"/>
      <c r="C139" s="244"/>
      <c r="D139" s="244"/>
      <c r="E139" s="244"/>
      <c r="F139" s="56">
        <v>9544</v>
      </c>
      <c r="G139" s="116">
        <v>1</v>
      </c>
      <c r="H139" s="86"/>
      <c r="I139" s="63">
        <f>J80</f>
        <v>0</v>
      </c>
      <c r="J139" s="56" t="e">
        <f t="shared" si="5"/>
        <v>#DIV/0!</v>
      </c>
      <c r="K139" s="56">
        <f t="shared" si="6"/>
        <v>149115.45600000001</v>
      </c>
      <c r="L139" s="87"/>
      <c r="M139" s="17" t="e">
        <f t="shared" si="7"/>
        <v>#DIV/0!</v>
      </c>
      <c r="N139" s="13"/>
    </row>
    <row r="140" spans="1:14" ht="15" hidden="1" customHeight="1">
      <c r="A140" s="244"/>
      <c r="B140" s="244"/>
      <c r="C140" s="244"/>
      <c r="D140" s="244"/>
      <c r="E140" s="244"/>
      <c r="F140" s="56">
        <v>9544</v>
      </c>
      <c r="G140" s="118">
        <v>5.5</v>
      </c>
      <c r="H140" s="86"/>
      <c r="I140" s="63">
        <f>J80</f>
        <v>0</v>
      </c>
      <c r="J140" s="56" t="e">
        <f t="shared" si="5"/>
        <v>#DIV/0!</v>
      </c>
      <c r="K140" s="56">
        <f t="shared" si="6"/>
        <v>820135.00800000003</v>
      </c>
      <c r="L140" s="87"/>
      <c r="M140" s="17" t="e">
        <f t="shared" si="7"/>
        <v>#DIV/0!</v>
      </c>
      <c r="N140" s="13"/>
    </row>
    <row r="141" spans="1:14" ht="15" hidden="1" customHeight="1">
      <c r="A141" s="244"/>
      <c r="B141" s="244"/>
      <c r="C141" s="244"/>
      <c r="D141" s="244"/>
      <c r="E141" s="244"/>
      <c r="F141" s="56">
        <v>9544</v>
      </c>
      <c r="G141" s="116">
        <v>1</v>
      </c>
      <c r="H141" s="86"/>
      <c r="I141" s="63">
        <f>J80</f>
        <v>0</v>
      </c>
      <c r="J141" s="56" t="e">
        <f t="shared" si="5"/>
        <v>#DIV/0!</v>
      </c>
      <c r="K141" s="56">
        <f t="shared" si="6"/>
        <v>149115.45600000001</v>
      </c>
      <c r="L141" s="87"/>
      <c r="M141" s="17" t="e">
        <f t="shared" si="7"/>
        <v>#DIV/0!</v>
      </c>
      <c r="N141" s="13"/>
    </row>
    <row r="142" spans="1:14" ht="15" hidden="1" customHeight="1">
      <c r="A142" s="244"/>
      <c r="B142" s="244"/>
      <c r="C142" s="244"/>
      <c r="D142" s="244"/>
      <c r="E142" s="244"/>
      <c r="F142" s="56">
        <v>9544</v>
      </c>
      <c r="G142" s="118">
        <v>0.5</v>
      </c>
      <c r="H142" s="86"/>
      <c r="I142" s="63">
        <f>J80</f>
        <v>0</v>
      </c>
      <c r="J142" s="56" t="e">
        <f t="shared" si="5"/>
        <v>#DIV/0!</v>
      </c>
      <c r="K142" s="56">
        <f t="shared" si="6"/>
        <v>74557.728000000003</v>
      </c>
      <c r="L142" s="87"/>
      <c r="M142" s="17" t="e">
        <f t="shared" si="7"/>
        <v>#DIV/0!</v>
      </c>
      <c r="N142" s="13"/>
    </row>
    <row r="143" spans="1:14" ht="15" hidden="1" customHeight="1">
      <c r="A143" s="244"/>
      <c r="B143" s="244"/>
      <c r="C143" s="244"/>
      <c r="D143" s="244"/>
      <c r="E143" s="244"/>
      <c r="F143" s="56">
        <v>9544</v>
      </c>
      <c r="G143" s="118">
        <v>0.5</v>
      </c>
      <c r="H143" s="86"/>
      <c r="I143" s="63">
        <f>J80</f>
        <v>0</v>
      </c>
      <c r="J143" s="56" t="e">
        <f t="shared" si="5"/>
        <v>#DIV/0!</v>
      </c>
      <c r="K143" s="56">
        <f t="shared" si="6"/>
        <v>74557.728000000003</v>
      </c>
      <c r="L143" s="87"/>
      <c r="M143" s="17" t="e">
        <f t="shared" si="7"/>
        <v>#DIV/0!</v>
      </c>
      <c r="N143" s="13"/>
    </row>
    <row r="144" spans="1:14" ht="15" hidden="1" thickBot="1">
      <c r="A144" s="244"/>
      <c r="B144" s="244"/>
      <c r="C144" s="244"/>
      <c r="D144" s="244"/>
      <c r="E144" s="244"/>
      <c r="F144" s="56">
        <v>9544</v>
      </c>
      <c r="G144" s="116">
        <v>1</v>
      </c>
      <c r="H144" s="86"/>
      <c r="I144" s="63">
        <f>J80</f>
        <v>0</v>
      </c>
      <c r="J144" s="56" t="e">
        <f t="shared" si="5"/>
        <v>#DIV/0!</v>
      </c>
      <c r="K144" s="56">
        <f t="shared" si="6"/>
        <v>149115.45600000001</v>
      </c>
      <c r="L144" s="87"/>
      <c r="M144" s="17" t="e">
        <f t="shared" si="7"/>
        <v>#DIV/0!</v>
      </c>
      <c r="N144" s="13"/>
    </row>
    <row r="145" spans="1:14" ht="15.75" hidden="1" customHeight="1">
      <c r="A145" s="244"/>
      <c r="B145" s="244"/>
      <c r="C145" s="244"/>
      <c r="D145" s="244"/>
      <c r="E145" s="244"/>
      <c r="F145" s="56">
        <v>9544</v>
      </c>
      <c r="G145" s="116">
        <v>4</v>
      </c>
      <c r="H145" s="86"/>
      <c r="I145" s="63">
        <f>J80</f>
        <v>0</v>
      </c>
      <c r="J145" s="56" t="e">
        <f t="shared" si="5"/>
        <v>#DIV/0!</v>
      </c>
      <c r="K145" s="56">
        <f t="shared" si="6"/>
        <v>596461.82400000002</v>
      </c>
      <c r="L145" s="87"/>
      <c r="M145" s="17" t="e">
        <f t="shared" si="7"/>
        <v>#DIV/0!</v>
      </c>
      <c r="N145" s="13"/>
    </row>
    <row r="146" spans="1:14" ht="16.5" hidden="1" customHeight="1">
      <c r="A146" s="217"/>
      <c r="B146" s="218"/>
      <c r="C146" s="218"/>
      <c r="D146" s="218"/>
      <c r="E146" s="219"/>
      <c r="F146" s="56">
        <v>9544</v>
      </c>
      <c r="G146" s="116">
        <v>1</v>
      </c>
      <c r="H146" s="86"/>
      <c r="I146" s="63">
        <f>J80</f>
        <v>0</v>
      </c>
      <c r="J146" s="56" t="e">
        <f t="shared" si="5"/>
        <v>#DIV/0!</v>
      </c>
      <c r="K146" s="56">
        <f t="shared" si="6"/>
        <v>149115.45600000001</v>
      </c>
      <c r="L146" s="87"/>
      <c r="M146" s="17" t="e">
        <f t="shared" si="7"/>
        <v>#DIV/0!</v>
      </c>
      <c r="N146" s="13"/>
    </row>
    <row r="147" spans="1:14" ht="16.5" hidden="1" customHeight="1">
      <c r="A147" s="217"/>
      <c r="B147" s="218"/>
      <c r="C147" s="218"/>
      <c r="D147" s="218"/>
      <c r="E147" s="219"/>
      <c r="F147" s="56">
        <v>9544</v>
      </c>
      <c r="G147" s="119">
        <v>1.75</v>
      </c>
      <c r="H147" s="86"/>
      <c r="I147" s="63">
        <f>J80</f>
        <v>0</v>
      </c>
      <c r="J147" s="56" t="e">
        <f t="shared" si="5"/>
        <v>#DIV/0!</v>
      </c>
      <c r="K147" s="56">
        <f t="shared" si="6"/>
        <v>260952.04800000001</v>
      </c>
      <c r="L147" s="87"/>
      <c r="M147" s="17" t="e">
        <f t="shared" si="7"/>
        <v>#DIV/0!</v>
      </c>
      <c r="N147" s="13"/>
    </row>
    <row r="148" spans="1:14" ht="16.5" hidden="1" customHeight="1">
      <c r="A148" s="217"/>
      <c r="B148" s="218"/>
      <c r="C148" s="218"/>
      <c r="D148" s="218"/>
      <c r="E148" s="219"/>
      <c r="F148" s="56">
        <v>9544</v>
      </c>
      <c r="G148" s="63"/>
      <c r="H148" s="86"/>
      <c r="I148" s="63">
        <f>J80</f>
        <v>0</v>
      </c>
      <c r="J148" s="56" t="e">
        <f t="shared" si="5"/>
        <v>#DIV/0!</v>
      </c>
      <c r="K148" s="56">
        <f t="shared" si="6"/>
        <v>0</v>
      </c>
      <c r="L148" s="87"/>
      <c r="M148" s="17" t="e">
        <f t="shared" si="7"/>
        <v>#DIV/0!</v>
      </c>
      <c r="N148" s="13"/>
    </row>
    <row r="149" spans="1:14" ht="16.5" hidden="1" customHeight="1">
      <c r="A149" s="217"/>
      <c r="B149" s="218"/>
      <c r="C149" s="218"/>
      <c r="D149" s="218"/>
      <c r="E149" s="219"/>
      <c r="F149" s="56">
        <v>9544</v>
      </c>
      <c r="G149" s="118">
        <v>0.5</v>
      </c>
      <c r="H149" s="86"/>
      <c r="I149" s="63">
        <f>J80</f>
        <v>0</v>
      </c>
      <c r="J149" s="56" t="e">
        <f t="shared" si="5"/>
        <v>#DIV/0!</v>
      </c>
      <c r="K149" s="56">
        <f t="shared" si="6"/>
        <v>74557.728000000003</v>
      </c>
      <c r="L149" s="87"/>
      <c r="M149" s="17" t="e">
        <f t="shared" si="7"/>
        <v>#DIV/0!</v>
      </c>
      <c r="N149" s="13"/>
    </row>
    <row r="150" spans="1:14" ht="15" hidden="1" customHeight="1">
      <c r="A150" s="217"/>
      <c r="B150" s="218"/>
      <c r="C150" s="218"/>
      <c r="D150" s="218"/>
      <c r="E150" s="219"/>
      <c r="F150" s="56"/>
      <c r="G150" s="56"/>
      <c r="H150" s="56"/>
      <c r="I150" s="56"/>
      <c r="J150" s="56"/>
      <c r="K150" s="56"/>
      <c r="L150" s="87"/>
      <c r="M150" s="17">
        <f t="shared" si="7"/>
        <v>0</v>
      </c>
      <c r="N150" s="13"/>
    </row>
    <row r="151" spans="1:14" ht="15.75" hidden="1" customHeight="1">
      <c r="A151" s="217"/>
      <c r="B151" s="218"/>
      <c r="C151" s="218"/>
      <c r="D151" s="218"/>
      <c r="E151" s="219"/>
      <c r="F151" s="56"/>
      <c r="G151" s="56"/>
      <c r="H151" s="56"/>
      <c r="I151" s="56"/>
      <c r="J151" s="56"/>
      <c r="K151" s="56"/>
      <c r="L151" s="87"/>
      <c r="M151" s="17">
        <f t="shared" si="7"/>
        <v>0</v>
      </c>
      <c r="N151" s="13"/>
    </row>
    <row r="152" spans="1:14" ht="14.25" hidden="1" customHeight="1">
      <c r="A152" s="217"/>
      <c r="B152" s="218"/>
      <c r="C152" s="218"/>
      <c r="D152" s="218"/>
      <c r="E152" s="219"/>
      <c r="F152" s="56"/>
      <c r="G152" s="56"/>
      <c r="H152" s="56"/>
      <c r="I152" s="56"/>
      <c r="J152" s="86">
        <v>105</v>
      </c>
      <c r="K152" s="88">
        <f>I152/J152</f>
        <v>0</v>
      </c>
      <c r="L152" s="87"/>
      <c r="M152" s="44">
        <f t="shared" si="7"/>
        <v>0</v>
      </c>
      <c r="N152" s="13"/>
    </row>
    <row r="153" spans="1:14" ht="15" thickBot="1">
      <c r="A153" s="220" t="s">
        <v>81</v>
      </c>
      <c r="B153" s="220"/>
      <c r="C153" s="220"/>
      <c r="D153" s="220"/>
      <c r="E153" s="220"/>
      <c r="F153" s="120"/>
      <c r="G153" s="171"/>
      <c r="H153" s="171"/>
      <c r="I153" s="146">
        <f>I127</f>
        <v>88066.92</v>
      </c>
      <c r="J153" s="89"/>
      <c r="K153" s="122">
        <f>K127</f>
        <v>3522.6767999999997</v>
      </c>
      <c r="L153" s="87"/>
      <c r="M153" s="24"/>
      <c r="N153" s="13"/>
    </row>
    <row r="154" spans="1:14" ht="24.75" customHeight="1">
      <c r="A154" s="87"/>
      <c r="B154" s="87"/>
      <c r="C154" s="87"/>
      <c r="D154" s="87"/>
      <c r="E154" s="87"/>
      <c r="F154" s="87"/>
      <c r="G154" s="87"/>
      <c r="H154" s="87"/>
      <c r="I154" s="87"/>
      <c r="J154" s="87"/>
      <c r="K154" s="87"/>
      <c r="L154" s="87"/>
      <c r="M154" s="11"/>
      <c r="N154" s="11"/>
    </row>
    <row r="155" spans="1:14" hidden="1">
      <c r="A155" s="221" t="s">
        <v>38</v>
      </c>
      <c r="B155" s="221"/>
      <c r="C155" s="221"/>
      <c r="D155" s="221"/>
      <c r="E155" s="221"/>
      <c r="F155" s="221"/>
      <c r="G155" s="221"/>
      <c r="H155" s="221"/>
      <c r="I155" s="221"/>
      <c r="J155" s="221"/>
      <c r="K155" s="221"/>
      <c r="L155" s="221"/>
      <c r="M155" s="221"/>
      <c r="N155" s="11"/>
    </row>
    <row r="156" spans="1:14" hidden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  <c r="N156" s="11"/>
    </row>
    <row r="157" spans="1:14" ht="42" hidden="1">
      <c r="A157" s="222" t="s">
        <v>39</v>
      </c>
      <c r="B157" s="222"/>
      <c r="C157" s="222"/>
      <c r="D157" s="222"/>
      <c r="E157" s="222"/>
      <c r="F157" s="9" t="s">
        <v>7</v>
      </c>
      <c r="G157" s="9" t="s">
        <v>18</v>
      </c>
      <c r="H157" s="9" t="s">
        <v>19</v>
      </c>
      <c r="I157" s="9" t="s">
        <v>20</v>
      </c>
      <c r="J157" s="9"/>
      <c r="K157" s="9" t="s">
        <v>21</v>
      </c>
      <c r="L157" s="9" t="s">
        <v>22</v>
      </c>
      <c r="M157" s="9" t="s">
        <v>82</v>
      </c>
      <c r="N157" s="11"/>
    </row>
    <row r="158" spans="1:14" hidden="1">
      <c r="A158" s="231" t="s">
        <v>40</v>
      </c>
      <c r="B158" s="231"/>
      <c r="C158" s="231"/>
      <c r="D158" s="231"/>
      <c r="E158" s="231"/>
      <c r="F158" s="12" t="s">
        <v>43</v>
      </c>
      <c r="G158" s="12">
        <v>0</v>
      </c>
      <c r="H158" s="54">
        <f>M85</f>
        <v>0</v>
      </c>
      <c r="I158" s="45">
        <f>J55</f>
        <v>0</v>
      </c>
      <c r="J158" s="45"/>
      <c r="K158" s="12"/>
      <c r="L158" s="12"/>
      <c r="M158" s="12"/>
      <c r="N158" s="11"/>
    </row>
    <row r="159" spans="1:14" hidden="1">
      <c r="A159" s="231" t="s">
        <v>41</v>
      </c>
      <c r="B159" s="231"/>
      <c r="C159" s="231"/>
      <c r="D159" s="231"/>
      <c r="E159" s="231"/>
      <c r="F159" s="12" t="s">
        <v>44</v>
      </c>
      <c r="G159" s="12">
        <v>0</v>
      </c>
      <c r="H159" s="54">
        <f>M85</f>
        <v>0</v>
      </c>
      <c r="I159" s="45">
        <f>J55</f>
        <v>0</v>
      </c>
      <c r="J159" s="45"/>
      <c r="K159" s="12"/>
      <c r="L159" s="12"/>
      <c r="M159" s="12"/>
      <c r="N159" s="11"/>
    </row>
    <row r="160" spans="1:14" hidden="1">
      <c r="A160" s="231" t="s">
        <v>42</v>
      </c>
      <c r="B160" s="231"/>
      <c r="C160" s="231"/>
      <c r="D160" s="231"/>
      <c r="E160" s="231"/>
      <c r="F160" s="12" t="s">
        <v>44</v>
      </c>
      <c r="G160" s="12">
        <v>0</v>
      </c>
      <c r="H160" s="54">
        <f>M85</f>
        <v>0</v>
      </c>
      <c r="I160" s="45">
        <f>J55</f>
        <v>0</v>
      </c>
      <c r="J160" s="45"/>
      <c r="K160" s="12"/>
      <c r="L160" s="12"/>
      <c r="M160" s="12"/>
      <c r="N160" s="11"/>
    </row>
    <row r="161" spans="1:14" hidden="1">
      <c r="A161" s="232" t="s">
        <v>45</v>
      </c>
      <c r="B161" s="233"/>
      <c r="C161" s="233"/>
      <c r="D161" s="233"/>
      <c r="E161" s="233"/>
      <c r="F161" s="233"/>
      <c r="G161" s="233"/>
      <c r="H161" s="233"/>
      <c r="I161" s="233"/>
      <c r="J161" s="233"/>
      <c r="K161" s="233"/>
      <c r="L161" s="234"/>
      <c r="M161" s="58">
        <f>M158+M159+M160</f>
        <v>0</v>
      </c>
      <c r="N161" s="11"/>
    </row>
    <row r="162" spans="1:14" hidden="1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1"/>
    </row>
    <row r="163" spans="1:14" hidden="1">
      <c r="A163" s="223" t="s">
        <v>93</v>
      </c>
      <c r="B163" s="224"/>
      <c r="C163" s="224"/>
      <c r="D163" s="224"/>
      <c r="E163" s="224"/>
      <c r="F163" s="224"/>
      <c r="G163" s="224"/>
      <c r="H163" s="224"/>
      <c r="I163" s="224"/>
      <c r="J163" s="224"/>
      <c r="K163" s="224"/>
      <c r="L163" s="224"/>
      <c r="M163" s="11"/>
      <c r="N163" s="11"/>
    </row>
    <row r="164" spans="1:14" hidden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  <c r="N164" s="11"/>
    </row>
    <row r="165" spans="1:14" ht="55.8" hidden="1">
      <c r="A165" s="214" t="s">
        <v>66</v>
      </c>
      <c r="B165" s="215"/>
      <c r="C165" s="215"/>
      <c r="D165" s="215"/>
      <c r="E165" s="216"/>
      <c r="F165" s="9" t="s">
        <v>7</v>
      </c>
      <c r="G165" s="9" t="s">
        <v>18</v>
      </c>
      <c r="H165" s="37" t="s">
        <v>22</v>
      </c>
      <c r="I165" s="9" t="s">
        <v>82</v>
      </c>
      <c r="J165" s="37" t="s">
        <v>78</v>
      </c>
      <c r="K165" s="37" t="s">
        <v>73</v>
      </c>
      <c r="L165" s="11"/>
      <c r="M165" s="11"/>
      <c r="N165" s="11"/>
    </row>
    <row r="166" spans="1:14" hidden="1">
      <c r="A166" s="225">
        <v>1</v>
      </c>
      <c r="B166" s="226"/>
      <c r="C166" s="226"/>
      <c r="D166" s="226"/>
      <c r="E166" s="227"/>
      <c r="F166" s="37">
        <v>2</v>
      </c>
      <c r="G166" s="37">
        <v>3</v>
      </c>
      <c r="H166" s="37">
        <v>4</v>
      </c>
      <c r="I166" s="37">
        <v>5</v>
      </c>
      <c r="J166" s="38">
        <v>6</v>
      </c>
      <c r="K166" s="54">
        <v>7</v>
      </c>
      <c r="L166" s="11"/>
      <c r="M166" s="11"/>
      <c r="N166" s="11"/>
    </row>
    <row r="167" spans="1:14" hidden="1">
      <c r="A167" s="228" t="s">
        <v>95</v>
      </c>
      <c r="B167" s="229"/>
      <c r="C167" s="229"/>
      <c r="D167" s="229"/>
      <c r="E167" s="230"/>
      <c r="F167" s="17"/>
      <c r="G167" s="18"/>
      <c r="H167" s="17"/>
      <c r="I167" s="17"/>
      <c r="J167" s="18">
        <v>30</v>
      </c>
      <c r="K167" s="10">
        <f>I167/J167</f>
        <v>0</v>
      </c>
      <c r="L167" s="11"/>
      <c r="M167" s="11"/>
      <c r="N167" s="11"/>
    </row>
    <row r="168" spans="1:14" ht="15" hidden="1" thickBot="1">
      <c r="A168" s="69" t="s">
        <v>94</v>
      </c>
      <c r="B168" s="70"/>
      <c r="C168" s="70"/>
      <c r="D168" s="70"/>
      <c r="E168" s="70"/>
      <c r="F168" s="70"/>
      <c r="G168" s="70"/>
      <c r="H168" s="70"/>
      <c r="I168" s="59">
        <f>I167</f>
        <v>0</v>
      </c>
      <c r="J168" s="60"/>
      <c r="K168" s="61">
        <f>K167</f>
        <v>0</v>
      </c>
      <c r="L168" s="11"/>
      <c r="M168" s="11"/>
      <c r="N168" s="11"/>
    </row>
    <row r="169" spans="1:14" hidden="1">
      <c r="A169" s="213" t="s">
        <v>65</v>
      </c>
      <c r="B169" s="213"/>
      <c r="C169" s="213"/>
      <c r="D169" s="213"/>
      <c r="E169" s="213"/>
      <c r="F169" s="213"/>
      <c r="G169" s="213"/>
      <c r="H169" s="213"/>
      <c r="I169" s="213"/>
      <c r="J169" s="213"/>
      <c r="K169" s="213"/>
      <c r="L169" s="213"/>
      <c r="M169" s="213"/>
      <c r="N169" s="11"/>
    </row>
    <row r="170" spans="1:14" hidden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</row>
    <row r="171" spans="1:14" hidden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  <c r="N171" s="11"/>
    </row>
    <row r="172" spans="1:14" hidden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</row>
    <row r="173" spans="1:14" hidden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</row>
    <row r="174" spans="1:14" ht="55.8" hidden="1">
      <c r="A174" s="214" t="s">
        <v>66</v>
      </c>
      <c r="B174" s="215"/>
      <c r="C174" s="215"/>
      <c r="D174" s="215"/>
      <c r="E174" s="216"/>
      <c r="F174" s="9" t="s">
        <v>7</v>
      </c>
      <c r="G174" s="9" t="s">
        <v>18</v>
      </c>
      <c r="H174" s="37" t="s">
        <v>22</v>
      </c>
      <c r="I174" s="9" t="s">
        <v>82</v>
      </c>
      <c r="J174" s="9" t="s">
        <v>105</v>
      </c>
      <c r="K174" s="9" t="s">
        <v>106</v>
      </c>
      <c r="L174" s="11"/>
      <c r="M174" s="11"/>
      <c r="N174" s="11"/>
    </row>
    <row r="175" spans="1:14" hidden="1">
      <c r="A175" s="225">
        <v>1</v>
      </c>
      <c r="B175" s="226"/>
      <c r="C175" s="226"/>
      <c r="D175" s="226"/>
      <c r="E175" s="227"/>
      <c r="F175" s="37">
        <v>2</v>
      </c>
      <c r="G175" s="37">
        <v>3</v>
      </c>
      <c r="H175" s="37">
        <v>4</v>
      </c>
      <c r="I175" s="37">
        <v>5</v>
      </c>
      <c r="J175" s="38">
        <v>6</v>
      </c>
      <c r="K175" s="54">
        <v>7</v>
      </c>
      <c r="L175" s="11"/>
      <c r="M175" s="62"/>
      <c r="N175" s="11"/>
    </row>
    <row r="176" spans="1:14" hidden="1">
      <c r="A176" s="228" t="s">
        <v>68</v>
      </c>
      <c r="B176" s="229"/>
      <c r="C176" s="229"/>
      <c r="D176" s="229"/>
      <c r="E176" s="230"/>
      <c r="F176" s="17" t="s">
        <v>31</v>
      </c>
      <c r="G176" s="18">
        <v>0</v>
      </c>
      <c r="H176" s="17"/>
      <c r="I176" s="17">
        <f>J55</f>
        <v>0</v>
      </c>
      <c r="J176" s="24"/>
      <c r="K176" s="11"/>
      <c r="L176" s="11"/>
      <c r="M176" s="46">
        <f>J176*H176</f>
        <v>0</v>
      </c>
      <c r="N176" s="11"/>
    </row>
    <row r="177" spans="1:14" hidden="1">
      <c r="A177" s="228" t="s">
        <v>69</v>
      </c>
      <c r="B177" s="229"/>
      <c r="C177" s="229"/>
      <c r="D177" s="229"/>
      <c r="E177" s="230"/>
      <c r="F177" s="17" t="s">
        <v>31</v>
      </c>
      <c r="G177" s="18">
        <v>0</v>
      </c>
      <c r="H177" s="17"/>
      <c r="I177" s="17">
        <f>J55</f>
        <v>0</v>
      </c>
      <c r="J177" s="24"/>
      <c r="K177" s="11"/>
      <c r="L177" s="11"/>
      <c r="M177" s="17"/>
      <c r="N177" s="11"/>
    </row>
    <row r="178" spans="1:14" hidden="1">
      <c r="A178" s="228" t="s">
        <v>70</v>
      </c>
      <c r="B178" s="229"/>
      <c r="C178" s="229"/>
      <c r="D178" s="229"/>
      <c r="E178" s="230"/>
      <c r="F178" s="17" t="s">
        <v>91</v>
      </c>
      <c r="G178" s="63"/>
      <c r="H178" s="17"/>
      <c r="I178" s="43"/>
      <c r="J178" s="86">
        <v>3260</v>
      </c>
      <c r="K178" s="64">
        <f>I178/J178</f>
        <v>0</v>
      </c>
      <c r="L178" s="11"/>
      <c r="M178" s="11"/>
      <c r="N178" s="11"/>
    </row>
    <row r="179" spans="1:14" ht="15" hidden="1" thickBot="1">
      <c r="A179" s="69" t="s">
        <v>67</v>
      </c>
      <c r="B179" s="70"/>
      <c r="C179" s="70"/>
      <c r="D179" s="70"/>
      <c r="E179" s="70"/>
      <c r="F179" s="70"/>
      <c r="G179" s="70"/>
      <c r="H179" s="70"/>
      <c r="I179" s="59">
        <f>I178</f>
        <v>0</v>
      </c>
      <c r="J179" s="57"/>
      <c r="K179" s="48">
        <f>K178</f>
        <v>0</v>
      </c>
      <c r="L179" s="11"/>
      <c r="M179" s="11"/>
      <c r="N179" s="11"/>
    </row>
    <row r="180" spans="1:14">
      <c r="A180" s="76"/>
      <c r="B180" s="76"/>
      <c r="C180" s="76"/>
      <c r="D180" s="76"/>
      <c r="E180" s="76"/>
      <c r="F180" s="76"/>
      <c r="G180" s="76"/>
      <c r="H180" s="76"/>
      <c r="I180" s="52"/>
      <c r="J180" s="78"/>
      <c r="K180" s="53"/>
      <c r="L180" s="11"/>
      <c r="M180" s="11"/>
      <c r="N180" s="11"/>
    </row>
    <row r="181" spans="1:14">
      <c r="A181" s="11"/>
      <c r="B181" s="11"/>
      <c r="C181" s="11"/>
      <c r="D181" s="11"/>
      <c r="E181" s="11"/>
      <c r="F181" s="11"/>
      <c r="G181" s="11"/>
      <c r="H181" s="11"/>
      <c r="I181" s="13"/>
      <c r="J181" s="13"/>
      <c r="K181" s="13"/>
      <c r="L181" s="11"/>
      <c r="M181" s="11"/>
      <c r="N181" s="11"/>
    </row>
    <row r="182" spans="1:14">
      <c r="A182" s="238" t="s">
        <v>101</v>
      </c>
      <c r="B182" s="238"/>
      <c r="C182" s="238"/>
      <c r="D182" s="238"/>
      <c r="E182" s="238"/>
      <c r="F182" s="238"/>
      <c r="G182" s="238"/>
      <c r="H182" s="238"/>
      <c r="I182" s="238"/>
      <c r="J182" s="238"/>
      <c r="K182" s="238"/>
      <c r="L182" s="238"/>
      <c r="M182" s="11"/>
      <c r="N182" s="11"/>
    </row>
    <row r="183" spans="1:14" ht="55.8">
      <c r="A183" s="214" t="s">
        <v>102</v>
      </c>
      <c r="B183" s="215"/>
      <c r="C183" s="215"/>
      <c r="D183" s="215"/>
      <c r="E183" s="216"/>
      <c r="F183" s="170" t="s">
        <v>7</v>
      </c>
      <c r="G183" s="170" t="s">
        <v>90</v>
      </c>
      <c r="H183" s="170" t="s">
        <v>71</v>
      </c>
      <c r="I183" s="170" t="s">
        <v>82</v>
      </c>
      <c r="J183" s="9" t="s">
        <v>105</v>
      </c>
      <c r="K183" s="9" t="s">
        <v>135</v>
      </c>
      <c r="L183" s="73"/>
      <c r="M183" s="11"/>
      <c r="N183" s="11"/>
    </row>
    <row r="184" spans="1:14" ht="20.25" customHeight="1">
      <c r="A184" s="244" t="s">
        <v>179</v>
      </c>
      <c r="B184" s="244"/>
      <c r="C184" s="244"/>
      <c r="D184" s="244"/>
      <c r="E184" s="244"/>
      <c r="F184" s="77"/>
      <c r="G184" s="115">
        <v>70</v>
      </c>
      <c r="H184" s="150">
        <v>150</v>
      </c>
      <c r="I184" s="82">
        <f>10500*2.5%</f>
        <v>262.5</v>
      </c>
      <c r="J184" s="86">
        <v>25</v>
      </c>
      <c r="K184" s="40">
        <f>I184/J184</f>
        <v>10.5</v>
      </c>
      <c r="L184" s="26"/>
      <c r="M184" s="11"/>
      <c r="N184" s="11"/>
    </row>
    <row r="185" spans="1:14">
      <c r="A185" s="250" t="s">
        <v>180</v>
      </c>
      <c r="B185" s="253"/>
      <c r="C185" s="253"/>
      <c r="D185" s="253"/>
      <c r="E185" s="254"/>
      <c r="F185" s="10"/>
      <c r="G185" s="10"/>
      <c r="H185" s="10"/>
      <c r="I185" s="85">
        <f>1440*2.5%</f>
        <v>36</v>
      </c>
      <c r="J185" s="86">
        <v>25</v>
      </c>
      <c r="K185" s="40">
        <f>I185/J185</f>
        <v>1.44</v>
      </c>
      <c r="L185" s="11"/>
      <c r="M185" s="11"/>
      <c r="N185" s="11"/>
    </row>
    <row r="186" spans="1:14" ht="15" thickBot="1">
      <c r="A186" s="241" t="s">
        <v>94</v>
      </c>
      <c r="B186" s="241"/>
      <c r="C186" s="241"/>
      <c r="D186" s="241"/>
      <c r="E186" s="241"/>
      <c r="F186" s="242"/>
      <c r="G186" s="242"/>
      <c r="H186" s="243"/>
      <c r="I186" s="176">
        <f>I184+I185</f>
        <v>298.5</v>
      </c>
      <c r="J186" s="177"/>
      <c r="K186" s="207">
        <f>SUM(K184:K185)</f>
        <v>11.94</v>
      </c>
      <c r="L186" s="11"/>
      <c r="M186" s="11"/>
      <c r="N186" s="90">
        <f>I186/88.1%</f>
        <v>338.81952326901251</v>
      </c>
    </row>
    <row r="187" spans="1:14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  <c r="N187" s="11"/>
    </row>
    <row r="188" spans="1:14">
      <c r="A188" s="245" t="s">
        <v>136</v>
      </c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38"/>
      <c r="M188" s="11"/>
      <c r="N188" s="13"/>
    </row>
    <row r="189" spans="1:14" ht="55.8">
      <c r="A189" s="222" t="s">
        <v>134</v>
      </c>
      <c r="B189" s="222"/>
      <c r="C189" s="222"/>
      <c r="D189" s="222"/>
      <c r="E189" s="222"/>
      <c r="F189" s="111" t="s">
        <v>7</v>
      </c>
      <c r="G189" s="111" t="s">
        <v>90</v>
      </c>
      <c r="H189" s="111" t="s">
        <v>71</v>
      </c>
      <c r="I189" s="111" t="s">
        <v>82</v>
      </c>
      <c r="J189" s="9" t="s">
        <v>105</v>
      </c>
      <c r="K189" s="9" t="s">
        <v>135</v>
      </c>
      <c r="L189" s="73"/>
      <c r="M189" s="11"/>
      <c r="N189" s="13"/>
    </row>
    <row r="190" spans="1:14" ht="28.5" customHeight="1">
      <c r="A190" s="317" t="s">
        <v>143</v>
      </c>
      <c r="B190" s="318"/>
      <c r="C190" s="318"/>
      <c r="D190" s="318"/>
      <c r="E190" s="319"/>
      <c r="F190" s="10" t="s">
        <v>44</v>
      </c>
      <c r="G190" s="111"/>
      <c r="H190" s="111"/>
      <c r="I190" s="187">
        <v>30700</v>
      </c>
      <c r="J190" s="86">
        <v>25</v>
      </c>
      <c r="K190" s="110">
        <f>I190/J190</f>
        <v>1228</v>
      </c>
      <c r="L190" s="73"/>
      <c r="M190" s="11"/>
      <c r="N190" s="13"/>
    </row>
    <row r="191" spans="1:14" ht="28.5" customHeight="1">
      <c r="A191" s="317" t="s">
        <v>183</v>
      </c>
      <c r="B191" s="318"/>
      <c r="C191" s="318"/>
      <c r="D191" s="318"/>
      <c r="E191" s="319"/>
      <c r="F191" s="10" t="s">
        <v>44</v>
      </c>
      <c r="G191" s="173"/>
      <c r="H191" s="173"/>
      <c r="I191" s="187">
        <v>20000</v>
      </c>
      <c r="J191" s="86">
        <v>25</v>
      </c>
      <c r="K191" s="172">
        <f>I191/J191</f>
        <v>800</v>
      </c>
      <c r="L191" s="73"/>
      <c r="M191" s="11"/>
      <c r="N191" s="13"/>
    </row>
    <row r="192" spans="1:14" ht="33" customHeight="1">
      <c r="A192" s="317" t="s">
        <v>170</v>
      </c>
      <c r="B192" s="318"/>
      <c r="C192" s="318"/>
      <c r="D192" s="318"/>
      <c r="E192" s="319"/>
      <c r="F192" s="10" t="s">
        <v>44</v>
      </c>
      <c r="G192" s="111"/>
      <c r="H192" s="111"/>
      <c r="I192" s="187">
        <v>25000</v>
      </c>
      <c r="J192" s="86">
        <v>25</v>
      </c>
      <c r="K192" s="110">
        <f>I192/J192</f>
        <v>1000</v>
      </c>
      <c r="L192" s="73"/>
      <c r="M192" s="11"/>
      <c r="N192" s="13"/>
    </row>
    <row r="193" spans="1:14" ht="31.5" customHeight="1" thickBot="1">
      <c r="A193" s="339" t="s">
        <v>184</v>
      </c>
      <c r="B193" s="339"/>
      <c r="C193" s="339"/>
      <c r="D193" s="339"/>
      <c r="E193" s="339"/>
      <c r="F193" s="10" t="s">
        <v>44</v>
      </c>
      <c r="G193" s="124"/>
      <c r="H193" s="125"/>
      <c r="I193" s="188">
        <v>50000</v>
      </c>
      <c r="J193" s="54">
        <v>25</v>
      </c>
      <c r="K193" s="133">
        <f>I193/J193</f>
        <v>2000</v>
      </c>
      <c r="L193" s="74"/>
      <c r="M193" s="11"/>
      <c r="N193" s="13"/>
    </row>
    <row r="194" spans="1:14" ht="15" thickBot="1">
      <c r="A194" s="239"/>
      <c r="B194" s="240"/>
      <c r="C194" s="240"/>
      <c r="D194" s="240"/>
      <c r="E194" s="240"/>
      <c r="F194" s="240"/>
      <c r="G194" s="240"/>
      <c r="H194" s="240"/>
      <c r="I194" s="131">
        <f>I190+I192+I193+I191</f>
        <v>125700</v>
      </c>
      <c r="J194" s="128"/>
      <c r="K194" s="134">
        <f>SUM(K190:K193)</f>
        <v>5028</v>
      </c>
      <c r="L194" s="26"/>
      <c r="M194" s="11"/>
      <c r="N194" s="13"/>
    </row>
    <row r="195" spans="1:14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3"/>
    </row>
    <row r="196" spans="1:14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</row>
    <row r="197" spans="1:14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</row>
    <row r="198" spans="1:14">
      <c r="A198" s="221" t="s">
        <v>46</v>
      </c>
      <c r="B198" s="221"/>
      <c r="C198" s="221"/>
      <c r="D198" s="221"/>
      <c r="E198" s="221"/>
      <c r="F198" s="221"/>
      <c r="G198" s="221"/>
      <c r="H198" s="221"/>
      <c r="I198" s="221"/>
      <c r="J198" s="221"/>
      <c r="K198" s="221"/>
      <c r="L198" s="221"/>
      <c r="M198" s="221"/>
      <c r="N198" s="11"/>
    </row>
    <row r="199" spans="1:14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</row>
    <row r="200" spans="1:14" ht="47.25" customHeight="1">
      <c r="A200" s="237" t="s">
        <v>47</v>
      </c>
      <c r="B200" s="237"/>
      <c r="C200" s="237"/>
      <c r="D200" s="222" t="s">
        <v>48</v>
      </c>
      <c r="E200" s="222"/>
      <c r="F200" s="222"/>
      <c r="G200" s="222"/>
      <c r="H200" s="222"/>
      <c r="I200" s="222"/>
      <c r="J200" s="222"/>
      <c r="K200" s="222"/>
      <c r="L200" s="237" t="s">
        <v>58</v>
      </c>
      <c r="M200" s="237"/>
      <c r="N200" s="11"/>
    </row>
    <row r="201" spans="1:14" ht="28.2">
      <c r="A201" s="10" t="s">
        <v>49</v>
      </c>
      <c r="B201" s="9" t="s">
        <v>50</v>
      </c>
      <c r="C201" s="10" t="s">
        <v>51</v>
      </c>
      <c r="D201" s="10" t="s">
        <v>52</v>
      </c>
      <c r="E201" s="10" t="s">
        <v>53</v>
      </c>
      <c r="F201" s="10" t="s">
        <v>137</v>
      </c>
      <c r="G201" s="10" t="s">
        <v>54</v>
      </c>
      <c r="H201" s="10" t="s">
        <v>55</v>
      </c>
      <c r="I201" s="10" t="s">
        <v>56</v>
      </c>
      <c r="J201" s="10" t="s">
        <v>96</v>
      </c>
      <c r="K201" s="10" t="s">
        <v>57</v>
      </c>
      <c r="L201" s="237"/>
      <c r="M201" s="237"/>
      <c r="N201" s="11"/>
    </row>
    <row r="202" spans="1:14">
      <c r="A202" s="17">
        <f>K55</f>
        <v>5387.6231999999991</v>
      </c>
      <c r="B202" s="17"/>
      <c r="C202" s="17"/>
      <c r="D202" s="17">
        <f>K94</f>
        <v>425.2999999999999</v>
      </c>
      <c r="E202" s="17">
        <f>K104</f>
        <v>72.7774</v>
      </c>
      <c r="F202" s="17">
        <f>K194</f>
        <v>5028</v>
      </c>
      <c r="G202" s="17">
        <f>L119</f>
        <v>60.882600000000004</v>
      </c>
      <c r="H202" s="17">
        <f>K179</f>
        <v>0</v>
      </c>
      <c r="I202" s="17">
        <f>K153</f>
        <v>3522.6767999999997</v>
      </c>
      <c r="J202" s="17">
        <f>K186</f>
        <v>11.94</v>
      </c>
      <c r="K202" s="20">
        <f>J113</f>
        <v>84</v>
      </c>
      <c r="L202" s="235">
        <f>SUM(A202:K202)</f>
        <v>14593.2</v>
      </c>
      <c r="M202" s="236"/>
      <c r="N202" s="13"/>
    </row>
    <row r="203" spans="1:14" ht="15" thickBo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</row>
    <row r="204" spans="1:14" ht="15" thickBo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N204" s="148">
        <f>L202*25</f>
        <v>364830</v>
      </c>
    </row>
    <row r="205" spans="1:14" ht="15" thickBot="1">
      <c r="A205" s="14" t="s">
        <v>107</v>
      </c>
      <c r="B205" s="14"/>
      <c r="C205" s="14"/>
      <c r="D205" s="11"/>
      <c r="E205" s="11"/>
      <c r="F205" s="11"/>
      <c r="G205" s="11"/>
      <c r="H205" s="11"/>
      <c r="I205" s="11"/>
      <c r="J205" s="13"/>
      <c r="K205" s="145">
        <f>I55+I94+I104+H113+J119+I153+I179+I168+I186+I194</f>
        <v>364830</v>
      </c>
      <c r="L205" s="11"/>
      <c r="M205" s="11"/>
      <c r="N205" s="11"/>
    </row>
    <row r="206" spans="1:14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</row>
    <row r="207" spans="1:14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65"/>
      <c r="L207" s="11"/>
      <c r="M207" s="11"/>
      <c r="N207" s="11"/>
    </row>
    <row r="208" spans="1:14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</row>
    <row r="209" spans="1:11" ht="18">
      <c r="A209" s="3" t="s">
        <v>108</v>
      </c>
      <c r="B209" s="3"/>
      <c r="C209" s="3"/>
      <c r="G209" s="3" t="s">
        <v>190</v>
      </c>
      <c r="K209" s="141"/>
    </row>
    <row r="212" spans="1:11" ht="15.6">
      <c r="A212" s="7" t="s">
        <v>72</v>
      </c>
      <c r="B212" s="7"/>
    </row>
    <row r="213" spans="1:11" ht="15.6">
      <c r="A213" s="7" t="s">
        <v>181</v>
      </c>
      <c r="B213" s="7"/>
    </row>
    <row r="214" spans="1:11" ht="15.6">
      <c r="A214" s="7" t="s">
        <v>182</v>
      </c>
      <c r="C214" s="7"/>
    </row>
    <row r="216" spans="1:11">
      <c r="I216" s="11">
        <v>9565200</v>
      </c>
      <c r="J216" s="141">
        <f>K205-I194</f>
        <v>239130</v>
      </c>
    </row>
    <row r="217" spans="1:11">
      <c r="J217">
        <f>J216/2.5%</f>
        <v>9565200</v>
      </c>
    </row>
    <row r="219" spans="1:11" ht="15.6">
      <c r="C219" s="7"/>
    </row>
    <row r="220" spans="1:11" ht="15.6">
      <c r="A220" s="2"/>
      <c r="B220" s="2"/>
      <c r="C220" s="2"/>
    </row>
  </sheetData>
  <mergeCells count="193">
    <mergeCell ref="A185:E185"/>
    <mergeCell ref="A6:C6"/>
    <mergeCell ref="E6:G6"/>
    <mergeCell ref="A8:G8"/>
    <mergeCell ref="A9:H9"/>
    <mergeCell ref="A13:M13"/>
    <mergeCell ref="A15:M15"/>
    <mergeCell ref="A2:D2"/>
    <mergeCell ref="E2:H2"/>
    <mergeCell ref="A3:B3"/>
    <mergeCell ref="E3:F3"/>
    <mergeCell ref="A4:C4"/>
    <mergeCell ref="E4:G4"/>
    <mergeCell ref="J4:M4"/>
    <mergeCell ref="A20:E20"/>
    <mergeCell ref="G20:L20"/>
    <mergeCell ref="A21:E21"/>
    <mergeCell ref="G21:L21"/>
    <mergeCell ref="A22:E22"/>
    <mergeCell ref="G22:L22"/>
    <mergeCell ref="A17:E17"/>
    <mergeCell ref="G17:L17"/>
    <mergeCell ref="A18:E18"/>
    <mergeCell ref="G18:L18"/>
    <mergeCell ref="A19:E19"/>
    <mergeCell ref="G19:L19"/>
    <mergeCell ref="A26:E26"/>
    <mergeCell ref="G26:L26"/>
    <mergeCell ref="A27:E27"/>
    <mergeCell ref="G27:L27"/>
    <mergeCell ref="A28:E28"/>
    <mergeCell ref="A29:E29"/>
    <mergeCell ref="A23:E23"/>
    <mergeCell ref="G23:L23"/>
    <mergeCell ref="A24:E24"/>
    <mergeCell ref="G24:L24"/>
    <mergeCell ref="A25:E25"/>
    <mergeCell ref="G25:L25"/>
    <mergeCell ref="G28:L28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48:M48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45:E45"/>
    <mergeCell ref="G45:L45"/>
    <mergeCell ref="A62:E62"/>
    <mergeCell ref="A63:E63"/>
    <mergeCell ref="A64:E64"/>
    <mergeCell ref="A65:E65"/>
    <mergeCell ref="A66:E66"/>
    <mergeCell ref="A67:E67"/>
    <mergeCell ref="A54:E54"/>
    <mergeCell ref="A55:E55"/>
    <mergeCell ref="A58:M58"/>
    <mergeCell ref="A60:E60"/>
    <mergeCell ref="A61:E61"/>
    <mergeCell ref="A74:E74"/>
    <mergeCell ref="A75:E75"/>
    <mergeCell ref="A76:E76"/>
    <mergeCell ref="A77:E77"/>
    <mergeCell ref="A78:E78"/>
    <mergeCell ref="A79:E79"/>
    <mergeCell ref="A68:E68"/>
    <mergeCell ref="A69:E69"/>
    <mergeCell ref="A70:E70"/>
    <mergeCell ref="A71:E71"/>
    <mergeCell ref="A72:E72"/>
    <mergeCell ref="A73:E73"/>
    <mergeCell ref="A89:E89"/>
    <mergeCell ref="A90:E90"/>
    <mergeCell ref="A91:E91"/>
    <mergeCell ref="A92:E92"/>
    <mergeCell ref="A93:E93"/>
    <mergeCell ref="A96:M96"/>
    <mergeCell ref="A80:E80"/>
    <mergeCell ref="A81:L81"/>
    <mergeCell ref="A83:M83"/>
    <mergeCell ref="A85:L85"/>
    <mergeCell ref="A87:E87"/>
    <mergeCell ref="A88:E88"/>
    <mergeCell ref="A94:E94"/>
    <mergeCell ref="A106:M106"/>
    <mergeCell ref="A108:E108"/>
    <mergeCell ref="A109:E109"/>
    <mergeCell ref="A110:E110"/>
    <mergeCell ref="A111:E111"/>
    <mergeCell ref="A98:E98"/>
    <mergeCell ref="A99:E99"/>
    <mergeCell ref="A100:E100"/>
    <mergeCell ref="A101:E101"/>
    <mergeCell ref="A103:E103"/>
    <mergeCell ref="A117:E117"/>
    <mergeCell ref="A118:E118"/>
    <mergeCell ref="A119:E119"/>
    <mergeCell ref="F119:I119"/>
    <mergeCell ref="A123:M123"/>
    <mergeCell ref="A125:E125"/>
    <mergeCell ref="A112:E112"/>
    <mergeCell ref="A113:E113"/>
    <mergeCell ref="A115:N115"/>
    <mergeCell ref="A116:E116"/>
    <mergeCell ref="A132:E132"/>
    <mergeCell ref="A133:E133"/>
    <mergeCell ref="A134:E134"/>
    <mergeCell ref="A135:E135"/>
    <mergeCell ref="A136:E136"/>
    <mergeCell ref="A137:E137"/>
    <mergeCell ref="A126:E126"/>
    <mergeCell ref="A127:E127"/>
    <mergeCell ref="A128:E128"/>
    <mergeCell ref="A129:E129"/>
    <mergeCell ref="A130:E130"/>
    <mergeCell ref="A131:E131"/>
    <mergeCell ref="A144:E144"/>
    <mergeCell ref="A145:E145"/>
    <mergeCell ref="A146:E146"/>
    <mergeCell ref="A147:E147"/>
    <mergeCell ref="A148:E148"/>
    <mergeCell ref="A149:E149"/>
    <mergeCell ref="A138:E138"/>
    <mergeCell ref="A139:E139"/>
    <mergeCell ref="A140:E140"/>
    <mergeCell ref="A141:E141"/>
    <mergeCell ref="A142:E142"/>
    <mergeCell ref="A143:E143"/>
    <mergeCell ref="A158:E158"/>
    <mergeCell ref="A159:E159"/>
    <mergeCell ref="A160:E160"/>
    <mergeCell ref="A161:L161"/>
    <mergeCell ref="A163:L163"/>
    <mergeCell ref="A165:E165"/>
    <mergeCell ref="A150:E150"/>
    <mergeCell ref="A151:E151"/>
    <mergeCell ref="A152:E152"/>
    <mergeCell ref="A153:E153"/>
    <mergeCell ref="A155:M155"/>
    <mergeCell ref="A157:E157"/>
    <mergeCell ref="A177:E177"/>
    <mergeCell ref="A178:E178"/>
    <mergeCell ref="A182:L182"/>
    <mergeCell ref="A183:E183"/>
    <mergeCell ref="A184:E184"/>
    <mergeCell ref="A166:E166"/>
    <mergeCell ref="A167:E167"/>
    <mergeCell ref="A169:M169"/>
    <mergeCell ref="A174:E174"/>
    <mergeCell ref="A175:E175"/>
    <mergeCell ref="A176:E176"/>
    <mergeCell ref="A194:H194"/>
    <mergeCell ref="A198:M198"/>
    <mergeCell ref="A200:C200"/>
    <mergeCell ref="D200:K200"/>
    <mergeCell ref="L200:M201"/>
    <mergeCell ref="L202:M202"/>
    <mergeCell ref="A186:H186"/>
    <mergeCell ref="A188:L188"/>
    <mergeCell ref="A189:E189"/>
    <mergeCell ref="A190:E190"/>
    <mergeCell ref="A192:E192"/>
    <mergeCell ref="A193:E193"/>
    <mergeCell ref="A191:E191"/>
  </mergeCells>
  <pageMargins left="0.70866141732283472" right="0.70866141732283472" top="0.22" bottom="0.16" header="0.15" footer="0.15"/>
  <pageSetup paperSize="9" scale="6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S220"/>
  <sheetViews>
    <sheetView view="pageBreakPreview" topLeftCell="A30" zoomScale="60" zoomScaleNormal="60" workbookViewId="0">
      <selection activeCell="K95" sqref="K95"/>
    </sheetView>
  </sheetViews>
  <sheetFormatPr defaultRowHeight="14.4"/>
  <cols>
    <col min="1" max="1" width="12.6640625" customWidth="1"/>
    <col min="2" max="2" width="10.44140625" customWidth="1"/>
    <col min="4" max="4" width="15.5546875" customWidth="1"/>
    <col min="5" max="5" width="24.6640625" customWidth="1"/>
    <col min="6" max="6" width="16.44140625" customWidth="1"/>
    <col min="7" max="7" width="13.88671875" customWidth="1"/>
    <col min="8" max="8" width="17.44140625" customWidth="1"/>
    <col min="9" max="9" width="18.88671875" customWidth="1"/>
    <col min="10" max="10" width="15.109375" customWidth="1"/>
    <col min="11" max="11" width="13.88671875" customWidth="1"/>
    <col min="12" max="12" width="16" customWidth="1"/>
    <col min="13" max="13" width="13.109375" customWidth="1"/>
    <col min="14" max="14" width="16.109375" customWidth="1"/>
  </cols>
  <sheetData>
    <row r="2" spans="1:14" ht="15.6">
      <c r="A2" s="310"/>
      <c r="B2" s="310"/>
      <c r="C2" s="310"/>
      <c r="D2" s="310"/>
      <c r="E2" s="310"/>
      <c r="F2" s="310"/>
      <c r="G2" s="310"/>
      <c r="H2" s="310"/>
    </row>
    <row r="3" spans="1:14" ht="15.6">
      <c r="A3" s="310"/>
      <c r="B3" s="310"/>
      <c r="C3" s="79"/>
      <c r="D3" s="79"/>
      <c r="E3" s="310"/>
      <c r="F3" s="310"/>
      <c r="G3" s="79"/>
      <c r="H3" s="79"/>
    </row>
    <row r="4" spans="1:14" ht="40.5" customHeight="1">
      <c r="A4" s="311"/>
      <c r="B4" s="311"/>
      <c r="C4" s="311"/>
      <c r="D4" s="113"/>
      <c r="E4" s="311"/>
      <c r="F4" s="311"/>
      <c r="G4" s="311"/>
      <c r="H4" s="81"/>
      <c r="J4" s="315" t="s">
        <v>174</v>
      </c>
      <c r="K4" s="316"/>
      <c r="L4" s="316"/>
      <c r="M4" s="316"/>
    </row>
    <row r="5" spans="1:14" ht="15.6">
      <c r="A5" s="4"/>
      <c r="B5" s="4"/>
      <c r="C5" s="4"/>
      <c r="D5" s="112"/>
      <c r="E5" s="4"/>
      <c r="F5" s="4"/>
      <c r="G5" s="4"/>
      <c r="H5" s="112"/>
    </row>
    <row r="6" spans="1:14" ht="15.6">
      <c r="A6" s="307"/>
      <c r="B6" s="307"/>
      <c r="C6" s="307"/>
      <c r="D6" s="112"/>
      <c r="E6" s="307"/>
      <c r="F6" s="307"/>
      <c r="G6" s="307"/>
      <c r="H6" s="112"/>
    </row>
    <row r="7" spans="1:14">
      <c r="A7" s="114"/>
      <c r="B7" s="114"/>
      <c r="C7" s="114"/>
      <c r="D7" s="114"/>
      <c r="E7" s="114"/>
      <c r="F7" s="114"/>
      <c r="G7" s="114"/>
      <c r="H7" s="114"/>
    </row>
    <row r="8" spans="1:14" ht="15.6">
      <c r="A8" s="308" t="s">
        <v>103</v>
      </c>
      <c r="B8" s="309"/>
      <c r="C8" s="309"/>
      <c r="D8" s="309"/>
      <c r="E8" s="309"/>
      <c r="F8" s="309"/>
      <c r="G8" s="309"/>
      <c r="H8" s="114"/>
    </row>
    <row r="9" spans="1:14" ht="15.6">
      <c r="A9" s="308" t="s">
        <v>185</v>
      </c>
      <c r="B9" s="309"/>
      <c r="C9" s="309"/>
      <c r="D9" s="309"/>
      <c r="E9" s="309"/>
      <c r="F9" s="309"/>
      <c r="G9" s="309"/>
      <c r="H9" s="312"/>
    </row>
    <row r="1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6">
      <c r="A12" s="8" t="s">
        <v>104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>
      <c r="A13" s="313" t="s">
        <v>149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7"/>
    </row>
    <row r="14" spans="1:14" ht="15.6">
      <c r="A14" s="8" t="s">
        <v>97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2.25" customHeight="1">
      <c r="A15" s="313" t="s">
        <v>186</v>
      </c>
      <c r="B15" s="320"/>
      <c r="C15" s="320"/>
      <c r="D15" s="320"/>
      <c r="E15" s="320"/>
      <c r="F15" s="320"/>
      <c r="G15" s="320"/>
      <c r="H15" s="320"/>
      <c r="I15" s="320"/>
      <c r="J15" s="320"/>
      <c r="K15" s="320"/>
      <c r="L15" s="320"/>
      <c r="M15" s="320"/>
      <c r="N15" s="7"/>
    </row>
    <row r="16" spans="1:14" ht="15.6">
      <c r="A16" s="8" t="s">
        <v>177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>
      <c r="A17" s="237" t="s">
        <v>110</v>
      </c>
      <c r="B17" s="237"/>
      <c r="C17" s="237"/>
      <c r="D17" s="237"/>
      <c r="E17" s="237"/>
      <c r="F17" s="9" t="s">
        <v>109</v>
      </c>
      <c r="G17" s="237" t="s">
        <v>111</v>
      </c>
      <c r="H17" s="237"/>
      <c r="I17" s="237"/>
      <c r="J17" s="237"/>
      <c r="K17" s="237"/>
      <c r="L17" s="237"/>
      <c r="M17" s="9" t="s">
        <v>109</v>
      </c>
      <c r="N17" s="11"/>
    </row>
    <row r="18" spans="1:14">
      <c r="A18" s="303" t="s">
        <v>123</v>
      </c>
      <c r="B18" s="303"/>
      <c r="C18" s="303"/>
      <c r="D18" s="303"/>
      <c r="E18" s="303"/>
      <c r="F18" s="169">
        <f>1*2.5%</f>
        <v>2.5000000000000001E-2</v>
      </c>
      <c r="G18" s="244" t="s">
        <v>1</v>
      </c>
      <c r="H18" s="244"/>
      <c r="I18" s="244"/>
      <c r="J18" s="244"/>
      <c r="K18" s="244"/>
      <c r="L18" s="244"/>
      <c r="M18" s="190">
        <f>1*2.5%-0.01</f>
        <v>1.5000000000000001E-2</v>
      </c>
      <c r="N18" s="11"/>
    </row>
    <row r="19" spans="1:14">
      <c r="A19" s="303" t="s">
        <v>124</v>
      </c>
      <c r="B19" s="303"/>
      <c r="C19" s="303"/>
      <c r="D19" s="303"/>
      <c r="E19" s="303"/>
      <c r="F19" s="169">
        <f>9.75*2.5%-0.02</f>
        <v>0.22375000000000003</v>
      </c>
      <c r="G19" s="256" t="s">
        <v>178</v>
      </c>
      <c r="H19" s="257"/>
      <c r="I19" s="257"/>
      <c r="J19" s="257"/>
      <c r="K19" s="257"/>
      <c r="L19" s="258"/>
      <c r="M19" s="190">
        <f>1*2.5%-0.01</f>
        <v>1.5000000000000001E-2</v>
      </c>
      <c r="N19" s="11"/>
    </row>
    <row r="20" spans="1:14">
      <c r="A20" s="303" t="s">
        <v>125</v>
      </c>
      <c r="B20" s="303"/>
      <c r="C20" s="303"/>
      <c r="D20" s="303"/>
      <c r="E20" s="303"/>
      <c r="F20" s="169">
        <f>1*2.5%</f>
        <v>2.5000000000000001E-2</v>
      </c>
      <c r="G20" s="259" t="s">
        <v>129</v>
      </c>
      <c r="H20" s="259"/>
      <c r="I20" s="259"/>
      <c r="J20" s="259"/>
      <c r="K20" s="259"/>
      <c r="L20" s="259"/>
      <c r="M20" s="190">
        <f>0.5*2.5%</f>
        <v>1.2500000000000001E-2</v>
      </c>
      <c r="N20" s="11"/>
    </row>
    <row r="21" spans="1:14">
      <c r="A21" s="303" t="s">
        <v>126</v>
      </c>
      <c r="B21" s="303"/>
      <c r="C21" s="303"/>
      <c r="D21" s="303"/>
      <c r="E21" s="303"/>
      <c r="F21" s="169">
        <f>0.25*2.5%</f>
        <v>6.2500000000000003E-3</v>
      </c>
      <c r="G21" s="244" t="s">
        <v>131</v>
      </c>
      <c r="H21" s="244"/>
      <c r="I21" s="244"/>
      <c r="J21" s="244"/>
      <c r="K21" s="244"/>
      <c r="L21" s="244"/>
      <c r="M21" s="190">
        <f>1*2.5%</f>
        <v>2.5000000000000001E-2</v>
      </c>
      <c r="N21" s="11"/>
    </row>
    <row r="22" spans="1:14">
      <c r="A22" s="303" t="s">
        <v>128</v>
      </c>
      <c r="B22" s="303"/>
      <c r="C22" s="303"/>
      <c r="D22" s="303"/>
      <c r="E22" s="303"/>
      <c r="F22" s="169">
        <f>1*2.5%</f>
        <v>2.5000000000000001E-2</v>
      </c>
      <c r="G22" s="244" t="s">
        <v>130</v>
      </c>
      <c r="H22" s="244"/>
      <c r="I22" s="244"/>
      <c r="J22" s="244"/>
      <c r="K22" s="244"/>
      <c r="L22" s="244"/>
      <c r="M22" s="190">
        <f>2*2.5%</f>
        <v>0.05</v>
      </c>
      <c r="N22" s="11"/>
    </row>
    <row r="23" spans="1:14">
      <c r="A23" s="304"/>
      <c r="B23" s="305"/>
      <c r="C23" s="305"/>
      <c r="D23" s="305"/>
      <c r="E23" s="306"/>
      <c r="F23" s="165"/>
      <c r="G23" s="256" t="s">
        <v>127</v>
      </c>
      <c r="H23" s="257"/>
      <c r="I23" s="257"/>
      <c r="J23" s="257"/>
      <c r="K23" s="257"/>
      <c r="L23" s="258"/>
      <c r="M23" s="190">
        <f>1*2.5%</f>
        <v>2.5000000000000001E-2</v>
      </c>
      <c r="N23" s="11"/>
    </row>
    <row r="24" spans="1:14">
      <c r="A24" s="303"/>
      <c r="B24" s="303"/>
      <c r="C24" s="303"/>
      <c r="D24" s="303"/>
      <c r="E24" s="303"/>
      <c r="F24" s="166"/>
      <c r="G24" s="244" t="s">
        <v>132</v>
      </c>
      <c r="H24" s="244"/>
      <c r="I24" s="244"/>
      <c r="J24" s="244"/>
      <c r="K24" s="244"/>
      <c r="L24" s="244"/>
      <c r="M24" s="190">
        <f>1.25*2.5%</f>
        <v>3.125E-2</v>
      </c>
      <c r="N24" s="11"/>
    </row>
    <row r="25" spans="1:14" ht="15.75" customHeight="1">
      <c r="A25" s="303"/>
      <c r="B25" s="303"/>
      <c r="C25" s="303"/>
      <c r="D25" s="303"/>
      <c r="E25" s="303"/>
      <c r="F25" s="166"/>
      <c r="G25" s="217" t="s">
        <v>133</v>
      </c>
      <c r="H25" s="218"/>
      <c r="I25" s="218"/>
      <c r="J25" s="218"/>
      <c r="K25" s="218"/>
      <c r="L25" s="219"/>
      <c r="M25" s="190">
        <f>0.75*2.5%</f>
        <v>1.8750000000000003E-2</v>
      </c>
      <c r="N25" s="11"/>
    </row>
    <row r="26" spans="1:14" ht="15.75" hidden="1" customHeight="1">
      <c r="A26" s="300"/>
      <c r="B26" s="301"/>
      <c r="C26" s="301"/>
      <c r="D26" s="301"/>
      <c r="E26" s="302"/>
      <c r="F26" s="166"/>
      <c r="G26" s="217"/>
      <c r="H26" s="218"/>
      <c r="I26" s="218"/>
      <c r="J26" s="218"/>
      <c r="K26" s="218"/>
      <c r="L26" s="219"/>
      <c r="M26" s="166"/>
      <c r="N26" s="11"/>
    </row>
    <row r="27" spans="1:14" ht="15.75" customHeight="1">
      <c r="A27" s="300"/>
      <c r="B27" s="301"/>
      <c r="C27" s="301"/>
      <c r="D27" s="301"/>
      <c r="E27" s="302"/>
      <c r="F27" s="166"/>
      <c r="G27" s="217"/>
      <c r="H27" s="218"/>
      <c r="I27" s="218"/>
      <c r="J27" s="218"/>
      <c r="K27" s="218"/>
      <c r="L27" s="219"/>
      <c r="M27" s="166"/>
      <c r="N27" s="11"/>
    </row>
    <row r="28" spans="1:14" ht="15.75" hidden="1" customHeight="1">
      <c r="A28" s="300"/>
      <c r="B28" s="301"/>
      <c r="C28" s="301"/>
      <c r="D28" s="301"/>
      <c r="E28" s="302"/>
      <c r="F28" s="93"/>
      <c r="G28" s="217"/>
      <c r="H28" s="218"/>
      <c r="I28" s="218"/>
      <c r="J28" s="218"/>
      <c r="K28" s="218"/>
      <c r="L28" s="219"/>
      <c r="M28" s="93"/>
      <c r="N28" s="11"/>
    </row>
    <row r="29" spans="1:14" ht="15.75" customHeight="1">
      <c r="A29" s="300"/>
      <c r="B29" s="301"/>
      <c r="C29" s="301"/>
      <c r="D29" s="301"/>
      <c r="E29" s="302"/>
      <c r="F29" s="93"/>
      <c r="G29" s="1"/>
      <c r="H29" s="1"/>
      <c r="I29" s="1"/>
      <c r="J29" s="1"/>
      <c r="K29" s="1"/>
      <c r="L29" s="1"/>
      <c r="M29" s="93"/>
      <c r="N29" s="11"/>
    </row>
    <row r="30" spans="1:14" ht="15.75" customHeight="1">
      <c r="A30" s="300"/>
      <c r="B30" s="301"/>
      <c r="C30" s="301"/>
      <c r="D30" s="301"/>
      <c r="E30" s="302"/>
      <c r="F30" s="93"/>
      <c r="G30" s="217"/>
      <c r="H30" s="218"/>
      <c r="I30" s="218"/>
      <c r="J30" s="218"/>
      <c r="K30" s="218"/>
      <c r="L30" s="219"/>
      <c r="M30" s="93"/>
      <c r="N30" s="11"/>
    </row>
    <row r="31" spans="1:14" ht="15.75" hidden="1" customHeight="1">
      <c r="A31" s="300"/>
      <c r="B31" s="301"/>
      <c r="C31" s="301"/>
      <c r="D31" s="301"/>
      <c r="E31" s="302"/>
      <c r="F31" s="93"/>
      <c r="G31" s="217"/>
      <c r="H31" s="218"/>
      <c r="I31" s="218"/>
      <c r="J31" s="218"/>
      <c r="K31" s="218"/>
      <c r="L31" s="219"/>
      <c r="M31" s="93"/>
      <c r="N31" s="11"/>
    </row>
    <row r="32" spans="1:14" ht="15.75" hidden="1" customHeight="1">
      <c r="A32" s="300"/>
      <c r="B32" s="301"/>
      <c r="C32" s="301"/>
      <c r="D32" s="301"/>
      <c r="E32" s="302"/>
      <c r="F32" s="93"/>
      <c r="G32" s="217"/>
      <c r="H32" s="218"/>
      <c r="I32" s="218"/>
      <c r="J32" s="218"/>
      <c r="K32" s="218"/>
      <c r="L32" s="219"/>
      <c r="M32" s="93"/>
      <c r="N32" s="11"/>
    </row>
    <row r="33" spans="1:15" ht="15.75" hidden="1" customHeight="1">
      <c r="A33" s="300"/>
      <c r="B33" s="301"/>
      <c r="C33" s="301"/>
      <c r="D33" s="301"/>
      <c r="E33" s="302"/>
      <c r="F33" s="93"/>
      <c r="G33" s="217"/>
      <c r="H33" s="218"/>
      <c r="I33" s="218"/>
      <c r="J33" s="218"/>
      <c r="K33" s="218"/>
      <c r="L33" s="219"/>
      <c r="M33" s="93"/>
      <c r="N33" s="11"/>
    </row>
    <row r="34" spans="1:15" ht="15.75" hidden="1" customHeight="1">
      <c r="A34" s="300"/>
      <c r="B34" s="301"/>
      <c r="C34" s="301"/>
      <c r="D34" s="301"/>
      <c r="E34" s="302"/>
      <c r="F34" s="93"/>
      <c r="G34" s="217"/>
      <c r="H34" s="218"/>
      <c r="I34" s="218"/>
      <c r="J34" s="218"/>
      <c r="K34" s="218"/>
      <c r="L34" s="219"/>
      <c r="M34" s="93"/>
      <c r="N34" s="11"/>
    </row>
    <row r="35" spans="1:15" ht="15.75" hidden="1" customHeight="1">
      <c r="A35" s="300"/>
      <c r="B35" s="301"/>
      <c r="C35" s="301"/>
      <c r="D35" s="301"/>
      <c r="E35" s="302"/>
      <c r="F35" s="93"/>
      <c r="G35" s="217"/>
      <c r="H35" s="218"/>
      <c r="I35" s="218"/>
      <c r="J35" s="218"/>
      <c r="K35" s="218"/>
      <c r="L35" s="219"/>
      <c r="M35" s="93"/>
      <c r="N35" s="11"/>
    </row>
    <row r="36" spans="1:15" ht="15.75" hidden="1" customHeight="1">
      <c r="A36" s="300"/>
      <c r="B36" s="301"/>
      <c r="C36" s="301"/>
      <c r="D36" s="301"/>
      <c r="E36" s="302"/>
      <c r="F36" s="93"/>
      <c r="G36" s="217"/>
      <c r="H36" s="218"/>
      <c r="I36" s="218"/>
      <c r="J36" s="218"/>
      <c r="K36" s="218"/>
      <c r="L36" s="219"/>
      <c r="M36" s="93"/>
      <c r="N36" s="11"/>
    </row>
    <row r="37" spans="1:15">
      <c r="A37" s="263"/>
      <c r="B37" s="263"/>
      <c r="C37" s="263"/>
      <c r="D37" s="263"/>
      <c r="E37" s="263"/>
      <c r="F37" s="93"/>
      <c r="G37" s="244"/>
      <c r="H37" s="244"/>
      <c r="I37" s="244"/>
      <c r="J37" s="244"/>
      <c r="K37" s="244"/>
      <c r="L37" s="244"/>
      <c r="M37" s="93"/>
      <c r="N37" s="11"/>
    </row>
    <row r="38" spans="1:15">
      <c r="A38" s="263"/>
      <c r="B38" s="263"/>
      <c r="C38" s="263"/>
      <c r="D38" s="263"/>
      <c r="E38" s="263"/>
      <c r="F38" s="93"/>
      <c r="G38" s="244"/>
      <c r="H38" s="244"/>
      <c r="I38" s="244"/>
      <c r="J38" s="244"/>
      <c r="K38" s="244"/>
      <c r="L38" s="244"/>
      <c r="M38" s="93"/>
      <c r="N38" s="11"/>
    </row>
    <row r="39" spans="1:15">
      <c r="A39" s="295"/>
      <c r="B39" s="295"/>
      <c r="C39" s="295"/>
      <c r="D39" s="295"/>
      <c r="E39" s="295"/>
      <c r="F39" s="157"/>
      <c r="G39" s="244"/>
      <c r="H39" s="244"/>
      <c r="I39" s="244"/>
      <c r="J39" s="244"/>
      <c r="K39" s="244"/>
      <c r="L39" s="244"/>
      <c r="M39" s="93"/>
      <c r="N39" s="11"/>
    </row>
    <row r="40" spans="1:15">
      <c r="A40" s="295"/>
      <c r="B40" s="295"/>
      <c r="C40" s="295"/>
      <c r="D40" s="295"/>
      <c r="E40" s="295"/>
      <c r="F40" s="157"/>
      <c r="G40" s="244"/>
      <c r="H40" s="244"/>
      <c r="I40" s="244"/>
      <c r="J40" s="244"/>
      <c r="K40" s="244"/>
      <c r="L40" s="244"/>
      <c r="M40" s="93"/>
      <c r="N40" s="11"/>
    </row>
    <row r="41" spans="1:15">
      <c r="A41" s="295"/>
      <c r="B41" s="295"/>
      <c r="C41" s="295"/>
      <c r="D41" s="295"/>
      <c r="E41" s="295"/>
      <c r="F41" s="157"/>
      <c r="G41" s="244"/>
      <c r="H41" s="244"/>
      <c r="I41" s="244"/>
      <c r="J41" s="244"/>
      <c r="K41" s="244"/>
      <c r="L41" s="244"/>
      <c r="M41" s="93"/>
      <c r="N41" s="11"/>
    </row>
    <row r="42" spans="1:15">
      <c r="A42" s="295"/>
      <c r="B42" s="295"/>
      <c r="C42" s="295"/>
      <c r="D42" s="295"/>
      <c r="E42" s="295"/>
      <c r="F42" s="157"/>
      <c r="G42" s="217"/>
      <c r="H42" s="218"/>
      <c r="I42" s="218"/>
      <c r="J42" s="218"/>
      <c r="K42" s="218"/>
      <c r="L42" s="219"/>
      <c r="M42" s="93"/>
      <c r="N42" s="11"/>
    </row>
    <row r="43" spans="1:15" ht="15" customHeight="1">
      <c r="A43" s="295"/>
      <c r="B43" s="295"/>
      <c r="C43" s="295"/>
      <c r="D43" s="295"/>
      <c r="E43" s="295"/>
      <c r="F43" s="157"/>
      <c r="G43" s="217"/>
      <c r="H43" s="218"/>
      <c r="I43" s="218"/>
      <c r="J43" s="218"/>
      <c r="K43" s="218"/>
      <c r="L43" s="219"/>
      <c r="M43" s="93"/>
      <c r="N43" s="11"/>
    </row>
    <row r="44" spans="1:15" ht="15.75" customHeight="1">
      <c r="A44" s="296"/>
      <c r="B44" s="297"/>
      <c r="C44" s="297"/>
      <c r="D44" s="297"/>
      <c r="E44" s="298"/>
      <c r="F44" s="157"/>
      <c r="G44" s="217"/>
      <c r="H44" s="218"/>
      <c r="I44" s="218"/>
      <c r="J44" s="218"/>
      <c r="K44" s="218"/>
      <c r="L44" s="219"/>
      <c r="M44" s="93"/>
      <c r="N44" s="174">
        <f>F45+M45</f>
        <v>0.53</v>
      </c>
      <c r="O44" s="175">
        <f>N44/86%</f>
        <v>0.61627906976744196</v>
      </c>
    </row>
    <row r="45" spans="1:15">
      <c r="A45" s="293" t="s">
        <v>2</v>
      </c>
      <c r="B45" s="293"/>
      <c r="C45" s="293"/>
      <c r="D45" s="293"/>
      <c r="E45" s="293"/>
      <c r="F45" s="193">
        <v>0.32</v>
      </c>
      <c r="G45" s="294" t="s">
        <v>2</v>
      </c>
      <c r="H45" s="294"/>
      <c r="I45" s="294"/>
      <c r="J45" s="294"/>
      <c r="K45" s="294"/>
      <c r="L45" s="294"/>
      <c r="M45" s="193">
        <v>0.21</v>
      </c>
      <c r="N45" s="11"/>
    </row>
    <row r="46" spans="1:15">
      <c r="A46" s="14" t="s">
        <v>165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5" ht="12.75" customHeight="1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5" ht="15" customHeight="1">
      <c r="A48" s="274" t="s">
        <v>121</v>
      </c>
      <c r="B48" s="275"/>
      <c r="C48" s="275"/>
      <c r="D48" s="275"/>
      <c r="E48" s="275"/>
      <c r="F48" s="275"/>
      <c r="G48" s="275"/>
      <c r="H48" s="275"/>
      <c r="I48" s="275"/>
      <c r="J48" s="275"/>
      <c r="K48" s="275"/>
      <c r="L48" s="275"/>
      <c r="M48" s="275"/>
      <c r="N48" s="11"/>
    </row>
    <row r="49" spans="1:14" ht="55.8">
      <c r="A49" s="222" t="s">
        <v>3</v>
      </c>
      <c r="B49" s="222"/>
      <c r="C49" s="222"/>
      <c r="D49" s="222"/>
      <c r="E49" s="222"/>
      <c r="F49" s="9" t="s">
        <v>4</v>
      </c>
      <c r="G49" s="9" t="s">
        <v>0</v>
      </c>
      <c r="H49" s="9" t="s">
        <v>74</v>
      </c>
      <c r="I49" s="9" t="s">
        <v>76</v>
      </c>
      <c r="J49" s="9" t="s">
        <v>105</v>
      </c>
      <c r="K49" s="9" t="s">
        <v>135</v>
      </c>
      <c r="L49" s="9" t="s">
        <v>80</v>
      </c>
      <c r="M49" s="11"/>
      <c r="N49" s="11"/>
    </row>
    <row r="50" spans="1:14" hidden="1">
      <c r="A50" s="246"/>
      <c r="B50" s="246"/>
      <c r="C50" s="246"/>
      <c r="D50" s="246"/>
      <c r="E50" s="246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>
      <c r="A51" s="246"/>
      <c r="B51" s="246"/>
      <c r="C51" s="246"/>
      <c r="D51" s="246"/>
      <c r="E51" s="246"/>
      <c r="F51" s="10"/>
      <c r="G51" s="10"/>
      <c r="H51" s="10"/>
      <c r="I51" s="10"/>
      <c r="J51" s="15"/>
      <c r="K51" s="15"/>
      <c r="L51" s="15"/>
      <c r="M51" s="11"/>
      <c r="N51" s="11"/>
    </row>
    <row r="52" spans="1:14">
      <c r="A52" s="276">
        <v>1</v>
      </c>
      <c r="B52" s="277"/>
      <c r="C52" s="277"/>
      <c r="D52" s="277"/>
      <c r="E52" s="278"/>
      <c r="F52" s="10">
        <v>2</v>
      </c>
      <c r="G52" s="10">
        <v>3</v>
      </c>
      <c r="H52" s="10" t="s">
        <v>75</v>
      </c>
      <c r="I52" s="10" t="s">
        <v>77</v>
      </c>
      <c r="J52" s="16">
        <v>6</v>
      </c>
      <c r="K52" s="16" t="s">
        <v>79</v>
      </c>
      <c r="L52" s="16">
        <v>8</v>
      </c>
      <c r="M52" s="11"/>
      <c r="N52" s="11"/>
    </row>
    <row r="53" spans="1:14" ht="15" thickBot="1">
      <c r="A53" s="255" t="s">
        <v>110</v>
      </c>
      <c r="B53" s="255"/>
      <c r="C53" s="255"/>
      <c r="D53" s="255"/>
      <c r="E53" s="255"/>
      <c r="F53" s="56">
        <f>H53/12/G53</f>
        <v>26939.807291666664</v>
      </c>
      <c r="G53" s="56">
        <v>0.32</v>
      </c>
      <c r="H53" s="56">
        <v>103448.86</v>
      </c>
      <c r="I53" s="164">
        <v>134690.57999999999</v>
      </c>
      <c r="J53" s="86">
        <v>25</v>
      </c>
      <c r="K53" s="56">
        <f>I53/J53</f>
        <v>5387.6231999999991</v>
      </c>
      <c r="L53" s="63">
        <f>I53/5372204.14*100</f>
        <v>2.5071753881638608</v>
      </c>
      <c r="M53" s="11"/>
      <c r="N53" s="11"/>
    </row>
    <row r="54" spans="1:14" ht="15" hidden="1" thickBot="1">
      <c r="A54" s="246"/>
      <c r="B54" s="246"/>
      <c r="C54" s="246"/>
      <c r="D54" s="246"/>
      <c r="E54" s="246"/>
      <c r="F54" s="20"/>
      <c r="G54" s="20"/>
      <c r="H54" s="20"/>
      <c r="I54" s="41"/>
      <c r="J54" s="19"/>
      <c r="K54" s="41"/>
      <c r="L54" s="20"/>
      <c r="M54" s="11"/>
      <c r="N54" s="11"/>
    </row>
    <row r="55" spans="1:14" ht="15" thickBot="1">
      <c r="A55" s="220" t="s">
        <v>81</v>
      </c>
      <c r="B55" s="220"/>
      <c r="C55" s="220"/>
      <c r="D55" s="220"/>
      <c r="E55" s="220"/>
      <c r="F55" s="71"/>
      <c r="G55" s="71"/>
      <c r="H55" s="103"/>
      <c r="I55" s="145">
        <f>I53</f>
        <v>134690.57999999999</v>
      </c>
      <c r="J55" s="104"/>
      <c r="K55" s="47">
        <f>K53</f>
        <v>5387.6231999999991</v>
      </c>
      <c r="L55" s="105"/>
      <c r="M55" s="180"/>
      <c r="N55" s="11"/>
    </row>
    <row r="56" spans="1:14">
      <c r="A56" s="21"/>
      <c r="B56" s="21"/>
      <c r="C56" s="21"/>
      <c r="D56" s="21"/>
      <c r="E56" s="21"/>
      <c r="F56" s="22"/>
      <c r="G56" s="22"/>
      <c r="H56" s="22"/>
      <c r="I56" s="22"/>
      <c r="J56" s="23"/>
      <c r="K56" s="24"/>
      <c r="L56" s="24"/>
      <c r="M56" s="11"/>
      <c r="N56" s="11"/>
    </row>
    <row r="57" spans="1:14" ht="16.5" customHeight="1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98.25" hidden="1" customHeight="1">
      <c r="A58" s="21"/>
      <c r="B58" s="21"/>
      <c r="C58" s="21"/>
      <c r="D58" s="21"/>
      <c r="E58" s="21"/>
      <c r="F58" s="25"/>
      <c r="G58" s="25"/>
      <c r="H58" s="25"/>
      <c r="I58" s="25"/>
      <c r="J58" s="25"/>
      <c r="K58" s="26"/>
      <c r="L58" s="25"/>
      <c r="M58" s="26"/>
      <c r="N58" s="11"/>
    </row>
    <row r="59" spans="1:14" hidden="1">
      <c r="A59" s="238" t="s">
        <v>15</v>
      </c>
      <c r="B59" s="238"/>
      <c r="C59" s="238"/>
      <c r="D59" s="238"/>
      <c r="E59" s="238"/>
      <c r="F59" s="238"/>
      <c r="G59" s="238"/>
      <c r="H59" s="238"/>
      <c r="I59" s="238"/>
      <c r="J59" s="238"/>
      <c r="K59" s="238"/>
      <c r="L59" s="238"/>
      <c r="M59" s="238"/>
      <c r="N59" s="11"/>
    </row>
    <row r="60" spans="1:14" hidden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11"/>
    </row>
    <row r="61" spans="1:14" ht="80.25" hidden="1" customHeight="1">
      <c r="A61" s="335" t="s">
        <v>6</v>
      </c>
      <c r="B61" s="335"/>
      <c r="C61" s="335"/>
      <c r="D61" s="335"/>
      <c r="E61" s="335"/>
      <c r="F61" s="28" t="s">
        <v>7</v>
      </c>
      <c r="G61" s="28" t="s">
        <v>8</v>
      </c>
      <c r="H61" s="28" t="s">
        <v>9</v>
      </c>
      <c r="I61" s="28" t="s">
        <v>10</v>
      </c>
      <c r="J61" s="28"/>
      <c r="K61" s="28" t="s">
        <v>11</v>
      </c>
      <c r="L61" s="28" t="s">
        <v>12</v>
      </c>
      <c r="M61" s="28" t="s">
        <v>5</v>
      </c>
      <c r="N61" s="11"/>
    </row>
    <row r="62" spans="1:14" ht="15" hidden="1" customHeight="1">
      <c r="A62" s="336">
        <v>1</v>
      </c>
      <c r="B62" s="337"/>
      <c r="C62" s="337"/>
      <c r="D62" s="337"/>
      <c r="E62" s="338"/>
      <c r="F62" s="28">
        <v>2</v>
      </c>
      <c r="G62" s="28">
        <v>3</v>
      </c>
      <c r="H62" s="28">
        <v>4</v>
      </c>
      <c r="I62" s="28" t="s">
        <v>59</v>
      </c>
      <c r="J62" s="28"/>
      <c r="K62" s="28">
        <v>6</v>
      </c>
      <c r="L62" s="28">
        <v>7</v>
      </c>
      <c r="M62" s="28" t="s">
        <v>60</v>
      </c>
      <c r="N62" s="11"/>
    </row>
    <row r="63" spans="1:14" ht="15" hidden="1" customHeight="1">
      <c r="A63" s="334" t="s">
        <v>62</v>
      </c>
      <c r="B63" s="334"/>
      <c r="C63" s="334"/>
      <c r="D63" s="334"/>
      <c r="E63" s="334"/>
      <c r="F63" s="29" t="s">
        <v>13</v>
      </c>
      <c r="G63" s="28">
        <v>7</v>
      </c>
      <c r="H63" s="29">
        <v>10</v>
      </c>
      <c r="I63" s="30">
        <f>G63/H63</f>
        <v>0.7</v>
      </c>
      <c r="J63" s="30"/>
      <c r="K63" s="28">
        <v>20</v>
      </c>
      <c r="L63" s="31">
        <v>7100</v>
      </c>
      <c r="M63" s="31">
        <f>I63*L63</f>
        <v>4970</v>
      </c>
      <c r="N63" s="11"/>
    </row>
    <row r="64" spans="1:14" ht="15" hidden="1" customHeight="1">
      <c r="A64" s="334" t="s">
        <v>63</v>
      </c>
      <c r="B64" s="334"/>
      <c r="C64" s="334"/>
      <c r="D64" s="334"/>
      <c r="E64" s="334"/>
      <c r="F64" s="29" t="s">
        <v>13</v>
      </c>
      <c r="G64" s="28">
        <v>1</v>
      </c>
      <c r="H64" s="29">
        <v>10</v>
      </c>
      <c r="I64" s="30">
        <f t="shared" ref="I64:I80" si="0">G64/H64</f>
        <v>0.1</v>
      </c>
      <c r="J64" s="30"/>
      <c r="K64" s="28">
        <v>20</v>
      </c>
      <c r="L64" s="31">
        <v>538700</v>
      </c>
      <c r="M64" s="31">
        <f t="shared" ref="M64:M81" si="1">I64*L64</f>
        <v>53870</v>
      </c>
      <c r="N64" s="11"/>
    </row>
    <row r="65" spans="1:14" ht="15" hidden="1" customHeight="1">
      <c r="A65" s="334" t="s">
        <v>64</v>
      </c>
      <c r="B65" s="334"/>
      <c r="C65" s="334"/>
      <c r="D65" s="334"/>
      <c r="E65" s="334"/>
      <c r="F65" s="29" t="s">
        <v>13</v>
      </c>
      <c r="G65" s="28">
        <v>1</v>
      </c>
      <c r="H65" s="29">
        <v>10</v>
      </c>
      <c r="I65" s="30">
        <f t="shared" si="0"/>
        <v>0.1</v>
      </c>
      <c r="J65" s="30"/>
      <c r="K65" s="28">
        <v>20</v>
      </c>
      <c r="L65" s="31">
        <v>380000</v>
      </c>
      <c r="M65" s="31">
        <f t="shared" si="1"/>
        <v>38000</v>
      </c>
      <c r="N65" s="11"/>
    </row>
    <row r="66" spans="1:14" ht="12.75" hidden="1" customHeight="1">
      <c r="A66" s="334"/>
      <c r="B66" s="334"/>
      <c r="C66" s="334"/>
      <c r="D66" s="334"/>
      <c r="E66" s="334"/>
      <c r="F66" s="29" t="s">
        <v>13</v>
      </c>
      <c r="G66" s="28"/>
      <c r="H66" s="29">
        <v>10</v>
      </c>
      <c r="I66" s="30">
        <f t="shared" si="0"/>
        <v>0</v>
      </c>
      <c r="J66" s="30"/>
      <c r="K66" s="28"/>
      <c r="L66" s="31"/>
      <c r="M66" s="31">
        <f t="shared" si="1"/>
        <v>0</v>
      </c>
      <c r="N66" s="11"/>
    </row>
    <row r="67" spans="1:14" ht="15" hidden="1" customHeight="1">
      <c r="A67" s="334"/>
      <c r="B67" s="334"/>
      <c r="C67" s="334"/>
      <c r="D67" s="334"/>
      <c r="E67" s="334"/>
      <c r="F67" s="29" t="s">
        <v>13</v>
      </c>
      <c r="G67" s="28"/>
      <c r="H67" s="29">
        <v>10</v>
      </c>
      <c r="I67" s="30">
        <f t="shared" si="0"/>
        <v>0</v>
      </c>
      <c r="J67" s="30"/>
      <c r="K67" s="28"/>
      <c r="L67" s="31"/>
      <c r="M67" s="31">
        <f t="shared" si="1"/>
        <v>0</v>
      </c>
      <c r="N67" s="11"/>
    </row>
    <row r="68" spans="1:14" ht="15" hidden="1" customHeight="1">
      <c r="A68" s="331"/>
      <c r="B68" s="332"/>
      <c r="C68" s="332"/>
      <c r="D68" s="332"/>
      <c r="E68" s="333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>
      <c r="A69" s="331"/>
      <c r="B69" s="332"/>
      <c r="C69" s="332"/>
      <c r="D69" s="332"/>
      <c r="E69" s="333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>
      <c r="A70" s="331"/>
      <c r="B70" s="332"/>
      <c r="C70" s="332"/>
      <c r="D70" s="332"/>
      <c r="E70" s="333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>
      <c r="A71" s="331"/>
      <c r="B71" s="332"/>
      <c r="C71" s="332"/>
      <c r="D71" s="332"/>
      <c r="E71" s="333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>
      <c r="A72" s="331"/>
      <c r="B72" s="332"/>
      <c r="C72" s="332"/>
      <c r="D72" s="332"/>
      <c r="E72" s="333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idden="1">
      <c r="A73" s="324"/>
      <c r="B73" s="325"/>
      <c r="C73" s="325"/>
      <c r="D73" s="325"/>
      <c r="E73" s="326"/>
      <c r="F73" s="29" t="s">
        <v>13</v>
      </c>
      <c r="G73" s="29"/>
      <c r="H73" s="29">
        <v>10</v>
      </c>
      <c r="I73" s="30">
        <f t="shared" si="0"/>
        <v>0</v>
      </c>
      <c r="J73" s="30"/>
      <c r="K73" s="29"/>
      <c r="L73" s="32"/>
      <c r="M73" s="31">
        <f t="shared" si="1"/>
        <v>0</v>
      </c>
      <c r="N73" s="11"/>
    </row>
    <row r="74" spans="1:14" hidden="1">
      <c r="A74" s="324"/>
      <c r="B74" s="325"/>
      <c r="C74" s="325"/>
      <c r="D74" s="325"/>
      <c r="E74" s="326"/>
      <c r="F74" s="29" t="s">
        <v>13</v>
      </c>
      <c r="G74" s="29"/>
      <c r="H74" s="29">
        <v>10</v>
      </c>
      <c r="I74" s="30">
        <f t="shared" si="0"/>
        <v>0</v>
      </c>
      <c r="J74" s="30"/>
      <c r="K74" s="29"/>
      <c r="L74" s="32"/>
      <c r="M74" s="31">
        <f t="shared" si="1"/>
        <v>0</v>
      </c>
      <c r="N74" s="11"/>
    </row>
    <row r="75" spans="1:14" hidden="1">
      <c r="A75" s="324"/>
      <c r="B75" s="325"/>
      <c r="C75" s="325"/>
      <c r="D75" s="325"/>
      <c r="E75" s="326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>
      <c r="A76" s="324"/>
      <c r="B76" s="325"/>
      <c r="C76" s="325"/>
      <c r="D76" s="325"/>
      <c r="E76" s="326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>
      <c r="A77" s="324"/>
      <c r="B77" s="325"/>
      <c r="C77" s="325"/>
      <c r="D77" s="325"/>
      <c r="E77" s="326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>
      <c r="A78" s="324"/>
      <c r="B78" s="325"/>
      <c r="C78" s="325"/>
      <c r="D78" s="325"/>
      <c r="E78" s="326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>
      <c r="A79" s="324"/>
      <c r="B79" s="325"/>
      <c r="C79" s="325"/>
      <c r="D79" s="325"/>
      <c r="E79" s="326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>
      <c r="A80" s="324"/>
      <c r="B80" s="325"/>
      <c r="C80" s="325"/>
      <c r="D80" s="325"/>
      <c r="E80" s="326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>
      <c r="A81" s="327" t="s">
        <v>98</v>
      </c>
      <c r="B81" s="327"/>
      <c r="C81" s="327"/>
      <c r="D81" s="327"/>
      <c r="E81" s="327"/>
      <c r="F81" s="29"/>
      <c r="G81" s="29"/>
      <c r="H81" s="29"/>
      <c r="I81" s="33"/>
      <c r="J81" s="33"/>
      <c r="K81" s="29"/>
      <c r="L81" s="32"/>
      <c r="M81" s="32">
        <f t="shared" si="1"/>
        <v>0</v>
      </c>
      <c r="N81" s="11"/>
    </row>
    <row r="82" spans="1:14" ht="57" hidden="1" customHeight="1">
      <c r="A82" s="328" t="s">
        <v>14</v>
      </c>
      <c r="B82" s="329"/>
      <c r="C82" s="329"/>
      <c r="D82" s="329"/>
      <c r="E82" s="329"/>
      <c r="F82" s="329"/>
      <c r="G82" s="329"/>
      <c r="H82" s="329"/>
      <c r="I82" s="329"/>
      <c r="J82" s="329"/>
      <c r="K82" s="329"/>
      <c r="L82" s="330"/>
      <c r="M82" s="32">
        <f>M81+M65+M64+M63</f>
        <v>96840</v>
      </c>
      <c r="N82" s="11"/>
    </row>
    <row r="83" spans="1:14" ht="1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1:14">
      <c r="A84" s="221" t="s">
        <v>16</v>
      </c>
      <c r="B84" s="221"/>
      <c r="C84" s="221"/>
      <c r="D84" s="221"/>
      <c r="E84" s="221"/>
      <c r="F84" s="221"/>
      <c r="G84" s="221"/>
      <c r="H84" s="221"/>
      <c r="I84" s="221"/>
      <c r="J84" s="221"/>
      <c r="K84" s="221"/>
      <c r="L84" s="221"/>
      <c r="M84" s="221"/>
      <c r="N84" s="11"/>
    </row>
    <row r="85" spans="1:14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11"/>
    </row>
    <row r="86" spans="1:14" ht="30.75" hidden="1" customHeight="1">
      <c r="A86" s="279"/>
      <c r="B86" s="279"/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35"/>
      <c r="N86" s="11"/>
    </row>
    <row r="87" spans="1:14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</row>
    <row r="88" spans="1:14" ht="73.5" customHeight="1">
      <c r="A88" s="222" t="s">
        <v>17</v>
      </c>
      <c r="B88" s="222"/>
      <c r="C88" s="222"/>
      <c r="D88" s="222"/>
      <c r="E88" s="222"/>
      <c r="F88" s="9" t="s">
        <v>7</v>
      </c>
      <c r="G88" s="36" t="s">
        <v>90</v>
      </c>
      <c r="H88" s="9" t="s">
        <v>71</v>
      </c>
      <c r="I88" s="9" t="s">
        <v>82</v>
      </c>
      <c r="J88" s="9" t="s">
        <v>105</v>
      </c>
      <c r="K88" s="9" t="s">
        <v>135</v>
      </c>
      <c r="L88" s="11"/>
      <c r="M88" s="11"/>
      <c r="N88" s="11"/>
    </row>
    <row r="89" spans="1:14" ht="18.75" customHeight="1">
      <c r="A89" s="280">
        <v>1</v>
      </c>
      <c r="B89" s="281"/>
      <c r="C89" s="281"/>
      <c r="D89" s="281"/>
      <c r="E89" s="282"/>
      <c r="F89" s="9">
        <v>2</v>
      </c>
      <c r="G89" s="9">
        <v>3</v>
      </c>
      <c r="H89" s="37">
        <v>4</v>
      </c>
      <c r="I89" s="37">
        <v>5</v>
      </c>
      <c r="J89" s="38">
        <v>6</v>
      </c>
      <c r="K89" s="38" t="s">
        <v>79</v>
      </c>
      <c r="L89" s="11"/>
      <c r="M89" s="39"/>
      <c r="N89" s="11"/>
    </row>
    <row r="90" spans="1:14">
      <c r="A90" s="287" t="s">
        <v>23</v>
      </c>
      <c r="B90" s="287"/>
      <c r="C90" s="287"/>
      <c r="D90" s="287"/>
      <c r="E90" s="287"/>
      <c r="F90" s="40" t="s">
        <v>26</v>
      </c>
      <c r="G90" s="63">
        <f>8.4*88.1</f>
        <v>740.04</v>
      </c>
      <c r="H90" s="56">
        <v>7802.23</v>
      </c>
      <c r="I90" s="82">
        <f>56993.23*2.5%</f>
        <v>1424.8307500000001</v>
      </c>
      <c r="J90" s="86">
        <v>25</v>
      </c>
      <c r="K90" s="56">
        <f>I90/J90</f>
        <v>56.993230000000004</v>
      </c>
      <c r="L90" s="11"/>
      <c r="M90" s="25"/>
      <c r="N90" s="11"/>
    </row>
    <row r="91" spans="1:14">
      <c r="A91" s="287" t="s">
        <v>24</v>
      </c>
      <c r="B91" s="287"/>
      <c r="C91" s="287"/>
      <c r="D91" s="287"/>
      <c r="E91" s="287"/>
      <c r="F91" s="40" t="s">
        <v>27</v>
      </c>
      <c r="G91" s="56">
        <f>175*88.1%</f>
        <v>154.17499999999998</v>
      </c>
      <c r="H91" s="56">
        <v>1768</v>
      </c>
      <c r="I91" s="82">
        <f>338294.05*2.5%</f>
        <v>8457.3512499999997</v>
      </c>
      <c r="J91" s="86">
        <v>25</v>
      </c>
      <c r="K91" s="56">
        <f>I91/J91</f>
        <v>338.29404999999997</v>
      </c>
      <c r="L91" s="11"/>
      <c r="M91" s="11"/>
      <c r="N91" s="11"/>
    </row>
    <row r="92" spans="1:14">
      <c r="A92" s="287" t="s">
        <v>83</v>
      </c>
      <c r="B92" s="287"/>
      <c r="C92" s="287"/>
      <c r="D92" s="287"/>
      <c r="E92" s="287"/>
      <c r="F92" s="40" t="s">
        <v>28</v>
      </c>
      <c r="G92" s="56">
        <f>140*88.1%</f>
        <v>123.33999999999999</v>
      </c>
      <c r="H92" s="56">
        <v>42.83</v>
      </c>
      <c r="I92" s="82">
        <f>5483.26*2.5%</f>
        <v>137.08150000000001</v>
      </c>
      <c r="J92" s="86">
        <v>25</v>
      </c>
      <c r="K92" s="56">
        <f>I92/J92</f>
        <v>5.4832600000000005</v>
      </c>
      <c r="L92" s="11"/>
      <c r="M92" s="11"/>
      <c r="N92" s="11"/>
    </row>
    <row r="93" spans="1:14">
      <c r="A93" s="212" t="s">
        <v>25</v>
      </c>
      <c r="B93" s="212"/>
      <c r="C93" s="212"/>
      <c r="D93" s="212"/>
      <c r="E93" s="212"/>
      <c r="F93" s="96" t="s">
        <v>28</v>
      </c>
      <c r="G93" s="56">
        <f>140*88.1%</f>
        <v>123.33999999999999</v>
      </c>
      <c r="H93" s="88">
        <v>62.38</v>
      </c>
      <c r="I93" s="199">
        <f>8117.94*2.5%</f>
        <v>202.9485</v>
      </c>
      <c r="J93" s="86">
        <v>25</v>
      </c>
      <c r="K93" s="88">
        <f>I93/J93</f>
        <v>8.117939999999999</v>
      </c>
      <c r="L93" s="11"/>
      <c r="M93" s="11"/>
      <c r="N93" s="11"/>
    </row>
    <row r="94" spans="1:14" ht="15" thickBot="1">
      <c r="A94" s="212" t="s">
        <v>189</v>
      </c>
      <c r="B94" s="212"/>
      <c r="C94" s="212"/>
      <c r="D94" s="212"/>
      <c r="E94" s="212"/>
      <c r="F94" s="96"/>
      <c r="G94" s="56"/>
      <c r="H94" s="88">
        <v>1167</v>
      </c>
      <c r="I94" s="199">
        <f>16411.52*2.5%</f>
        <v>410.28800000000001</v>
      </c>
      <c r="J94" s="86">
        <v>25</v>
      </c>
      <c r="K94" s="88">
        <f>I94/J94</f>
        <v>16.411519999999999</v>
      </c>
      <c r="L94" s="11"/>
      <c r="M94" s="11"/>
      <c r="N94" s="11"/>
    </row>
    <row r="95" spans="1:14" ht="15" thickBot="1">
      <c r="A95" s="288" t="s">
        <v>29</v>
      </c>
      <c r="B95" s="289"/>
      <c r="C95" s="289"/>
      <c r="D95" s="289"/>
      <c r="E95" s="290"/>
      <c r="F95" s="97"/>
      <c r="G95" s="97"/>
      <c r="H95" s="97"/>
      <c r="I95" s="146">
        <f>SUM(I90:I94)</f>
        <v>10632.500000000002</v>
      </c>
      <c r="J95" s="89"/>
      <c r="K95" s="210">
        <f>SUM(K90:K94)</f>
        <v>425.2999999999999</v>
      </c>
      <c r="L95" s="11"/>
      <c r="M95" s="11"/>
      <c r="N95" s="90">
        <f>I95/88.1%</f>
        <v>12068.671963677643</v>
      </c>
    </row>
    <row r="96" spans="1:14">
      <c r="A96" s="221" t="s">
        <v>30</v>
      </c>
      <c r="B96" s="221"/>
      <c r="C96" s="221"/>
      <c r="D96" s="221"/>
      <c r="E96" s="221"/>
      <c r="F96" s="221"/>
      <c r="G96" s="221"/>
      <c r="H96" s="221"/>
      <c r="I96" s="221"/>
      <c r="J96" s="221"/>
      <c r="K96" s="221"/>
      <c r="L96" s="221"/>
      <c r="M96" s="221"/>
      <c r="N96" s="11"/>
    </row>
    <row r="97" spans="1:14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</row>
    <row r="98" spans="1:14" ht="55.8">
      <c r="A98" s="283" t="s">
        <v>32</v>
      </c>
      <c r="B98" s="283"/>
      <c r="C98" s="283"/>
      <c r="D98" s="283"/>
      <c r="E98" s="283"/>
      <c r="F98" s="37" t="s">
        <v>7</v>
      </c>
      <c r="G98" s="37" t="s">
        <v>18</v>
      </c>
      <c r="H98" s="42" t="s">
        <v>85</v>
      </c>
      <c r="I98" s="9" t="s">
        <v>82</v>
      </c>
      <c r="J98" s="9" t="s">
        <v>105</v>
      </c>
      <c r="K98" s="9" t="s">
        <v>135</v>
      </c>
      <c r="L98" s="11"/>
      <c r="M98" s="11"/>
      <c r="N98" s="11"/>
    </row>
    <row r="99" spans="1:14">
      <c r="A99" s="259" t="s">
        <v>188</v>
      </c>
      <c r="B99" s="259"/>
      <c r="C99" s="259"/>
      <c r="D99" s="259"/>
      <c r="E99" s="259"/>
      <c r="F99" s="93" t="s">
        <v>31</v>
      </c>
      <c r="G99" s="93">
        <v>1</v>
      </c>
      <c r="H99" s="162">
        <v>3027.85</v>
      </c>
      <c r="I99" s="82">
        <f>36334.2*2.5%</f>
        <v>908.35500000000002</v>
      </c>
      <c r="J99" s="86">
        <v>25</v>
      </c>
      <c r="K99" s="98">
        <f t="shared" ref="K99:K102" si="2">I99/J99</f>
        <v>36.334200000000003</v>
      </c>
      <c r="L99" s="11"/>
      <c r="M99" s="11"/>
      <c r="N99" s="11"/>
    </row>
    <row r="100" spans="1:14" ht="36.6" customHeight="1">
      <c r="A100" s="291" t="s">
        <v>112</v>
      </c>
      <c r="B100" s="291"/>
      <c r="C100" s="291"/>
      <c r="D100" s="291"/>
      <c r="E100" s="292"/>
      <c r="F100" s="93" t="s">
        <v>31</v>
      </c>
      <c r="G100" s="93">
        <v>1</v>
      </c>
      <c r="H100" s="163"/>
      <c r="I100" s="200">
        <f>15000*2.5%</f>
        <v>375</v>
      </c>
      <c r="J100" s="86">
        <v>25</v>
      </c>
      <c r="K100" s="98">
        <f t="shared" si="2"/>
        <v>15</v>
      </c>
      <c r="L100" s="11"/>
      <c r="M100" s="24"/>
      <c r="N100" s="11"/>
    </row>
    <row r="101" spans="1:14" ht="15" customHeight="1">
      <c r="A101" s="284" t="s">
        <v>113</v>
      </c>
      <c r="B101" s="285"/>
      <c r="C101" s="285"/>
      <c r="D101" s="285"/>
      <c r="E101" s="286"/>
      <c r="F101" s="93" t="s">
        <v>31</v>
      </c>
      <c r="G101" s="93">
        <v>1</v>
      </c>
      <c r="H101" s="162"/>
      <c r="I101" s="82">
        <f>6500*2.5%</f>
        <v>162.5</v>
      </c>
      <c r="J101" s="86">
        <v>25</v>
      </c>
      <c r="K101" s="98">
        <f t="shared" si="2"/>
        <v>6.5</v>
      </c>
      <c r="L101" s="11"/>
      <c r="M101" s="11"/>
      <c r="N101" s="11"/>
    </row>
    <row r="102" spans="1:14">
      <c r="A102" s="196" t="s">
        <v>114</v>
      </c>
      <c r="B102" s="197"/>
      <c r="C102" s="197"/>
      <c r="D102" s="197"/>
      <c r="E102" s="198"/>
      <c r="F102" s="93" t="s">
        <v>31</v>
      </c>
      <c r="G102" s="93">
        <v>1</v>
      </c>
      <c r="H102" s="162"/>
      <c r="I102" s="82">
        <f>8943.2*2.5%</f>
        <v>223.58000000000004</v>
      </c>
      <c r="J102" s="86">
        <v>25</v>
      </c>
      <c r="K102" s="98">
        <f t="shared" si="2"/>
        <v>8.9432000000000009</v>
      </c>
      <c r="L102" s="11"/>
      <c r="M102" s="11"/>
      <c r="N102" s="11"/>
    </row>
    <row r="103" spans="1:14" ht="15" thickBot="1">
      <c r="A103" s="259" t="s">
        <v>115</v>
      </c>
      <c r="B103" s="259"/>
      <c r="C103" s="259"/>
      <c r="D103" s="259"/>
      <c r="E103" s="259"/>
      <c r="F103" s="93" t="s">
        <v>31</v>
      </c>
      <c r="G103" s="93">
        <v>1</v>
      </c>
      <c r="H103" s="162">
        <v>500</v>
      </c>
      <c r="I103" s="199">
        <f>6000*2.5%</f>
        <v>150</v>
      </c>
      <c r="J103" s="86">
        <v>25</v>
      </c>
      <c r="K103" s="98">
        <f>I103/J103</f>
        <v>6</v>
      </c>
      <c r="L103" s="11"/>
      <c r="M103" s="11"/>
      <c r="N103" s="11"/>
    </row>
    <row r="104" spans="1:14" ht="15" thickBot="1">
      <c r="A104" s="194" t="s">
        <v>89</v>
      </c>
      <c r="B104" s="195"/>
      <c r="C104" s="195"/>
      <c r="D104" s="195"/>
      <c r="E104" s="195"/>
      <c r="F104" s="195"/>
      <c r="G104" s="195"/>
      <c r="H104" s="195"/>
      <c r="I104" s="147">
        <f>SUM(I99:I103)</f>
        <v>1819.4349999999999</v>
      </c>
      <c r="J104" s="11"/>
      <c r="K104" s="209">
        <f>SUM(K99:K103)</f>
        <v>72.7774</v>
      </c>
      <c r="L104" s="11"/>
      <c r="M104" s="11"/>
      <c r="N104" s="90">
        <f>I104/88.1%</f>
        <v>2065.1929625425655</v>
      </c>
    </row>
    <row r="105" spans="1:14" ht="28.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</row>
    <row r="106" spans="1:14">
      <c r="A106" s="221" t="s">
        <v>84</v>
      </c>
      <c r="B106" s="221"/>
      <c r="C106" s="221"/>
      <c r="D106" s="221"/>
      <c r="E106" s="221"/>
      <c r="F106" s="221"/>
      <c r="G106" s="221"/>
      <c r="H106" s="221"/>
      <c r="I106" s="221"/>
      <c r="J106" s="221"/>
      <c r="K106" s="221"/>
      <c r="L106" s="221"/>
      <c r="M106" s="221"/>
      <c r="N106" s="11"/>
    </row>
    <row r="107" spans="1:14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1:14" ht="42">
      <c r="A108" s="222" t="s">
        <v>32</v>
      </c>
      <c r="B108" s="222"/>
      <c r="C108" s="222"/>
      <c r="D108" s="222"/>
      <c r="E108" s="222"/>
      <c r="F108" s="9" t="s">
        <v>92</v>
      </c>
      <c r="G108" s="9" t="s">
        <v>22</v>
      </c>
      <c r="H108" s="9" t="s">
        <v>82</v>
      </c>
      <c r="I108" s="9" t="s">
        <v>105</v>
      </c>
      <c r="J108" s="9" t="s">
        <v>135</v>
      </c>
      <c r="K108" s="11"/>
      <c r="L108" s="11"/>
      <c r="M108" s="11"/>
      <c r="N108" s="11"/>
    </row>
    <row r="109" spans="1:14" ht="18" customHeight="1">
      <c r="A109" s="217" t="s">
        <v>116</v>
      </c>
      <c r="B109" s="218"/>
      <c r="C109" s="218"/>
      <c r="D109" s="218"/>
      <c r="E109" s="219"/>
      <c r="F109" s="36">
        <v>4</v>
      </c>
      <c r="G109" s="107">
        <v>4500</v>
      </c>
      <c r="H109" s="201">
        <f>18000*2.5%</f>
        <v>450</v>
      </c>
      <c r="I109" s="86">
        <v>25</v>
      </c>
      <c r="J109" s="94">
        <f t="shared" ref="J109:J112" si="3">H109/I109</f>
        <v>18</v>
      </c>
      <c r="K109" s="11"/>
      <c r="L109" s="11"/>
      <c r="M109" s="11"/>
      <c r="N109" s="11"/>
    </row>
    <row r="110" spans="1:14" ht="20.25" customHeight="1">
      <c r="A110" s="244" t="s">
        <v>117</v>
      </c>
      <c r="B110" s="244"/>
      <c r="C110" s="244"/>
      <c r="D110" s="244"/>
      <c r="E110" s="244"/>
      <c r="F110" s="36">
        <v>12</v>
      </c>
      <c r="G110" s="107">
        <v>3000</v>
      </c>
      <c r="H110" s="201">
        <f>36000*2.5%</f>
        <v>900</v>
      </c>
      <c r="I110" s="86">
        <v>25</v>
      </c>
      <c r="J110" s="94">
        <f t="shared" si="3"/>
        <v>36</v>
      </c>
      <c r="K110" s="11"/>
      <c r="L110" s="11"/>
      <c r="M110" s="11"/>
      <c r="N110" s="11"/>
    </row>
    <row r="111" spans="1:14" ht="18.75" customHeight="1">
      <c r="A111" s="244" t="s">
        <v>118</v>
      </c>
      <c r="B111" s="244"/>
      <c r="C111" s="244"/>
      <c r="D111" s="244"/>
      <c r="E111" s="244"/>
      <c r="F111" s="36">
        <v>12</v>
      </c>
      <c r="G111" s="107">
        <v>1000</v>
      </c>
      <c r="H111" s="201">
        <f>12000*2.5%</f>
        <v>300</v>
      </c>
      <c r="I111" s="86">
        <v>25</v>
      </c>
      <c r="J111" s="94">
        <f t="shared" si="3"/>
        <v>12</v>
      </c>
      <c r="K111" s="11"/>
      <c r="L111" s="11"/>
      <c r="M111" s="11"/>
      <c r="N111" s="11"/>
    </row>
    <row r="112" spans="1:14" ht="15" thickBot="1">
      <c r="A112" s="267" t="s">
        <v>120</v>
      </c>
      <c r="B112" s="268"/>
      <c r="C112" s="268"/>
      <c r="D112" s="268"/>
      <c r="E112" s="269"/>
      <c r="F112" s="107"/>
      <c r="G112" s="93"/>
      <c r="H112" s="82">
        <f>18000*2.5%</f>
        <v>450</v>
      </c>
      <c r="I112" s="86">
        <v>25</v>
      </c>
      <c r="J112" s="94">
        <f t="shared" si="3"/>
        <v>18</v>
      </c>
      <c r="K112" s="11"/>
      <c r="L112" s="11"/>
      <c r="M112" s="11"/>
      <c r="N112" s="11"/>
    </row>
    <row r="113" spans="1:14" ht="20.25" customHeight="1" thickBot="1">
      <c r="A113" s="270" t="s">
        <v>88</v>
      </c>
      <c r="B113" s="271"/>
      <c r="C113" s="271"/>
      <c r="D113" s="271"/>
      <c r="E113" s="272"/>
      <c r="F113" s="91"/>
      <c r="G113" s="91"/>
      <c r="H113" s="146">
        <f>H109+H110+H111+H112</f>
        <v>2100</v>
      </c>
      <c r="I113" s="87"/>
      <c r="J113" s="206">
        <f>SUM(J109:J112)</f>
        <v>84</v>
      </c>
      <c r="K113" s="11"/>
      <c r="L113" s="49"/>
      <c r="M113" s="11"/>
      <c r="N113" s="90">
        <f>H113/88.1%</f>
        <v>2383.6549375709424</v>
      </c>
    </row>
    <row r="114" spans="1:14" ht="14.25" hidden="1" customHeight="1" thickBot="1">
      <c r="F114" s="36"/>
      <c r="G114" s="36"/>
      <c r="H114" s="108"/>
      <c r="I114" s="86"/>
      <c r="J114" s="94"/>
      <c r="K114" s="11"/>
      <c r="L114" s="11"/>
      <c r="M114" s="11"/>
      <c r="N114" s="11"/>
    </row>
    <row r="115" spans="1:14" ht="16.5" hidden="1" customHeight="1">
      <c r="A115" s="244"/>
      <c r="B115" s="244"/>
      <c r="C115" s="244"/>
      <c r="D115" s="244"/>
      <c r="E115" s="244"/>
      <c r="F115" s="36"/>
      <c r="G115" s="36"/>
      <c r="H115" s="106"/>
      <c r="I115" s="86">
        <v>3260</v>
      </c>
      <c r="J115" s="94">
        <f t="shared" ref="J115:J116" si="4">H115/I115</f>
        <v>0</v>
      </c>
      <c r="K115" s="11"/>
      <c r="L115" s="11"/>
      <c r="M115" s="11"/>
      <c r="N115" s="11"/>
    </row>
    <row r="116" spans="1:14" ht="17.25" hidden="1" customHeight="1" thickBot="1">
      <c r="A116" s="217"/>
      <c r="B116" s="218"/>
      <c r="C116" s="218"/>
      <c r="D116" s="218"/>
      <c r="E116" s="219"/>
      <c r="F116" s="107"/>
      <c r="G116" s="93"/>
      <c r="H116" s="56"/>
      <c r="I116" s="86">
        <v>3260</v>
      </c>
      <c r="J116" s="94">
        <f t="shared" si="4"/>
        <v>0</v>
      </c>
      <c r="K116" s="11"/>
      <c r="L116" s="11"/>
      <c r="M116" s="11"/>
      <c r="N116" s="11"/>
    </row>
    <row r="117" spans="1:14" ht="20.25" customHeight="1">
      <c r="A117" s="167"/>
      <c r="B117" s="168"/>
      <c r="C117" s="168"/>
      <c r="D117" s="168"/>
      <c r="E117" s="168"/>
      <c r="F117" s="168"/>
      <c r="G117" s="168"/>
      <c r="H117" s="52"/>
      <c r="I117" s="13"/>
      <c r="J117" s="53"/>
      <c r="K117" s="11"/>
      <c r="L117" s="49"/>
      <c r="M117" s="11"/>
      <c r="N117" s="11"/>
    </row>
    <row r="118" spans="1:14" ht="31.5" customHeight="1">
      <c r="A118" s="238" t="s">
        <v>86</v>
      </c>
      <c r="B118" s="238"/>
      <c r="C118" s="238"/>
      <c r="D118" s="238"/>
      <c r="E118" s="238"/>
      <c r="F118" s="273"/>
      <c r="G118" s="273"/>
      <c r="H118" s="273"/>
      <c r="I118" s="273"/>
      <c r="J118" s="273"/>
      <c r="K118" s="273"/>
      <c r="L118" s="273"/>
      <c r="M118" s="273"/>
      <c r="N118" s="273"/>
    </row>
    <row r="119" spans="1:14" ht="42">
      <c r="A119" s="222" t="s">
        <v>33</v>
      </c>
      <c r="B119" s="222"/>
      <c r="C119" s="222"/>
      <c r="D119" s="222"/>
      <c r="E119" s="222"/>
      <c r="F119" s="9" t="s">
        <v>7</v>
      </c>
      <c r="G119" s="9" t="s">
        <v>18</v>
      </c>
      <c r="H119" s="9" t="s">
        <v>71</v>
      </c>
      <c r="I119" s="9" t="s">
        <v>34</v>
      </c>
      <c r="J119" s="9" t="s">
        <v>82</v>
      </c>
      <c r="K119" s="37" t="s">
        <v>105</v>
      </c>
      <c r="L119" s="9" t="s">
        <v>135</v>
      </c>
      <c r="M119" s="11"/>
      <c r="N119" s="11"/>
    </row>
    <row r="120" spans="1:14" ht="31.5" customHeight="1">
      <c r="A120" s="263" t="s">
        <v>35</v>
      </c>
      <c r="B120" s="263"/>
      <c r="C120" s="263"/>
      <c r="D120" s="263"/>
      <c r="E120" s="263"/>
      <c r="F120" s="92" t="s">
        <v>36</v>
      </c>
      <c r="G120" s="93">
        <v>3</v>
      </c>
      <c r="H120" s="159">
        <v>590.59</v>
      </c>
      <c r="I120" s="93">
        <v>12</v>
      </c>
      <c r="J120" s="199">
        <f>24882.6*2.5%</f>
        <v>622.06500000000005</v>
      </c>
      <c r="K120" s="86">
        <v>25</v>
      </c>
      <c r="L120" s="94">
        <f>J120/K120</f>
        <v>24.882600000000004</v>
      </c>
      <c r="M120" s="90"/>
      <c r="N120" s="11"/>
    </row>
    <row r="121" spans="1:14" ht="22.5" customHeight="1" thickBot="1">
      <c r="A121" s="263" t="s">
        <v>99</v>
      </c>
      <c r="B121" s="263"/>
      <c r="C121" s="263"/>
      <c r="D121" s="263"/>
      <c r="E121" s="263"/>
      <c r="F121" s="92" t="s">
        <v>100</v>
      </c>
      <c r="G121" s="93">
        <v>1</v>
      </c>
      <c r="H121" s="159">
        <v>3300</v>
      </c>
      <c r="I121" s="93">
        <v>12</v>
      </c>
      <c r="J121" s="199">
        <f>36000*2.5%</f>
        <v>900</v>
      </c>
      <c r="K121" s="86">
        <v>25</v>
      </c>
      <c r="L121" s="94">
        <f>J121/K121</f>
        <v>36</v>
      </c>
      <c r="M121" s="90"/>
      <c r="N121" s="11"/>
    </row>
    <row r="122" spans="1:14" ht="20.25" customHeight="1" thickBot="1">
      <c r="A122" s="264" t="s">
        <v>37</v>
      </c>
      <c r="B122" s="265"/>
      <c r="C122" s="265"/>
      <c r="D122" s="265"/>
      <c r="E122" s="266"/>
      <c r="F122" s="264"/>
      <c r="G122" s="265"/>
      <c r="H122" s="265"/>
      <c r="I122" s="265"/>
      <c r="J122" s="146">
        <f>J121+J120</f>
        <v>1522.0650000000001</v>
      </c>
      <c r="K122" s="87"/>
      <c r="L122" s="95">
        <f>SUM(L120:L121)</f>
        <v>60.882600000000004</v>
      </c>
      <c r="M122" s="181"/>
      <c r="N122" s="11"/>
    </row>
    <row r="123" spans="1:14" ht="95.25" hidden="1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25"/>
      <c r="M123" s="25"/>
      <c r="N123" s="11"/>
    </row>
    <row r="124" spans="1:14" ht="12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25"/>
      <c r="M124" s="25"/>
      <c r="N124" s="11"/>
    </row>
    <row r="125" spans="1:14">
      <c r="A125" s="221" t="s">
        <v>122</v>
      </c>
      <c r="B125" s="221"/>
      <c r="C125" s="221"/>
      <c r="D125" s="221"/>
      <c r="E125" s="221"/>
      <c r="F125" s="221"/>
      <c r="G125" s="221"/>
      <c r="H125" s="221"/>
      <c r="I125" s="221"/>
      <c r="J125" s="221"/>
      <c r="K125" s="221"/>
      <c r="L125" s="221"/>
      <c r="M125" s="221"/>
      <c r="N125" s="11"/>
    </row>
    <row r="126" spans="1:14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</row>
    <row r="127" spans="1:14" ht="55.8">
      <c r="A127" s="222" t="s">
        <v>3</v>
      </c>
      <c r="B127" s="222"/>
      <c r="C127" s="222"/>
      <c r="D127" s="222"/>
      <c r="E127" s="222"/>
      <c r="F127" s="9" t="s">
        <v>4</v>
      </c>
      <c r="G127" s="10" t="s">
        <v>0</v>
      </c>
      <c r="H127" s="50" t="s">
        <v>87</v>
      </c>
      <c r="I127" s="50" t="s">
        <v>76</v>
      </c>
      <c r="J127" s="9" t="s">
        <v>105</v>
      </c>
      <c r="K127" s="9" t="s">
        <v>135</v>
      </c>
      <c r="L127" s="9" t="s">
        <v>80</v>
      </c>
      <c r="M127" s="39"/>
      <c r="N127" s="11"/>
    </row>
    <row r="128" spans="1:14">
      <c r="A128" s="225">
        <v>1</v>
      </c>
      <c r="B128" s="226"/>
      <c r="C128" s="226"/>
      <c r="D128" s="226"/>
      <c r="E128" s="227"/>
      <c r="F128" s="37">
        <v>2</v>
      </c>
      <c r="G128" s="12">
        <v>3</v>
      </c>
      <c r="H128" s="37">
        <v>4</v>
      </c>
      <c r="I128" s="37">
        <v>5</v>
      </c>
      <c r="J128" s="38">
        <v>6</v>
      </c>
      <c r="K128" s="54">
        <v>7</v>
      </c>
      <c r="L128" s="55">
        <v>8</v>
      </c>
      <c r="M128" s="39"/>
      <c r="N128" s="13"/>
    </row>
    <row r="129" spans="1:14" ht="15" thickBot="1">
      <c r="A129" s="255" t="s">
        <v>111</v>
      </c>
      <c r="B129" s="255"/>
      <c r="C129" s="255"/>
      <c r="D129" s="255"/>
      <c r="E129" s="255"/>
      <c r="F129" s="56">
        <f>H129/12/G129</f>
        <v>26841.126984126982</v>
      </c>
      <c r="G129" s="56">
        <v>0.21</v>
      </c>
      <c r="H129" s="56">
        <v>67639.64</v>
      </c>
      <c r="I129" s="56">
        <v>88066.92</v>
      </c>
      <c r="J129" s="86">
        <v>25</v>
      </c>
      <c r="K129" s="56">
        <f>I129/J129</f>
        <v>3522.6767999999997</v>
      </c>
      <c r="L129" s="115">
        <v>2.5</v>
      </c>
      <c r="M129" s="24"/>
      <c r="N129" s="13"/>
    </row>
    <row r="130" spans="1:14" ht="15" hidden="1" thickBot="1">
      <c r="A130" s="256"/>
      <c r="B130" s="257"/>
      <c r="C130" s="257"/>
      <c r="D130" s="257"/>
      <c r="E130" s="258"/>
      <c r="F130" s="56">
        <v>17865.98</v>
      </c>
      <c r="G130" s="116">
        <v>4</v>
      </c>
      <c r="H130" s="86"/>
      <c r="I130" s="63">
        <f>J81</f>
        <v>0</v>
      </c>
      <c r="J130" s="56" t="e">
        <f t="shared" ref="J130:J151" si="5">G130/H130*I130</f>
        <v>#DIV/0!</v>
      </c>
      <c r="K130" s="56">
        <f t="shared" ref="K130:K151" si="6">F130*G130*12*1.302</f>
        <v>1116552.28608</v>
      </c>
      <c r="L130" s="117" t="s">
        <v>61</v>
      </c>
      <c r="M130" s="46" t="e">
        <f t="shared" ref="M130:M154" si="7">J130*K130</f>
        <v>#DIV/0!</v>
      </c>
      <c r="N130" s="13"/>
    </row>
    <row r="131" spans="1:14" ht="15" hidden="1" thickBot="1">
      <c r="A131" s="259"/>
      <c r="B131" s="259"/>
      <c r="C131" s="259"/>
      <c r="D131" s="259"/>
      <c r="E131" s="259"/>
      <c r="F131" s="56">
        <v>9544</v>
      </c>
      <c r="G131" s="116">
        <v>1</v>
      </c>
      <c r="H131" s="86"/>
      <c r="I131" s="63">
        <f>J81</f>
        <v>0</v>
      </c>
      <c r="J131" s="56" t="e">
        <f t="shared" si="5"/>
        <v>#DIV/0!</v>
      </c>
      <c r="K131" s="56">
        <f t="shared" si="6"/>
        <v>149115.45600000001</v>
      </c>
      <c r="L131" s="63">
        <f>I131/11277167.39*100</f>
        <v>0</v>
      </c>
      <c r="M131" s="17" t="e">
        <f t="shared" si="7"/>
        <v>#DIV/0!</v>
      </c>
      <c r="N131" s="13"/>
    </row>
    <row r="132" spans="1:14" ht="15" hidden="1" customHeight="1">
      <c r="A132" s="260"/>
      <c r="B132" s="261"/>
      <c r="C132" s="261"/>
      <c r="D132" s="261"/>
      <c r="E132" s="262"/>
      <c r="F132" s="56">
        <v>11560</v>
      </c>
      <c r="G132" s="116">
        <v>1</v>
      </c>
      <c r="H132" s="86"/>
      <c r="I132" s="63">
        <f>J81</f>
        <v>0</v>
      </c>
      <c r="J132" s="56" t="e">
        <f t="shared" si="5"/>
        <v>#DIV/0!</v>
      </c>
      <c r="K132" s="56">
        <f t="shared" si="6"/>
        <v>180613.44</v>
      </c>
      <c r="L132" s="40"/>
      <c r="M132" s="17" t="e">
        <f t="shared" si="7"/>
        <v>#DIV/0!</v>
      </c>
      <c r="N132" s="13"/>
    </row>
    <row r="133" spans="1:14" ht="15" hidden="1" thickBot="1">
      <c r="A133" s="244"/>
      <c r="B133" s="244"/>
      <c r="C133" s="244"/>
      <c r="D133" s="244"/>
      <c r="E133" s="244"/>
      <c r="F133" s="56">
        <v>9544</v>
      </c>
      <c r="G133" s="118">
        <v>0.5</v>
      </c>
      <c r="H133" s="86"/>
      <c r="I133" s="63">
        <f>J81</f>
        <v>0</v>
      </c>
      <c r="J133" s="56" t="e">
        <f t="shared" si="5"/>
        <v>#DIV/0!</v>
      </c>
      <c r="K133" s="56">
        <f t="shared" si="6"/>
        <v>74557.728000000003</v>
      </c>
      <c r="L133" s="40"/>
      <c r="M133" s="17" t="e">
        <f t="shared" si="7"/>
        <v>#DIV/0!</v>
      </c>
      <c r="N133" s="13"/>
    </row>
    <row r="134" spans="1:14" ht="15" hidden="1" thickBot="1">
      <c r="A134" s="244"/>
      <c r="B134" s="244"/>
      <c r="C134" s="244"/>
      <c r="D134" s="244"/>
      <c r="E134" s="244"/>
      <c r="F134" s="56">
        <v>9544</v>
      </c>
      <c r="G134" s="116">
        <v>1</v>
      </c>
      <c r="H134" s="86"/>
      <c r="I134" s="63">
        <f>J81</f>
        <v>0</v>
      </c>
      <c r="J134" s="56" t="e">
        <f t="shared" si="5"/>
        <v>#DIV/0!</v>
      </c>
      <c r="K134" s="56">
        <f t="shared" si="6"/>
        <v>149115.45600000001</v>
      </c>
      <c r="L134" s="56"/>
      <c r="M134" s="17" t="e">
        <f t="shared" si="7"/>
        <v>#DIV/0!</v>
      </c>
      <c r="N134" s="13"/>
    </row>
    <row r="135" spans="1:14" ht="14.25" hidden="1" customHeight="1">
      <c r="A135" s="244"/>
      <c r="B135" s="244"/>
      <c r="C135" s="244"/>
      <c r="D135" s="244"/>
      <c r="E135" s="244"/>
      <c r="F135" s="56">
        <v>9544</v>
      </c>
      <c r="G135" s="116">
        <v>1</v>
      </c>
      <c r="H135" s="86"/>
      <c r="I135" s="63">
        <f>J81</f>
        <v>0</v>
      </c>
      <c r="J135" s="56" t="e">
        <f t="shared" si="5"/>
        <v>#DIV/0!</v>
      </c>
      <c r="K135" s="56">
        <f t="shared" si="6"/>
        <v>149115.45600000001</v>
      </c>
      <c r="L135" s="87"/>
      <c r="M135" s="17" t="e">
        <f t="shared" si="7"/>
        <v>#DIV/0!</v>
      </c>
      <c r="N135" s="13"/>
    </row>
    <row r="136" spans="1:14" ht="15" hidden="1" thickBot="1">
      <c r="A136" s="217"/>
      <c r="B136" s="218"/>
      <c r="C136" s="218"/>
      <c r="D136" s="218"/>
      <c r="E136" s="219"/>
      <c r="F136" s="56">
        <v>9544</v>
      </c>
      <c r="G136" s="56"/>
      <c r="H136" s="86"/>
      <c r="I136" s="63">
        <f>J81</f>
        <v>0</v>
      </c>
      <c r="J136" s="56" t="e">
        <f t="shared" si="5"/>
        <v>#DIV/0!</v>
      </c>
      <c r="K136" s="56">
        <f t="shared" si="6"/>
        <v>0</v>
      </c>
      <c r="L136" s="87"/>
      <c r="M136" s="17" t="e">
        <f t="shared" si="7"/>
        <v>#DIV/0!</v>
      </c>
      <c r="N136" s="13"/>
    </row>
    <row r="137" spans="1:14" ht="15" hidden="1" thickBot="1">
      <c r="A137" s="217"/>
      <c r="B137" s="218"/>
      <c r="C137" s="218"/>
      <c r="D137" s="218"/>
      <c r="E137" s="219"/>
      <c r="F137" s="56">
        <v>9544</v>
      </c>
      <c r="G137" s="119">
        <v>0.25</v>
      </c>
      <c r="H137" s="86"/>
      <c r="I137" s="63">
        <f>J81</f>
        <v>0</v>
      </c>
      <c r="J137" s="56" t="e">
        <f t="shared" si="5"/>
        <v>#DIV/0!</v>
      </c>
      <c r="K137" s="56">
        <f t="shared" si="6"/>
        <v>37278.864000000001</v>
      </c>
      <c r="L137" s="87"/>
      <c r="M137" s="17" t="e">
        <f t="shared" si="7"/>
        <v>#DIV/0!</v>
      </c>
      <c r="N137" s="13"/>
    </row>
    <row r="138" spans="1:14" ht="15" hidden="1" thickBot="1">
      <c r="A138" s="217"/>
      <c r="B138" s="218"/>
      <c r="C138" s="218"/>
      <c r="D138" s="218"/>
      <c r="E138" s="219"/>
      <c r="F138" s="56">
        <v>9544</v>
      </c>
      <c r="G138" s="56"/>
      <c r="H138" s="86"/>
      <c r="I138" s="63">
        <f>J81</f>
        <v>0</v>
      </c>
      <c r="J138" s="56" t="e">
        <f t="shared" si="5"/>
        <v>#DIV/0!</v>
      </c>
      <c r="K138" s="56">
        <f t="shared" si="6"/>
        <v>0</v>
      </c>
      <c r="L138" s="87"/>
      <c r="M138" s="17" t="e">
        <f t="shared" si="7"/>
        <v>#DIV/0!</v>
      </c>
      <c r="N138" s="13"/>
    </row>
    <row r="139" spans="1:14" ht="15" hidden="1" thickBot="1">
      <c r="A139" s="217"/>
      <c r="B139" s="218"/>
      <c r="C139" s="218"/>
      <c r="D139" s="218"/>
      <c r="E139" s="219"/>
      <c r="F139" s="56">
        <v>9544</v>
      </c>
      <c r="G139" s="118">
        <v>0.5</v>
      </c>
      <c r="H139" s="86"/>
      <c r="I139" s="63">
        <f>J81</f>
        <v>0</v>
      </c>
      <c r="J139" s="56" t="e">
        <f t="shared" si="5"/>
        <v>#DIV/0!</v>
      </c>
      <c r="K139" s="56">
        <f t="shared" si="6"/>
        <v>74557.728000000003</v>
      </c>
      <c r="L139" s="87"/>
      <c r="M139" s="17" t="e">
        <f t="shared" si="7"/>
        <v>#DIV/0!</v>
      </c>
      <c r="N139" s="13"/>
    </row>
    <row r="140" spans="1:14" ht="15.75" hidden="1" customHeight="1">
      <c r="A140" s="217"/>
      <c r="B140" s="218"/>
      <c r="C140" s="218"/>
      <c r="D140" s="218"/>
      <c r="E140" s="219"/>
      <c r="F140" s="56">
        <v>9544</v>
      </c>
      <c r="G140" s="116">
        <v>1</v>
      </c>
      <c r="H140" s="86"/>
      <c r="I140" s="63">
        <f>J81</f>
        <v>0</v>
      </c>
      <c r="J140" s="56" t="e">
        <f t="shared" si="5"/>
        <v>#DIV/0!</v>
      </c>
      <c r="K140" s="56">
        <f t="shared" si="6"/>
        <v>149115.45600000001</v>
      </c>
      <c r="L140" s="87"/>
      <c r="M140" s="17" t="e">
        <f t="shared" si="7"/>
        <v>#DIV/0!</v>
      </c>
      <c r="N140" s="13"/>
    </row>
    <row r="141" spans="1:14" ht="15" hidden="1" customHeight="1">
      <c r="A141" s="244"/>
      <c r="B141" s="244"/>
      <c r="C141" s="244"/>
      <c r="D141" s="244"/>
      <c r="E141" s="244"/>
      <c r="F141" s="56">
        <v>9544</v>
      </c>
      <c r="G141" s="116">
        <v>1</v>
      </c>
      <c r="H141" s="86"/>
      <c r="I141" s="63">
        <f>J81</f>
        <v>0</v>
      </c>
      <c r="J141" s="56" t="e">
        <f t="shared" si="5"/>
        <v>#DIV/0!</v>
      </c>
      <c r="K141" s="56">
        <f t="shared" si="6"/>
        <v>149115.45600000001</v>
      </c>
      <c r="L141" s="87"/>
      <c r="M141" s="17" t="e">
        <f t="shared" si="7"/>
        <v>#DIV/0!</v>
      </c>
      <c r="N141" s="13"/>
    </row>
    <row r="142" spans="1:14" ht="15" hidden="1" customHeight="1">
      <c r="A142" s="244"/>
      <c r="B142" s="244"/>
      <c r="C142" s="244"/>
      <c r="D142" s="244"/>
      <c r="E142" s="244"/>
      <c r="F142" s="56">
        <v>9544</v>
      </c>
      <c r="G142" s="118">
        <v>5.5</v>
      </c>
      <c r="H142" s="86"/>
      <c r="I142" s="63">
        <f>J81</f>
        <v>0</v>
      </c>
      <c r="J142" s="56" t="e">
        <f t="shared" si="5"/>
        <v>#DIV/0!</v>
      </c>
      <c r="K142" s="56">
        <f t="shared" si="6"/>
        <v>820135.00800000003</v>
      </c>
      <c r="L142" s="87"/>
      <c r="M142" s="17" t="e">
        <f t="shared" si="7"/>
        <v>#DIV/0!</v>
      </c>
      <c r="N142" s="13"/>
    </row>
    <row r="143" spans="1:14" ht="15" hidden="1" customHeight="1">
      <c r="A143" s="244"/>
      <c r="B143" s="244"/>
      <c r="C143" s="244"/>
      <c r="D143" s="244"/>
      <c r="E143" s="244"/>
      <c r="F143" s="56">
        <v>9544</v>
      </c>
      <c r="G143" s="116">
        <v>1</v>
      </c>
      <c r="H143" s="86"/>
      <c r="I143" s="63">
        <f>J81</f>
        <v>0</v>
      </c>
      <c r="J143" s="56" t="e">
        <f t="shared" si="5"/>
        <v>#DIV/0!</v>
      </c>
      <c r="K143" s="56">
        <f t="shared" si="6"/>
        <v>149115.45600000001</v>
      </c>
      <c r="L143" s="87"/>
      <c r="M143" s="17" t="e">
        <f t="shared" si="7"/>
        <v>#DIV/0!</v>
      </c>
      <c r="N143" s="13"/>
    </row>
    <row r="144" spans="1:14" ht="15" hidden="1" customHeight="1">
      <c r="A144" s="244"/>
      <c r="B144" s="244"/>
      <c r="C144" s="244"/>
      <c r="D144" s="244"/>
      <c r="E144" s="244"/>
      <c r="F144" s="56">
        <v>9544</v>
      </c>
      <c r="G144" s="118">
        <v>0.5</v>
      </c>
      <c r="H144" s="86"/>
      <c r="I144" s="63">
        <f>J81</f>
        <v>0</v>
      </c>
      <c r="J144" s="56" t="e">
        <f t="shared" si="5"/>
        <v>#DIV/0!</v>
      </c>
      <c r="K144" s="56">
        <f t="shared" si="6"/>
        <v>74557.728000000003</v>
      </c>
      <c r="L144" s="87"/>
      <c r="M144" s="17" t="e">
        <f t="shared" si="7"/>
        <v>#DIV/0!</v>
      </c>
      <c r="N144" s="13"/>
    </row>
    <row r="145" spans="1:14" ht="15" hidden="1" customHeight="1">
      <c r="A145" s="244"/>
      <c r="B145" s="244"/>
      <c r="C145" s="244"/>
      <c r="D145" s="244"/>
      <c r="E145" s="244"/>
      <c r="F145" s="56">
        <v>9544</v>
      </c>
      <c r="G145" s="118">
        <v>0.5</v>
      </c>
      <c r="H145" s="86"/>
      <c r="I145" s="63">
        <f>J81</f>
        <v>0</v>
      </c>
      <c r="J145" s="56" t="e">
        <f t="shared" si="5"/>
        <v>#DIV/0!</v>
      </c>
      <c r="K145" s="56">
        <f t="shared" si="6"/>
        <v>74557.728000000003</v>
      </c>
      <c r="L145" s="87"/>
      <c r="M145" s="17" t="e">
        <f t="shared" si="7"/>
        <v>#DIV/0!</v>
      </c>
      <c r="N145" s="13"/>
    </row>
    <row r="146" spans="1:14" ht="15" hidden="1" thickBot="1">
      <c r="A146" s="244"/>
      <c r="B146" s="244"/>
      <c r="C146" s="244"/>
      <c r="D146" s="244"/>
      <c r="E146" s="244"/>
      <c r="F146" s="56">
        <v>9544</v>
      </c>
      <c r="G146" s="116">
        <v>1</v>
      </c>
      <c r="H146" s="86"/>
      <c r="I146" s="63">
        <f>J81</f>
        <v>0</v>
      </c>
      <c r="J146" s="56" t="e">
        <f t="shared" si="5"/>
        <v>#DIV/0!</v>
      </c>
      <c r="K146" s="56">
        <f t="shared" si="6"/>
        <v>149115.45600000001</v>
      </c>
      <c r="L146" s="87"/>
      <c r="M146" s="17" t="e">
        <f t="shared" si="7"/>
        <v>#DIV/0!</v>
      </c>
      <c r="N146" s="13"/>
    </row>
    <row r="147" spans="1:14" ht="15.75" hidden="1" customHeight="1">
      <c r="A147" s="244"/>
      <c r="B147" s="244"/>
      <c r="C147" s="244"/>
      <c r="D147" s="244"/>
      <c r="E147" s="244"/>
      <c r="F147" s="56">
        <v>9544</v>
      </c>
      <c r="G147" s="116">
        <v>4</v>
      </c>
      <c r="H147" s="86"/>
      <c r="I147" s="63">
        <f>J81</f>
        <v>0</v>
      </c>
      <c r="J147" s="56" t="e">
        <f t="shared" si="5"/>
        <v>#DIV/0!</v>
      </c>
      <c r="K147" s="56">
        <f t="shared" si="6"/>
        <v>596461.82400000002</v>
      </c>
      <c r="L147" s="87"/>
      <c r="M147" s="17" t="e">
        <f t="shared" si="7"/>
        <v>#DIV/0!</v>
      </c>
      <c r="N147" s="13"/>
    </row>
    <row r="148" spans="1:14" ht="16.5" hidden="1" customHeight="1">
      <c r="A148" s="217"/>
      <c r="B148" s="218"/>
      <c r="C148" s="218"/>
      <c r="D148" s="218"/>
      <c r="E148" s="219"/>
      <c r="F148" s="56">
        <v>9544</v>
      </c>
      <c r="G148" s="116">
        <v>1</v>
      </c>
      <c r="H148" s="86"/>
      <c r="I148" s="63">
        <f>J81</f>
        <v>0</v>
      </c>
      <c r="J148" s="56" t="e">
        <f t="shared" si="5"/>
        <v>#DIV/0!</v>
      </c>
      <c r="K148" s="56">
        <f t="shared" si="6"/>
        <v>149115.45600000001</v>
      </c>
      <c r="L148" s="87"/>
      <c r="M148" s="17" t="e">
        <f t="shared" si="7"/>
        <v>#DIV/0!</v>
      </c>
      <c r="N148" s="13"/>
    </row>
    <row r="149" spans="1:14" ht="16.5" hidden="1" customHeight="1">
      <c r="A149" s="217"/>
      <c r="B149" s="218"/>
      <c r="C149" s="218"/>
      <c r="D149" s="218"/>
      <c r="E149" s="219"/>
      <c r="F149" s="56">
        <v>9544</v>
      </c>
      <c r="G149" s="119">
        <v>1.75</v>
      </c>
      <c r="H149" s="86"/>
      <c r="I149" s="63">
        <f>J81</f>
        <v>0</v>
      </c>
      <c r="J149" s="56" t="e">
        <f t="shared" si="5"/>
        <v>#DIV/0!</v>
      </c>
      <c r="K149" s="56">
        <f t="shared" si="6"/>
        <v>260952.04800000001</v>
      </c>
      <c r="L149" s="87"/>
      <c r="M149" s="17" t="e">
        <f t="shared" si="7"/>
        <v>#DIV/0!</v>
      </c>
      <c r="N149" s="13"/>
    </row>
    <row r="150" spans="1:14" ht="16.5" hidden="1" customHeight="1">
      <c r="A150" s="217"/>
      <c r="B150" s="218"/>
      <c r="C150" s="218"/>
      <c r="D150" s="218"/>
      <c r="E150" s="219"/>
      <c r="F150" s="56">
        <v>9544</v>
      </c>
      <c r="G150" s="63"/>
      <c r="H150" s="86"/>
      <c r="I150" s="63">
        <f>J81</f>
        <v>0</v>
      </c>
      <c r="J150" s="56" t="e">
        <f t="shared" si="5"/>
        <v>#DIV/0!</v>
      </c>
      <c r="K150" s="56">
        <f t="shared" si="6"/>
        <v>0</v>
      </c>
      <c r="L150" s="87"/>
      <c r="M150" s="17" t="e">
        <f t="shared" si="7"/>
        <v>#DIV/0!</v>
      </c>
      <c r="N150" s="13"/>
    </row>
    <row r="151" spans="1:14" ht="16.5" hidden="1" customHeight="1">
      <c r="A151" s="217"/>
      <c r="B151" s="218"/>
      <c r="C151" s="218"/>
      <c r="D151" s="218"/>
      <c r="E151" s="219"/>
      <c r="F151" s="56">
        <v>9544</v>
      </c>
      <c r="G151" s="118">
        <v>0.5</v>
      </c>
      <c r="H151" s="86"/>
      <c r="I151" s="63">
        <f>J81</f>
        <v>0</v>
      </c>
      <c r="J151" s="56" t="e">
        <f t="shared" si="5"/>
        <v>#DIV/0!</v>
      </c>
      <c r="K151" s="56">
        <f t="shared" si="6"/>
        <v>74557.728000000003</v>
      </c>
      <c r="L151" s="87"/>
      <c r="M151" s="17" t="e">
        <f t="shared" si="7"/>
        <v>#DIV/0!</v>
      </c>
      <c r="N151" s="13"/>
    </row>
    <row r="152" spans="1:14" ht="15" hidden="1" customHeight="1">
      <c r="A152" s="217"/>
      <c r="B152" s="218"/>
      <c r="C152" s="218"/>
      <c r="D152" s="218"/>
      <c r="E152" s="219"/>
      <c r="F152" s="56"/>
      <c r="G152" s="56"/>
      <c r="H152" s="56"/>
      <c r="I152" s="56"/>
      <c r="J152" s="56"/>
      <c r="K152" s="56"/>
      <c r="L152" s="87"/>
      <c r="M152" s="17">
        <f t="shared" si="7"/>
        <v>0</v>
      </c>
      <c r="N152" s="13"/>
    </row>
    <row r="153" spans="1:14" ht="15.75" hidden="1" customHeight="1">
      <c r="A153" s="217"/>
      <c r="B153" s="218"/>
      <c r="C153" s="218"/>
      <c r="D153" s="218"/>
      <c r="E153" s="219"/>
      <c r="F153" s="56"/>
      <c r="G153" s="56"/>
      <c r="H153" s="56"/>
      <c r="I153" s="56"/>
      <c r="J153" s="56"/>
      <c r="K153" s="56"/>
      <c r="L153" s="87"/>
      <c r="M153" s="17">
        <f t="shared" si="7"/>
        <v>0</v>
      </c>
      <c r="N153" s="13"/>
    </row>
    <row r="154" spans="1:14" ht="14.25" hidden="1" customHeight="1">
      <c r="A154" s="217"/>
      <c r="B154" s="218"/>
      <c r="C154" s="218"/>
      <c r="D154" s="218"/>
      <c r="E154" s="219"/>
      <c r="F154" s="56"/>
      <c r="G154" s="56"/>
      <c r="H154" s="56"/>
      <c r="I154" s="56"/>
      <c r="J154" s="86">
        <v>105</v>
      </c>
      <c r="K154" s="88">
        <f>I154/J154</f>
        <v>0</v>
      </c>
      <c r="L154" s="87"/>
      <c r="M154" s="44">
        <f t="shared" si="7"/>
        <v>0</v>
      </c>
      <c r="N154" s="13"/>
    </row>
    <row r="155" spans="1:14" ht="15" thickBot="1">
      <c r="A155" s="220" t="s">
        <v>81</v>
      </c>
      <c r="B155" s="220"/>
      <c r="C155" s="220"/>
      <c r="D155" s="220"/>
      <c r="E155" s="220"/>
      <c r="F155" s="120"/>
      <c r="G155" s="171"/>
      <c r="H155" s="171"/>
      <c r="I155" s="146">
        <f>I129</f>
        <v>88066.92</v>
      </c>
      <c r="J155" s="89"/>
      <c r="K155" s="122">
        <f>K129</f>
        <v>3522.6767999999997</v>
      </c>
      <c r="L155" s="87"/>
      <c r="M155" s="24"/>
      <c r="N155" s="13"/>
    </row>
    <row r="156" spans="1:14" ht="24.75" customHeight="1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11"/>
      <c r="N156" s="11"/>
    </row>
    <row r="157" spans="1:14" hidden="1">
      <c r="A157" s="221" t="s">
        <v>38</v>
      </c>
      <c r="B157" s="221"/>
      <c r="C157" s="221"/>
      <c r="D157" s="221"/>
      <c r="E157" s="221"/>
      <c r="F157" s="221"/>
      <c r="G157" s="221"/>
      <c r="H157" s="221"/>
      <c r="I157" s="221"/>
      <c r="J157" s="221"/>
      <c r="K157" s="221"/>
      <c r="L157" s="221"/>
      <c r="M157" s="221"/>
      <c r="N157" s="11"/>
    </row>
    <row r="158" spans="1:14" hidden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</row>
    <row r="159" spans="1:14" ht="42" hidden="1">
      <c r="A159" s="222" t="s">
        <v>39</v>
      </c>
      <c r="B159" s="222"/>
      <c r="C159" s="222"/>
      <c r="D159" s="222"/>
      <c r="E159" s="222"/>
      <c r="F159" s="9" t="s">
        <v>7</v>
      </c>
      <c r="G159" s="9" t="s">
        <v>18</v>
      </c>
      <c r="H159" s="9" t="s">
        <v>19</v>
      </c>
      <c r="I159" s="9" t="s">
        <v>20</v>
      </c>
      <c r="J159" s="9"/>
      <c r="K159" s="9" t="s">
        <v>21</v>
      </c>
      <c r="L159" s="9" t="s">
        <v>22</v>
      </c>
      <c r="M159" s="9" t="s">
        <v>82</v>
      </c>
      <c r="N159" s="11"/>
    </row>
    <row r="160" spans="1:14" hidden="1">
      <c r="A160" s="231" t="s">
        <v>40</v>
      </c>
      <c r="B160" s="231"/>
      <c r="C160" s="231"/>
      <c r="D160" s="231"/>
      <c r="E160" s="231"/>
      <c r="F160" s="12" t="s">
        <v>43</v>
      </c>
      <c r="G160" s="12">
        <v>0</v>
      </c>
      <c r="H160" s="54">
        <f>M86</f>
        <v>0</v>
      </c>
      <c r="I160" s="45">
        <f>J55</f>
        <v>0</v>
      </c>
      <c r="J160" s="45"/>
      <c r="K160" s="12"/>
      <c r="L160" s="12"/>
      <c r="M160" s="12"/>
      <c r="N160" s="11"/>
    </row>
    <row r="161" spans="1:14" hidden="1">
      <c r="A161" s="231" t="s">
        <v>41</v>
      </c>
      <c r="B161" s="231"/>
      <c r="C161" s="231"/>
      <c r="D161" s="231"/>
      <c r="E161" s="231"/>
      <c r="F161" s="12" t="s">
        <v>44</v>
      </c>
      <c r="G161" s="12">
        <v>0</v>
      </c>
      <c r="H161" s="54">
        <f>M86</f>
        <v>0</v>
      </c>
      <c r="I161" s="45">
        <f>J55</f>
        <v>0</v>
      </c>
      <c r="J161" s="45"/>
      <c r="K161" s="12"/>
      <c r="L161" s="12"/>
      <c r="M161" s="12"/>
      <c r="N161" s="11"/>
    </row>
    <row r="162" spans="1:14" hidden="1">
      <c r="A162" s="231" t="s">
        <v>42</v>
      </c>
      <c r="B162" s="231"/>
      <c r="C162" s="231"/>
      <c r="D162" s="231"/>
      <c r="E162" s="231"/>
      <c r="F162" s="12" t="s">
        <v>44</v>
      </c>
      <c r="G162" s="12">
        <v>0</v>
      </c>
      <c r="H162" s="54">
        <f>M86</f>
        <v>0</v>
      </c>
      <c r="I162" s="45">
        <f>J55</f>
        <v>0</v>
      </c>
      <c r="J162" s="45"/>
      <c r="K162" s="12"/>
      <c r="L162" s="12"/>
      <c r="M162" s="12"/>
      <c r="N162" s="11"/>
    </row>
    <row r="163" spans="1:14" hidden="1">
      <c r="A163" s="232" t="s">
        <v>45</v>
      </c>
      <c r="B163" s="233"/>
      <c r="C163" s="233"/>
      <c r="D163" s="233"/>
      <c r="E163" s="233"/>
      <c r="F163" s="233"/>
      <c r="G163" s="233"/>
      <c r="H163" s="233"/>
      <c r="I163" s="233"/>
      <c r="J163" s="233"/>
      <c r="K163" s="233"/>
      <c r="L163" s="234"/>
      <c r="M163" s="58">
        <f>M160+M161+M162</f>
        <v>0</v>
      </c>
      <c r="N163" s="11"/>
    </row>
    <row r="164" spans="1:14" hidden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1"/>
    </row>
    <row r="165" spans="1:14" hidden="1">
      <c r="A165" s="223" t="s">
        <v>93</v>
      </c>
      <c r="B165" s="224"/>
      <c r="C165" s="224"/>
      <c r="D165" s="224"/>
      <c r="E165" s="224"/>
      <c r="F165" s="224"/>
      <c r="G165" s="224"/>
      <c r="H165" s="224"/>
      <c r="I165" s="224"/>
      <c r="J165" s="224"/>
      <c r="K165" s="224"/>
      <c r="L165" s="224"/>
      <c r="M165" s="11"/>
      <c r="N165" s="11"/>
    </row>
    <row r="166" spans="1:14" hidden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</row>
    <row r="167" spans="1:14" ht="55.8" hidden="1">
      <c r="A167" s="214" t="s">
        <v>66</v>
      </c>
      <c r="B167" s="215"/>
      <c r="C167" s="215"/>
      <c r="D167" s="215"/>
      <c r="E167" s="216"/>
      <c r="F167" s="9" t="s">
        <v>7</v>
      </c>
      <c r="G167" s="9" t="s">
        <v>18</v>
      </c>
      <c r="H167" s="37" t="s">
        <v>22</v>
      </c>
      <c r="I167" s="9" t="s">
        <v>82</v>
      </c>
      <c r="J167" s="37" t="s">
        <v>78</v>
      </c>
      <c r="K167" s="37" t="s">
        <v>73</v>
      </c>
      <c r="L167" s="11"/>
      <c r="M167" s="11"/>
      <c r="N167" s="11"/>
    </row>
    <row r="168" spans="1:14" hidden="1">
      <c r="A168" s="225">
        <v>1</v>
      </c>
      <c r="B168" s="226"/>
      <c r="C168" s="226"/>
      <c r="D168" s="226"/>
      <c r="E168" s="227"/>
      <c r="F168" s="37">
        <v>2</v>
      </c>
      <c r="G168" s="37">
        <v>3</v>
      </c>
      <c r="H168" s="37">
        <v>4</v>
      </c>
      <c r="I168" s="37">
        <v>5</v>
      </c>
      <c r="J168" s="38">
        <v>6</v>
      </c>
      <c r="K168" s="54">
        <v>7</v>
      </c>
      <c r="L168" s="11"/>
      <c r="M168" s="11"/>
      <c r="N168" s="11"/>
    </row>
    <row r="169" spans="1:14" hidden="1">
      <c r="A169" s="228" t="s">
        <v>95</v>
      </c>
      <c r="B169" s="229"/>
      <c r="C169" s="229"/>
      <c r="D169" s="229"/>
      <c r="E169" s="230"/>
      <c r="F169" s="17"/>
      <c r="G169" s="18"/>
      <c r="H169" s="17"/>
      <c r="I169" s="17"/>
      <c r="J169" s="18">
        <v>30</v>
      </c>
      <c r="K169" s="10">
        <f>I169/J169</f>
        <v>0</v>
      </c>
      <c r="L169" s="11"/>
      <c r="M169" s="11"/>
      <c r="N169" s="11"/>
    </row>
    <row r="170" spans="1:14" ht="15" hidden="1" thickBot="1">
      <c r="A170" s="69" t="s">
        <v>94</v>
      </c>
      <c r="B170" s="70"/>
      <c r="C170" s="70"/>
      <c r="D170" s="70"/>
      <c r="E170" s="70"/>
      <c r="F170" s="70"/>
      <c r="G170" s="70"/>
      <c r="H170" s="70"/>
      <c r="I170" s="59">
        <f>I169</f>
        <v>0</v>
      </c>
      <c r="J170" s="60"/>
      <c r="K170" s="61">
        <f>K169</f>
        <v>0</v>
      </c>
      <c r="L170" s="11"/>
      <c r="M170" s="11"/>
      <c r="N170" s="11"/>
    </row>
    <row r="171" spans="1:14" hidden="1">
      <c r="A171" s="213" t="s">
        <v>65</v>
      </c>
      <c r="B171" s="213"/>
      <c r="C171" s="213"/>
      <c r="D171" s="213"/>
      <c r="E171" s="213"/>
      <c r="F171" s="213"/>
      <c r="G171" s="213"/>
      <c r="H171" s="213"/>
      <c r="I171" s="213"/>
      <c r="J171" s="213"/>
      <c r="K171" s="213"/>
      <c r="L171" s="213"/>
      <c r="M171" s="213"/>
      <c r="N171" s="11"/>
    </row>
    <row r="172" spans="1:14" hidden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</row>
    <row r="173" spans="1:14" hidden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</row>
    <row r="174" spans="1:14" hidden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</row>
    <row r="175" spans="1:14" hidden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</row>
    <row r="176" spans="1:14" ht="55.8" hidden="1">
      <c r="A176" s="214" t="s">
        <v>66</v>
      </c>
      <c r="B176" s="215"/>
      <c r="C176" s="215"/>
      <c r="D176" s="215"/>
      <c r="E176" s="216"/>
      <c r="F176" s="9" t="s">
        <v>7</v>
      </c>
      <c r="G176" s="9" t="s">
        <v>18</v>
      </c>
      <c r="H176" s="37" t="s">
        <v>22</v>
      </c>
      <c r="I176" s="9" t="s">
        <v>82</v>
      </c>
      <c r="J176" s="9" t="s">
        <v>105</v>
      </c>
      <c r="K176" s="9" t="s">
        <v>106</v>
      </c>
      <c r="L176" s="11"/>
      <c r="M176" s="11"/>
      <c r="N176" s="11"/>
    </row>
    <row r="177" spans="1:14" hidden="1">
      <c r="A177" s="225">
        <v>1</v>
      </c>
      <c r="B177" s="226"/>
      <c r="C177" s="226"/>
      <c r="D177" s="226"/>
      <c r="E177" s="227"/>
      <c r="F177" s="37">
        <v>2</v>
      </c>
      <c r="G177" s="37">
        <v>3</v>
      </c>
      <c r="H177" s="37">
        <v>4</v>
      </c>
      <c r="I177" s="37">
        <v>5</v>
      </c>
      <c r="J177" s="38">
        <v>6</v>
      </c>
      <c r="K177" s="54">
        <v>7</v>
      </c>
      <c r="L177" s="11"/>
      <c r="M177" s="62"/>
      <c r="N177" s="11"/>
    </row>
    <row r="178" spans="1:14" hidden="1">
      <c r="A178" s="228" t="s">
        <v>68</v>
      </c>
      <c r="B178" s="229"/>
      <c r="C178" s="229"/>
      <c r="D178" s="229"/>
      <c r="E178" s="230"/>
      <c r="F178" s="17" t="s">
        <v>31</v>
      </c>
      <c r="G178" s="18">
        <v>0</v>
      </c>
      <c r="H178" s="17"/>
      <c r="I178" s="17">
        <f>J55</f>
        <v>0</v>
      </c>
      <c r="J178" s="24"/>
      <c r="K178" s="11"/>
      <c r="L178" s="11"/>
      <c r="M178" s="46">
        <f>J178*H178</f>
        <v>0</v>
      </c>
      <c r="N178" s="11"/>
    </row>
    <row r="179" spans="1:14" hidden="1">
      <c r="A179" s="228" t="s">
        <v>69</v>
      </c>
      <c r="B179" s="229"/>
      <c r="C179" s="229"/>
      <c r="D179" s="229"/>
      <c r="E179" s="230"/>
      <c r="F179" s="17" t="s">
        <v>31</v>
      </c>
      <c r="G179" s="18">
        <v>0</v>
      </c>
      <c r="H179" s="17"/>
      <c r="I179" s="17">
        <f>J55</f>
        <v>0</v>
      </c>
      <c r="J179" s="24"/>
      <c r="K179" s="11"/>
      <c r="L179" s="11"/>
      <c r="M179" s="17"/>
      <c r="N179" s="11"/>
    </row>
    <row r="180" spans="1:14" hidden="1">
      <c r="A180" s="228" t="s">
        <v>70</v>
      </c>
      <c r="B180" s="229"/>
      <c r="C180" s="229"/>
      <c r="D180" s="229"/>
      <c r="E180" s="230"/>
      <c r="F180" s="17" t="s">
        <v>91</v>
      </c>
      <c r="G180" s="63"/>
      <c r="H180" s="17"/>
      <c r="I180" s="43"/>
      <c r="J180" s="86">
        <v>3260</v>
      </c>
      <c r="K180" s="64">
        <f>I180/J180</f>
        <v>0</v>
      </c>
      <c r="L180" s="11"/>
      <c r="M180" s="11"/>
      <c r="N180" s="11"/>
    </row>
    <row r="181" spans="1:14" ht="15" hidden="1" thickBot="1">
      <c r="A181" s="69" t="s">
        <v>67</v>
      </c>
      <c r="B181" s="70"/>
      <c r="C181" s="70"/>
      <c r="D181" s="70"/>
      <c r="E181" s="70"/>
      <c r="F181" s="70"/>
      <c r="G181" s="70"/>
      <c r="H181" s="70"/>
      <c r="I181" s="59">
        <f>I180</f>
        <v>0</v>
      </c>
      <c r="J181" s="57"/>
      <c r="K181" s="48">
        <f>K180</f>
        <v>0</v>
      </c>
      <c r="L181" s="11"/>
      <c r="M181" s="11"/>
      <c r="N181" s="11"/>
    </row>
    <row r="182" spans="1:14">
      <c r="A182" s="76"/>
      <c r="B182" s="76"/>
      <c r="C182" s="76"/>
      <c r="D182" s="76"/>
      <c r="E182" s="76"/>
      <c r="F182" s="76"/>
      <c r="G182" s="76"/>
      <c r="H182" s="76"/>
      <c r="I182" s="52"/>
      <c r="J182" s="78"/>
      <c r="K182" s="53"/>
      <c r="L182" s="11"/>
      <c r="M182" s="11"/>
      <c r="N182" s="11"/>
    </row>
    <row r="183" spans="1:14">
      <c r="A183" s="11"/>
      <c r="B183" s="11"/>
      <c r="C183" s="11"/>
      <c r="D183" s="11"/>
      <c r="E183" s="11"/>
      <c r="F183" s="11"/>
      <c r="G183" s="11"/>
      <c r="H183" s="11"/>
      <c r="I183" s="13"/>
      <c r="J183" s="13"/>
      <c r="K183" s="13"/>
      <c r="L183" s="11"/>
      <c r="M183" s="11"/>
      <c r="N183" s="11"/>
    </row>
    <row r="184" spans="1:14">
      <c r="A184" s="238" t="s">
        <v>101</v>
      </c>
      <c r="B184" s="238"/>
      <c r="C184" s="238"/>
      <c r="D184" s="238"/>
      <c r="E184" s="238"/>
      <c r="F184" s="238"/>
      <c r="G184" s="238"/>
      <c r="H184" s="238"/>
      <c r="I184" s="238"/>
      <c r="J184" s="238"/>
      <c r="K184" s="238"/>
      <c r="L184" s="238"/>
      <c r="M184" s="11"/>
      <c r="N184" s="11"/>
    </row>
    <row r="185" spans="1:14" ht="55.8">
      <c r="A185" s="214" t="s">
        <v>102</v>
      </c>
      <c r="B185" s="215"/>
      <c r="C185" s="215"/>
      <c r="D185" s="215"/>
      <c r="E185" s="216"/>
      <c r="F185" s="170" t="s">
        <v>7</v>
      </c>
      <c r="G185" s="170" t="s">
        <v>90</v>
      </c>
      <c r="H185" s="170" t="s">
        <v>71</v>
      </c>
      <c r="I185" s="170" t="s">
        <v>82</v>
      </c>
      <c r="J185" s="9" t="s">
        <v>105</v>
      </c>
      <c r="K185" s="9" t="s">
        <v>135</v>
      </c>
      <c r="L185" s="73"/>
      <c r="M185" s="11"/>
      <c r="N185" s="11"/>
    </row>
    <row r="186" spans="1:14" ht="20.25" customHeight="1">
      <c r="A186" s="244" t="s">
        <v>179</v>
      </c>
      <c r="B186" s="244"/>
      <c r="C186" s="244"/>
      <c r="D186" s="244"/>
      <c r="E186" s="244"/>
      <c r="F186" s="77"/>
      <c r="G186" s="115">
        <v>70</v>
      </c>
      <c r="H186" s="150">
        <v>150</v>
      </c>
      <c r="I186" s="82">
        <f>10500*2.5%</f>
        <v>262.5</v>
      </c>
      <c r="J186" s="86">
        <v>25</v>
      </c>
      <c r="K186" s="40">
        <f>I186/J186</f>
        <v>10.5</v>
      </c>
      <c r="L186" s="26"/>
      <c r="M186" s="11"/>
      <c r="N186" s="11"/>
    </row>
    <row r="187" spans="1:14">
      <c r="A187" s="250" t="s">
        <v>180</v>
      </c>
      <c r="B187" s="253"/>
      <c r="C187" s="253"/>
      <c r="D187" s="253"/>
      <c r="E187" s="254"/>
      <c r="F187" s="10"/>
      <c r="G187" s="10"/>
      <c r="H187" s="10"/>
      <c r="I187" s="85">
        <f>1440*2.5%</f>
        <v>36</v>
      </c>
      <c r="J187" s="86">
        <v>25</v>
      </c>
      <c r="K187" s="40">
        <f>I187/J187</f>
        <v>1.44</v>
      </c>
      <c r="L187" s="11"/>
      <c r="M187" s="11"/>
      <c r="N187" s="11"/>
    </row>
    <row r="188" spans="1:14" ht="15" thickBot="1">
      <c r="A188" s="241" t="s">
        <v>94</v>
      </c>
      <c r="B188" s="241"/>
      <c r="C188" s="241"/>
      <c r="D188" s="241"/>
      <c r="E188" s="241"/>
      <c r="F188" s="242"/>
      <c r="G188" s="242"/>
      <c r="H188" s="243"/>
      <c r="I188" s="176">
        <f>I186+I187</f>
        <v>298.5</v>
      </c>
      <c r="J188" s="177"/>
      <c r="K188" s="207">
        <f>SUM(K186:K187)</f>
        <v>11.94</v>
      </c>
      <c r="L188" s="11"/>
      <c r="M188" s="11"/>
      <c r="N188" s="90">
        <f>I188/88.1%</f>
        <v>338.81952326901251</v>
      </c>
    </row>
    <row r="189" spans="1:14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</row>
    <row r="190" spans="1:14">
      <c r="A190" s="245" t="s">
        <v>136</v>
      </c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38"/>
      <c r="M190" s="11"/>
      <c r="N190" s="13"/>
    </row>
    <row r="191" spans="1:14" ht="55.8">
      <c r="A191" s="222" t="s">
        <v>134</v>
      </c>
      <c r="B191" s="222"/>
      <c r="C191" s="222"/>
      <c r="D191" s="222"/>
      <c r="E191" s="222"/>
      <c r="F191" s="111" t="s">
        <v>7</v>
      </c>
      <c r="G191" s="111" t="s">
        <v>90</v>
      </c>
      <c r="H191" s="111" t="s">
        <v>71</v>
      </c>
      <c r="I191" s="111" t="s">
        <v>82</v>
      </c>
      <c r="J191" s="9" t="s">
        <v>105</v>
      </c>
      <c r="K191" s="9" t="s">
        <v>135</v>
      </c>
      <c r="L191" s="73"/>
      <c r="M191" s="11"/>
      <c r="N191" s="13"/>
    </row>
    <row r="192" spans="1:14" ht="29.25" customHeight="1">
      <c r="A192" s="317" t="s">
        <v>144</v>
      </c>
      <c r="B192" s="341"/>
      <c r="C192" s="341"/>
      <c r="D192" s="341"/>
      <c r="E192" s="342"/>
      <c r="F192" s="10" t="s">
        <v>44</v>
      </c>
      <c r="G192" s="111"/>
      <c r="H192" s="111"/>
      <c r="I192" s="187">
        <v>13000</v>
      </c>
      <c r="J192" s="86">
        <v>25</v>
      </c>
      <c r="K192" s="110">
        <f>I192/J192</f>
        <v>520</v>
      </c>
      <c r="L192" s="73"/>
      <c r="M192" s="11"/>
      <c r="N192" s="13"/>
    </row>
    <row r="193" spans="1:19" ht="28.5" customHeight="1" thickBot="1">
      <c r="A193" s="317" t="s">
        <v>145</v>
      </c>
      <c r="B193" s="318"/>
      <c r="C193" s="318"/>
      <c r="D193" s="318"/>
      <c r="E193" s="319"/>
      <c r="F193" s="10" t="s">
        <v>44</v>
      </c>
      <c r="G193" s="138"/>
      <c r="H193" s="138"/>
      <c r="I193" s="189">
        <v>18975</v>
      </c>
      <c r="J193" s="86">
        <v>25</v>
      </c>
      <c r="K193" s="20">
        <f>I193/J193</f>
        <v>759</v>
      </c>
      <c r="L193" s="135"/>
      <c r="M193" s="135"/>
      <c r="N193" s="136"/>
      <c r="O193" s="137"/>
      <c r="P193" s="22"/>
      <c r="Q193" s="39"/>
      <c r="R193" s="11"/>
      <c r="S193" s="13"/>
    </row>
    <row r="194" spans="1:19" ht="15" thickBot="1">
      <c r="A194" s="239"/>
      <c r="B194" s="240"/>
      <c r="C194" s="240"/>
      <c r="D194" s="240"/>
      <c r="E194" s="240"/>
      <c r="F194" s="240"/>
      <c r="G194" s="240"/>
      <c r="H194" s="240"/>
      <c r="I194" s="131">
        <f>SUM(I192:I193)</f>
        <v>31975</v>
      </c>
      <c r="J194" s="128"/>
      <c r="K194" s="134">
        <f>SUM(K192:K193)</f>
        <v>1279</v>
      </c>
      <c r="L194" s="26"/>
      <c r="M194" s="11"/>
      <c r="N194" s="13"/>
    </row>
    <row r="195" spans="1:19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  <c r="N195" s="13"/>
    </row>
    <row r="196" spans="1:19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</row>
    <row r="197" spans="1:19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  <c r="N197" s="11"/>
    </row>
    <row r="198" spans="1:19">
      <c r="A198" s="221" t="s">
        <v>46</v>
      </c>
      <c r="B198" s="221"/>
      <c r="C198" s="221"/>
      <c r="D198" s="221"/>
      <c r="E198" s="221"/>
      <c r="F198" s="221"/>
      <c r="G198" s="221"/>
      <c r="H198" s="221"/>
      <c r="I198" s="221"/>
      <c r="J198" s="221"/>
      <c r="K198" s="221"/>
      <c r="L198" s="221"/>
      <c r="M198" s="221"/>
      <c r="N198" s="11"/>
    </row>
    <row r="199" spans="1:19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  <c r="N199" s="11"/>
    </row>
    <row r="200" spans="1:19" ht="47.25" customHeight="1">
      <c r="A200" s="237" t="s">
        <v>47</v>
      </c>
      <c r="B200" s="237"/>
      <c r="C200" s="237"/>
      <c r="D200" s="222" t="s">
        <v>48</v>
      </c>
      <c r="E200" s="222"/>
      <c r="F200" s="222"/>
      <c r="G200" s="222"/>
      <c r="H200" s="222"/>
      <c r="I200" s="222"/>
      <c r="J200" s="222"/>
      <c r="K200" s="222"/>
      <c r="L200" s="237" t="s">
        <v>58</v>
      </c>
      <c r="M200" s="237"/>
      <c r="N200" s="11"/>
    </row>
    <row r="201" spans="1:19" ht="28.2">
      <c r="A201" s="10" t="s">
        <v>49</v>
      </c>
      <c r="B201" s="9" t="s">
        <v>50</v>
      </c>
      <c r="C201" s="10" t="s">
        <v>51</v>
      </c>
      <c r="D201" s="10" t="s">
        <v>52</v>
      </c>
      <c r="E201" s="10" t="s">
        <v>53</v>
      </c>
      <c r="F201" s="10" t="s">
        <v>137</v>
      </c>
      <c r="G201" s="10" t="s">
        <v>54</v>
      </c>
      <c r="H201" s="10" t="s">
        <v>55</v>
      </c>
      <c r="I201" s="10" t="s">
        <v>56</v>
      </c>
      <c r="J201" s="10" t="s">
        <v>96</v>
      </c>
      <c r="K201" s="10" t="s">
        <v>57</v>
      </c>
      <c r="L201" s="237"/>
      <c r="M201" s="237"/>
      <c r="N201" s="11"/>
    </row>
    <row r="202" spans="1:19">
      <c r="A202" s="17">
        <f>K55</f>
        <v>5387.6231999999991</v>
      </c>
      <c r="B202" s="17"/>
      <c r="C202" s="17"/>
      <c r="D202" s="17">
        <f>K95</f>
        <v>425.2999999999999</v>
      </c>
      <c r="E202" s="17">
        <f>K104</f>
        <v>72.7774</v>
      </c>
      <c r="F202" s="17">
        <f>K194</f>
        <v>1279</v>
      </c>
      <c r="G202" s="17">
        <f>L122</f>
        <v>60.882600000000004</v>
      </c>
      <c r="H202" s="17">
        <f>K181</f>
        <v>0</v>
      </c>
      <c r="I202" s="17">
        <f>K155</f>
        <v>3522.6767999999997</v>
      </c>
      <c r="J202" s="17">
        <f>K188</f>
        <v>11.94</v>
      </c>
      <c r="K202" s="20">
        <f>J113</f>
        <v>84</v>
      </c>
      <c r="L202" s="235">
        <f>SUM(A202:K202)</f>
        <v>10844.199999999999</v>
      </c>
      <c r="M202" s="236"/>
      <c r="N202" s="13"/>
    </row>
    <row r="203" spans="1:19" ht="15" thickBo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  <c r="N203" s="11"/>
    </row>
    <row r="204" spans="1:19" ht="15" thickBo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N204" s="148">
        <f>L202*25</f>
        <v>271105</v>
      </c>
    </row>
    <row r="205" spans="1:19" ht="15" thickBot="1">
      <c r="A205" s="14" t="s">
        <v>107</v>
      </c>
      <c r="B205" s="14"/>
      <c r="C205" s="14"/>
      <c r="D205" s="11"/>
      <c r="E205" s="11"/>
      <c r="F205" s="11"/>
      <c r="G205" s="11"/>
      <c r="H205" s="11"/>
      <c r="I205" s="11"/>
      <c r="J205" s="13"/>
      <c r="K205" s="145">
        <f>I194+I188+I155+J122+H113+I104+I95+I55</f>
        <v>271105</v>
      </c>
      <c r="L205" s="11"/>
      <c r="M205" s="11"/>
      <c r="N205" s="11"/>
    </row>
    <row r="206" spans="1:19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</row>
    <row r="207" spans="1:19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65"/>
      <c r="L207" s="11"/>
      <c r="M207" s="11"/>
      <c r="N207" s="11"/>
    </row>
    <row r="208" spans="1:19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</row>
    <row r="209" spans="1:11" ht="18">
      <c r="A209" s="3" t="s">
        <v>108</v>
      </c>
      <c r="B209" s="3"/>
      <c r="C209" s="3"/>
      <c r="G209" s="3" t="s">
        <v>190</v>
      </c>
      <c r="K209" s="141"/>
    </row>
    <row r="214" spans="1:11" ht="15.6">
      <c r="A214" s="7" t="s">
        <v>72</v>
      </c>
      <c r="B214" s="7"/>
    </row>
    <row r="215" spans="1:11" ht="15.6">
      <c r="A215" s="7" t="s">
        <v>181</v>
      </c>
      <c r="B215" s="7"/>
    </row>
    <row r="216" spans="1:11" ht="15.6">
      <c r="A216" s="7" t="s">
        <v>182</v>
      </c>
      <c r="C216" s="7"/>
    </row>
    <row r="218" spans="1:11">
      <c r="G218" s="11">
        <v>9565200</v>
      </c>
      <c r="H218" s="141">
        <f>K205-I194</f>
        <v>239130</v>
      </c>
    </row>
    <row r="219" spans="1:11" ht="15.6">
      <c r="C219" s="7"/>
      <c r="H219">
        <f>H218/2.5%</f>
        <v>9565200</v>
      </c>
    </row>
    <row r="220" spans="1:11" ht="15.6">
      <c r="A220" s="2"/>
      <c r="B220" s="2"/>
      <c r="C220" s="2"/>
    </row>
  </sheetData>
  <mergeCells count="193">
    <mergeCell ref="A17:E17"/>
    <mergeCell ref="G17:L17"/>
    <mergeCell ref="A18:E18"/>
    <mergeCell ref="G18:L18"/>
    <mergeCell ref="A6:C6"/>
    <mergeCell ref="E6:G6"/>
    <mergeCell ref="A8:G8"/>
    <mergeCell ref="A9:H9"/>
    <mergeCell ref="A13:M13"/>
    <mergeCell ref="A15:M15"/>
    <mergeCell ref="A2:D2"/>
    <mergeCell ref="E2:H2"/>
    <mergeCell ref="A3:B3"/>
    <mergeCell ref="E3:F3"/>
    <mergeCell ref="A4:C4"/>
    <mergeCell ref="E4:G4"/>
    <mergeCell ref="J4:M4"/>
    <mergeCell ref="A19:E19"/>
    <mergeCell ref="G19:L19"/>
    <mergeCell ref="A26:E26"/>
    <mergeCell ref="G26:L26"/>
    <mergeCell ref="A27:E27"/>
    <mergeCell ref="G27:L27"/>
    <mergeCell ref="A28:E28"/>
    <mergeCell ref="A29:E29"/>
    <mergeCell ref="A23:E23"/>
    <mergeCell ref="G23:L23"/>
    <mergeCell ref="A24:E24"/>
    <mergeCell ref="G24:L24"/>
    <mergeCell ref="A25:E25"/>
    <mergeCell ref="G25:L25"/>
    <mergeCell ref="G28:L28"/>
    <mergeCell ref="A20:E20"/>
    <mergeCell ref="G20:L20"/>
    <mergeCell ref="A21:E21"/>
    <mergeCell ref="G21:L21"/>
    <mergeCell ref="A22:E22"/>
    <mergeCell ref="G22:L22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48:M48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45:E45"/>
    <mergeCell ref="G45:L45"/>
    <mergeCell ref="A63:E63"/>
    <mergeCell ref="A64:E64"/>
    <mergeCell ref="A65:E65"/>
    <mergeCell ref="A66:E66"/>
    <mergeCell ref="A67:E67"/>
    <mergeCell ref="A68:E68"/>
    <mergeCell ref="A54:E54"/>
    <mergeCell ref="A55:E55"/>
    <mergeCell ref="A59:M59"/>
    <mergeCell ref="A61:E61"/>
    <mergeCell ref="A62:E62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90:E90"/>
    <mergeCell ref="A91:E91"/>
    <mergeCell ref="A92:E92"/>
    <mergeCell ref="A93:E93"/>
    <mergeCell ref="A94:E94"/>
    <mergeCell ref="A96:M96"/>
    <mergeCell ref="A81:E81"/>
    <mergeCell ref="A82:L82"/>
    <mergeCell ref="A84:M84"/>
    <mergeCell ref="A86:L86"/>
    <mergeCell ref="A88:E88"/>
    <mergeCell ref="A89:E89"/>
    <mergeCell ref="A95:E95"/>
    <mergeCell ref="A106:M106"/>
    <mergeCell ref="A108:E108"/>
    <mergeCell ref="A109:E109"/>
    <mergeCell ref="A110:E110"/>
    <mergeCell ref="A111:E111"/>
    <mergeCell ref="A112:E112"/>
    <mergeCell ref="A98:E98"/>
    <mergeCell ref="A99:E99"/>
    <mergeCell ref="A100:E100"/>
    <mergeCell ref="A101:E101"/>
    <mergeCell ref="A103:E103"/>
    <mergeCell ref="A120:E120"/>
    <mergeCell ref="A121:E121"/>
    <mergeCell ref="A122:E122"/>
    <mergeCell ref="F122:I122"/>
    <mergeCell ref="A125:M125"/>
    <mergeCell ref="A127:E127"/>
    <mergeCell ref="A113:E113"/>
    <mergeCell ref="A115:E115"/>
    <mergeCell ref="A116:E116"/>
    <mergeCell ref="A118:N118"/>
    <mergeCell ref="A119:E119"/>
    <mergeCell ref="A134:E134"/>
    <mergeCell ref="A135:E135"/>
    <mergeCell ref="A136:E136"/>
    <mergeCell ref="A137:E137"/>
    <mergeCell ref="A138:E138"/>
    <mergeCell ref="A139:E139"/>
    <mergeCell ref="A128:E128"/>
    <mergeCell ref="A129:E129"/>
    <mergeCell ref="A130:E130"/>
    <mergeCell ref="A131:E131"/>
    <mergeCell ref="A132:E132"/>
    <mergeCell ref="A133:E133"/>
    <mergeCell ref="A146:E146"/>
    <mergeCell ref="A147:E147"/>
    <mergeCell ref="A148:E148"/>
    <mergeCell ref="A149:E149"/>
    <mergeCell ref="A150:E150"/>
    <mergeCell ref="A151:E151"/>
    <mergeCell ref="A140:E140"/>
    <mergeCell ref="A141:E141"/>
    <mergeCell ref="A142:E142"/>
    <mergeCell ref="A143:E143"/>
    <mergeCell ref="A144:E144"/>
    <mergeCell ref="A145:E145"/>
    <mergeCell ref="A187:E187"/>
    <mergeCell ref="A160:E160"/>
    <mergeCell ref="A161:E161"/>
    <mergeCell ref="A162:E162"/>
    <mergeCell ref="A163:L163"/>
    <mergeCell ref="A165:L165"/>
    <mergeCell ref="A167:E167"/>
    <mergeCell ref="A152:E152"/>
    <mergeCell ref="A153:E153"/>
    <mergeCell ref="A154:E154"/>
    <mergeCell ref="A155:E155"/>
    <mergeCell ref="A157:M157"/>
    <mergeCell ref="A159:E159"/>
    <mergeCell ref="A179:E179"/>
    <mergeCell ref="A180:E180"/>
    <mergeCell ref="A184:L184"/>
    <mergeCell ref="A185:E185"/>
    <mergeCell ref="A186:E186"/>
    <mergeCell ref="A168:E168"/>
    <mergeCell ref="A169:E169"/>
    <mergeCell ref="A171:M171"/>
    <mergeCell ref="A176:E176"/>
    <mergeCell ref="A177:E177"/>
    <mergeCell ref="A178:E178"/>
    <mergeCell ref="A188:H188"/>
    <mergeCell ref="A194:H194"/>
    <mergeCell ref="A198:M198"/>
    <mergeCell ref="A200:C200"/>
    <mergeCell ref="D200:K200"/>
    <mergeCell ref="L200:M201"/>
    <mergeCell ref="L202:M202"/>
    <mergeCell ref="A190:L190"/>
    <mergeCell ref="A191:E191"/>
    <mergeCell ref="A192:E192"/>
    <mergeCell ref="A193:E193"/>
  </mergeCells>
  <pageMargins left="0.70866141732283472" right="0.70866141732283472" top="0.15" bottom="0.16" header="0.15" footer="0.15"/>
  <pageSetup paperSize="9" scale="60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S224"/>
  <sheetViews>
    <sheetView view="pageBreakPreview" topLeftCell="A49" zoomScale="60" zoomScaleNormal="90" workbookViewId="0">
      <selection activeCell="K104" sqref="K104"/>
    </sheetView>
  </sheetViews>
  <sheetFormatPr defaultRowHeight="14.4"/>
  <cols>
    <col min="1" max="1" width="12.6640625" customWidth="1"/>
    <col min="2" max="2" width="10.44140625" customWidth="1"/>
    <col min="4" max="4" width="15.5546875" customWidth="1"/>
    <col min="5" max="5" width="24.6640625" customWidth="1"/>
    <col min="6" max="6" width="16.44140625" customWidth="1"/>
    <col min="7" max="7" width="13.88671875" customWidth="1"/>
    <col min="8" max="8" width="17.44140625" customWidth="1"/>
    <col min="9" max="9" width="18.88671875" customWidth="1"/>
    <col min="10" max="10" width="15.109375" customWidth="1"/>
    <col min="11" max="11" width="13.88671875" customWidth="1"/>
    <col min="12" max="12" width="16" customWidth="1"/>
    <col min="13" max="13" width="13.109375" customWidth="1"/>
    <col min="14" max="14" width="16.109375" customWidth="1"/>
  </cols>
  <sheetData>
    <row r="2" spans="1:14" ht="15.6">
      <c r="A2" s="310"/>
      <c r="B2" s="310"/>
      <c r="C2" s="310"/>
      <c r="D2" s="310"/>
      <c r="E2" s="310"/>
      <c r="F2" s="310"/>
      <c r="G2" s="310"/>
      <c r="H2" s="310"/>
    </row>
    <row r="3" spans="1:14" ht="15.6">
      <c r="A3" s="310"/>
      <c r="B3" s="310"/>
      <c r="C3" s="79"/>
      <c r="D3" s="79"/>
      <c r="E3" s="310"/>
      <c r="F3" s="310"/>
      <c r="G3" s="79"/>
      <c r="H3" s="79"/>
    </row>
    <row r="4" spans="1:14" ht="40.5" customHeight="1">
      <c r="A4" s="311"/>
      <c r="B4" s="311"/>
      <c r="C4" s="311"/>
      <c r="D4" s="113"/>
      <c r="E4" s="311"/>
      <c r="F4" s="311"/>
      <c r="G4" s="311"/>
      <c r="H4" s="81"/>
      <c r="J4" s="315" t="s">
        <v>173</v>
      </c>
      <c r="K4" s="316"/>
      <c r="L4" s="316"/>
      <c r="M4" s="316"/>
    </row>
    <row r="5" spans="1:14" ht="15.6">
      <c r="A5" s="4"/>
      <c r="B5" s="4"/>
      <c r="C5" s="4"/>
      <c r="D5" s="112"/>
      <c r="E5" s="4"/>
      <c r="F5" s="4"/>
      <c r="G5" s="4"/>
      <c r="H5" s="112"/>
    </row>
    <row r="6" spans="1:14" ht="15.6">
      <c r="A6" s="307"/>
      <c r="B6" s="307"/>
      <c r="C6" s="307"/>
      <c r="D6" s="112"/>
      <c r="E6" s="307"/>
      <c r="F6" s="307"/>
      <c r="G6" s="307"/>
      <c r="H6" s="112"/>
    </row>
    <row r="7" spans="1:14">
      <c r="A7" s="114"/>
      <c r="B7" s="114"/>
      <c r="C7" s="114"/>
      <c r="D7" s="114"/>
      <c r="E7" s="114"/>
      <c r="F7" s="114"/>
      <c r="G7" s="114"/>
      <c r="H7" s="114"/>
    </row>
    <row r="8" spans="1:14" ht="15.6">
      <c r="A8" s="308" t="s">
        <v>103</v>
      </c>
      <c r="B8" s="309"/>
      <c r="C8" s="309"/>
      <c r="D8" s="309"/>
      <c r="E8" s="309"/>
      <c r="F8" s="309"/>
      <c r="G8" s="309"/>
      <c r="H8" s="114"/>
    </row>
    <row r="9" spans="1:14" ht="15.6">
      <c r="A9" s="308" t="s">
        <v>185</v>
      </c>
      <c r="B9" s="309"/>
      <c r="C9" s="309"/>
      <c r="D9" s="309"/>
      <c r="E9" s="309"/>
      <c r="F9" s="309"/>
      <c r="G9" s="309"/>
      <c r="H9" s="312"/>
    </row>
    <row r="1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6">
      <c r="A12" s="8" t="s">
        <v>104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>
      <c r="A13" s="313" t="s">
        <v>150</v>
      </c>
      <c r="B13" s="314"/>
      <c r="C13" s="314"/>
      <c r="D13" s="314"/>
      <c r="E13" s="314"/>
      <c r="F13" s="314"/>
      <c r="G13" s="314"/>
      <c r="H13" s="314"/>
      <c r="I13" s="314"/>
      <c r="J13" s="314"/>
      <c r="K13" s="314"/>
      <c r="L13" s="314"/>
      <c r="M13" s="314"/>
      <c r="N13" s="7"/>
    </row>
    <row r="14" spans="1:14" ht="15.6">
      <c r="A14" s="8" t="s">
        <v>97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18.75" customHeight="1">
      <c r="A15" s="313" t="s">
        <v>166</v>
      </c>
      <c r="B15" s="320"/>
      <c r="C15" s="320"/>
      <c r="D15" s="320"/>
      <c r="E15" s="320"/>
      <c r="F15" s="320"/>
      <c r="G15" s="320"/>
      <c r="H15" s="320"/>
      <c r="I15" s="320"/>
      <c r="J15" s="320"/>
      <c r="K15" s="320"/>
      <c r="L15" s="320"/>
      <c r="M15" s="320"/>
      <c r="N15" s="7"/>
    </row>
    <row r="16" spans="1:14" ht="15.6">
      <c r="A16" s="8" t="s">
        <v>177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5" ht="51.75" customHeight="1">
      <c r="A17" s="237" t="s">
        <v>110</v>
      </c>
      <c r="B17" s="237"/>
      <c r="C17" s="237"/>
      <c r="D17" s="237"/>
      <c r="E17" s="237"/>
      <c r="F17" s="9" t="s">
        <v>109</v>
      </c>
      <c r="G17" s="237" t="s">
        <v>111</v>
      </c>
      <c r="H17" s="237"/>
      <c r="I17" s="237"/>
      <c r="J17" s="237"/>
      <c r="K17" s="237"/>
      <c r="L17" s="237"/>
      <c r="M17" s="9" t="s">
        <v>109</v>
      </c>
      <c r="N17" s="11"/>
      <c r="O17">
        <f>0.01+0.13+0.01+0.01</f>
        <v>0.16000000000000003</v>
      </c>
    </row>
    <row r="18" spans="1:15">
      <c r="A18" s="303" t="s">
        <v>123</v>
      </c>
      <c r="B18" s="303"/>
      <c r="C18" s="303"/>
      <c r="D18" s="303"/>
      <c r="E18" s="303"/>
      <c r="F18" s="169">
        <f>1*1.3%</f>
        <v>1.3000000000000001E-2</v>
      </c>
      <c r="G18" s="244" t="s">
        <v>1</v>
      </c>
      <c r="H18" s="244"/>
      <c r="I18" s="244"/>
      <c r="J18" s="244"/>
      <c r="K18" s="244"/>
      <c r="L18" s="244"/>
      <c r="M18" s="190">
        <f>1*1.3%</f>
        <v>1.3000000000000001E-2</v>
      </c>
      <c r="N18" s="11">
        <f>0.01+0.01+0.01+0.01+0.03+0.01+0.02+0.01</f>
        <v>0.11</v>
      </c>
    </row>
    <row r="19" spans="1:15">
      <c r="A19" s="303" t="s">
        <v>124</v>
      </c>
      <c r="B19" s="303"/>
      <c r="C19" s="303"/>
      <c r="D19" s="303"/>
      <c r="E19" s="303"/>
      <c r="F19" s="169">
        <f>9.75*1.3%</f>
        <v>0.12675</v>
      </c>
      <c r="G19" s="256" t="s">
        <v>178</v>
      </c>
      <c r="H19" s="257"/>
      <c r="I19" s="257"/>
      <c r="J19" s="257"/>
      <c r="K19" s="257"/>
      <c r="L19" s="258"/>
      <c r="M19" s="190">
        <f>1*1.3%</f>
        <v>1.3000000000000001E-2</v>
      </c>
      <c r="N19" s="11"/>
    </row>
    <row r="20" spans="1:15">
      <c r="A20" s="303" t="s">
        <v>125</v>
      </c>
      <c r="B20" s="303"/>
      <c r="C20" s="303"/>
      <c r="D20" s="303"/>
      <c r="E20" s="303"/>
      <c r="F20" s="169">
        <f>1*1.3%</f>
        <v>1.3000000000000001E-2</v>
      </c>
      <c r="G20" s="259" t="s">
        <v>129</v>
      </c>
      <c r="H20" s="259"/>
      <c r="I20" s="259"/>
      <c r="J20" s="259"/>
      <c r="K20" s="259"/>
      <c r="L20" s="259"/>
      <c r="M20" s="190">
        <f>0.5*1.3%-0.01</f>
        <v>-3.4999999999999996E-3</v>
      </c>
      <c r="N20" s="11"/>
    </row>
    <row r="21" spans="1:15">
      <c r="A21" s="303" t="s">
        <v>126</v>
      </c>
      <c r="B21" s="303"/>
      <c r="C21" s="303"/>
      <c r="D21" s="303"/>
      <c r="E21" s="303"/>
      <c r="F21" s="169">
        <f>0.25*1.3%</f>
        <v>3.2500000000000003E-3</v>
      </c>
      <c r="G21" s="244" t="s">
        <v>131</v>
      </c>
      <c r="H21" s="244"/>
      <c r="I21" s="244"/>
      <c r="J21" s="244"/>
      <c r="K21" s="244"/>
      <c r="L21" s="244"/>
      <c r="M21" s="190">
        <f>1*1.3%</f>
        <v>1.3000000000000001E-2</v>
      </c>
      <c r="N21" s="11"/>
    </row>
    <row r="22" spans="1:15">
      <c r="A22" s="303" t="s">
        <v>128</v>
      </c>
      <c r="B22" s="303"/>
      <c r="C22" s="303"/>
      <c r="D22" s="303"/>
      <c r="E22" s="303"/>
      <c r="F22" s="169">
        <f>1*1.3%</f>
        <v>1.3000000000000001E-2</v>
      </c>
      <c r="G22" s="244" t="s">
        <v>130</v>
      </c>
      <c r="H22" s="244"/>
      <c r="I22" s="244"/>
      <c r="J22" s="244"/>
      <c r="K22" s="244"/>
      <c r="L22" s="244"/>
      <c r="M22" s="190">
        <f>2*1.3%</f>
        <v>2.6000000000000002E-2</v>
      </c>
      <c r="N22" s="11"/>
    </row>
    <row r="23" spans="1:15">
      <c r="A23" s="304"/>
      <c r="B23" s="305"/>
      <c r="C23" s="305"/>
      <c r="D23" s="305"/>
      <c r="E23" s="306"/>
      <c r="F23" s="165"/>
      <c r="G23" s="256" t="s">
        <v>127</v>
      </c>
      <c r="H23" s="257"/>
      <c r="I23" s="257"/>
      <c r="J23" s="257"/>
      <c r="K23" s="257"/>
      <c r="L23" s="258"/>
      <c r="M23" s="190">
        <f>1*1.3%</f>
        <v>1.3000000000000001E-2</v>
      </c>
      <c r="N23" s="11"/>
    </row>
    <row r="24" spans="1:15">
      <c r="A24" s="303"/>
      <c r="B24" s="303"/>
      <c r="C24" s="303"/>
      <c r="D24" s="303"/>
      <c r="E24" s="303"/>
      <c r="F24" s="166"/>
      <c r="G24" s="244" t="s">
        <v>132</v>
      </c>
      <c r="H24" s="244"/>
      <c r="I24" s="244"/>
      <c r="J24" s="244"/>
      <c r="K24" s="244"/>
      <c r="L24" s="244"/>
      <c r="M24" s="190">
        <f>1.25*1.3%</f>
        <v>1.6250000000000001E-2</v>
      </c>
      <c r="N24" s="11"/>
    </row>
    <row r="25" spans="1:15" ht="15.75" customHeight="1">
      <c r="A25" s="303"/>
      <c r="B25" s="303"/>
      <c r="C25" s="303"/>
      <c r="D25" s="303"/>
      <c r="E25" s="303"/>
      <c r="F25" s="166"/>
      <c r="G25" s="217" t="s">
        <v>133</v>
      </c>
      <c r="H25" s="218"/>
      <c r="I25" s="218"/>
      <c r="J25" s="218"/>
      <c r="K25" s="218"/>
      <c r="L25" s="219"/>
      <c r="M25" s="190">
        <f>0.75*1.3%</f>
        <v>9.7500000000000017E-3</v>
      </c>
      <c r="N25" s="11"/>
    </row>
    <row r="26" spans="1:15" ht="15.75" hidden="1" customHeight="1">
      <c r="A26" s="300"/>
      <c r="B26" s="301"/>
      <c r="C26" s="301"/>
      <c r="D26" s="301"/>
      <c r="E26" s="302"/>
      <c r="F26" s="166"/>
      <c r="G26" s="217"/>
      <c r="H26" s="218"/>
      <c r="I26" s="218"/>
      <c r="J26" s="218"/>
      <c r="K26" s="218"/>
      <c r="L26" s="219"/>
      <c r="M26" s="166"/>
      <c r="N26" s="11"/>
    </row>
    <row r="27" spans="1:15" ht="15.75" customHeight="1">
      <c r="A27" s="300"/>
      <c r="B27" s="301"/>
      <c r="C27" s="301"/>
      <c r="D27" s="301"/>
      <c r="E27" s="302"/>
      <c r="F27" s="166"/>
      <c r="G27" s="217"/>
      <c r="H27" s="218"/>
      <c r="I27" s="218"/>
      <c r="J27" s="218"/>
      <c r="K27" s="218"/>
      <c r="L27" s="219"/>
      <c r="M27" s="166"/>
      <c r="N27" s="11"/>
    </row>
    <row r="28" spans="1:15" ht="15.75" hidden="1" customHeight="1">
      <c r="A28" s="300"/>
      <c r="B28" s="301"/>
      <c r="C28" s="301"/>
      <c r="D28" s="301"/>
      <c r="E28" s="302"/>
      <c r="F28" s="93"/>
      <c r="G28" s="217"/>
      <c r="H28" s="218"/>
      <c r="I28" s="218"/>
      <c r="J28" s="218"/>
      <c r="K28" s="218"/>
      <c r="L28" s="219"/>
      <c r="M28" s="93"/>
      <c r="N28" s="11"/>
    </row>
    <row r="29" spans="1:15" ht="15.75" customHeight="1">
      <c r="A29" s="300"/>
      <c r="B29" s="301"/>
      <c r="C29" s="301"/>
      <c r="D29" s="301"/>
      <c r="E29" s="302"/>
      <c r="F29" s="93"/>
      <c r="G29" s="1"/>
      <c r="H29" s="1"/>
      <c r="I29" s="1"/>
      <c r="J29" s="1"/>
      <c r="K29" s="1"/>
      <c r="L29" s="1"/>
      <c r="M29" s="93"/>
      <c r="N29" s="11"/>
    </row>
    <row r="30" spans="1:15" ht="15.75" customHeight="1">
      <c r="A30" s="300"/>
      <c r="B30" s="301"/>
      <c r="C30" s="301"/>
      <c r="D30" s="301"/>
      <c r="E30" s="302"/>
      <c r="F30" s="93"/>
      <c r="G30" s="217"/>
      <c r="H30" s="218"/>
      <c r="I30" s="218"/>
      <c r="J30" s="218"/>
      <c r="K30" s="218"/>
      <c r="L30" s="219"/>
      <c r="M30" s="93"/>
      <c r="N30" s="11"/>
    </row>
    <row r="31" spans="1:15" ht="15.75" hidden="1" customHeight="1">
      <c r="A31" s="300"/>
      <c r="B31" s="301"/>
      <c r="C31" s="301"/>
      <c r="D31" s="301"/>
      <c r="E31" s="302"/>
      <c r="F31" s="93"/>
      <c r="G31" s="217"/>
      <c r="H31" s="218"/>
      <c r="I31" s="218"/>
      <c r="J31" s="218"/>
      <c r="K31" s="218"/>
      <c r="L31" s="219"/>
      <c r="M31" s="93"/>
      <c r="N31" s="11"/>
    </row>
    <row r="32" spans="1:15" ht="15.75" hidden="1" customHeight="1">
      <c r="A32" s="300"/>
      <c r="B32" s="301"/>
      <c r="C32" s="301"/>
      <c r="D32" s="301"/>
      <c r="E32" s="302"/>
      <c r="F32" s="93"/>
      <c r="G32" s="217"/>
      <c r="H32" s="218"/>
      <c r="I32" s="218"/>
      <c r="J32" s="218"/>
      <c r="K32" s="218"/>
      <c r="L32" s="219"/>
      <c r="M32" s="93"/>
      <c r="N32" s="11"/>
    </row>
    <row r="33" spans="1:15" ht="15.75" hidden="1" customHeight="1">
      <c r="A33" s="300"/>
      <c r="B33" s="301"/>
      <c r="C33" s="301"/>
      <c r="D33" s="301"/>
      <c r="E33" s="302"/>
      <c r="F33" s="93"/>
      <c r="G33" s="217"/>
      <c r="H33" s="218"/>
      <c r="I33" s="218"/>
      <c r="J33" s="218"/>
      <c r="K33" s="218"/>
      <c r="L33" s="219"/>
      <c r="M33" s="93"/>
      <c r="N33" s="11"/>
    </row>
    <row r="34" spans="1:15" ht="15.75" hidden="1" customHeight="1">
      <c r="A34" s="300"/>
      <c r="B34" s="301"/>
      <c r="C34" s="301"/>
      <c r="D34" s="301"/>
      <c r="E34" s="302"/>
      <c r="F34" s="93"/>
      <c r="G34" s="217"/>
      <c r="H34" s="218"/>
      <c r="I34" s="218"/>
      <c r="J34" s="218"/>
      <c r="K34" s="218"/>
      <c r="L34" s="219"/>
      <c r="M34" s="93"/>
      <c r="N34" s="11"/>
    </row>
    <row r="35" spans="1:15" ht="15.75" hidden="1" customHeight="1">
      <c r="A35" s="300"/>
      <c r="B35" s="301"/>
      <c r="C35" s="301"/>
      <c r="D35" s="301"/>
      <c r="E35" s="302"/>
      <c r="F35" s="93"/>
      <c r="G35" s="217"/>
      <c r="H35" s="218"/>
      <c r="I35" s="218"/>
      <c r="J35" s="218"/>
      <c r="K35" s="218"/>
      <c r="L35" s="219"/>
      <c r="M35" s="93"/>
      <c r="N35" s="11"/>
    </row>
    <row r="36" spans="1:15" ht="15.75" hidden="1" customHeight="1">
      <c r="A36" s="300"/>
      <c r="B36" s="301"/>
      <c r="C36" s="301"/>
      <c r="D36" s="301"/>
      <c r="E36" s="302"/>
      <c r="F36" s="93"/>
      <c r="G36" s="217"/>
      <c r="H36" s="218"/>
      <c r="I36" s="218"/>
      <c r="J36" s="218"/>
      <c r="K36" s="218"/>
      <c r="L36" s="219"/>
      <c r="M36" s="93"/>
      <c r="N36" s="11"/>
    </row>
    <row r="37" spans="1:15">
      <c r="A37" s="263"/>
      <c r="B37" s="263"/>
      <c r="C37" s="263"/>
      <c r="D37" s="263"/>
      <c r="E37" s="263"/>
      <c r="F37" s="93"/>
      <c r="G37" s="244"/>
      <c r="H37" s="244"/>
      <c r="I37" s="244"/>
      <c r="J37" s="244"/>
      <c r="K37" s="244"/>
      <c r="L37" s="244"/>
      <c r="M37" s="93"/>
      <c r="N37" s="11"/>
    </row>
    <row r="38" spans="1:15">
      <c r="A38" s="263"/>
      <c r="B38" s="263"/>
      <c r="C38" s="263"/>
      <c r="D38" s="263"/>
      <c r="E38" s="263"/>
      <c r="F38" s="93"/>
      <c r="G38" s="244"/>
      <c r="H38" s="244"/>
      <c r="I38" s="244"/>
      <c r="J38" s="244"/>
      <c r="K38" s="244"/>
      <c r="L38" s="244"/>
      <c r="M38" s="93"/>
      <c r="N38" s="11"/>
    </row>
    <row r="39" spans="1:15">
      <c r="A39" s="295"/>
      <c r="B39" s="295"/>
      <c r="C39" s="295"/>
      <c r="D39" s="295"/>
      <c r="E39" s="295"/>
      <c r="F39" s="157"/>
      <c r="G39" s="244"/>
      <c r="H39" s="244"/>
      <c r="I39" s="244"/>
      <c r="J39" s="244"/>
      <c r="K39" s="244"/>
      <c r="L39" s="244"/>
      <c r="M39" s="93"/>
      <c r="N39" s="11"/>
    </row>
    <row r="40" spans="1:15">
      <c r="A40" s="295"/>
      <c r="B40" s="295"/>
      <c r="C40" s="295"/>
      <c r="D40" s="295"/>
      <c r="E40" s="295"/>
      <c r="F40" s="157"/>
      <c r="G40" s="244"/>
      <c r="H40" s="244"/>
      <c r="I40" s="244"/>
      <c r="J40" s="244"/>
      <c r="K40" s="244"/>
      <c r="L40" s="244"/>
      <c r="M40" s="93"/>
      <c r="N40" s="11"/>
    </row>
    <row r="41" spans="1:15">
      <c r="A41" s="295"/>
      <c r="B41" s="295"/>
      <c r="C41" s="295"/>
      <c r="D41" s="295"/>
      <c r="E41" s="295"/>
      <c r="F41" s="157"/>
      <c r="G41" s="244"/>
      <c r="H41" s="244"/>
      <c r="I41" s="244"/>
      <c r="J41" s="244"/>
      <c r="K41" s="244"/>
      <c r="L41" s="244"/>
      <c r="M41" s="93"/>
      <c r="N41" s="11"/>
    </row>
    <row r="42" spans="1:15">
      <c r="A42" s="295"/>
      <c r="B42" s="295"/>
      <c r="C42" s="295"/>
      <c r="D42" s="295"/>
      <c r="E42" s="295"/>
      <c r="F42" s="157"/>
      <c r="G42" s="217"/>
      <c r="H42" s="218"/>
      <c r="I42" s="218"/>
      <c r="J42" s="218"/>
      <c r="K42" s="218"/>
      <c r="L42" s="219"/>
      <c r="M42" s="93"/>
      <c r="N42" s="11"/>
    </row>
    <row r="43" spans="1:15" ht="15" customHeight="1">
      <c r="A43" s="295"/>
      <c r="B43" s="295"/>
      <c r="C43" s="295"/>
      <c r="D43" s="295"/>
      <c r="E43" s="295"/>
      <c r="F43" s="157"/>
      <c r="G43" s="217"/>
      <c r="H43" s="218"/>
      <c r="I43" s="218"/>
      <c r="J43" s="218"/>
      <c r="K43" s="218"/>
      <c r="L43" s="219"/>
      <c r="M43" s="93"/>
      <c r="N43" s="11"/>
    </row>
    <row r="44" spans="1:15" ht="15.75" customHeight="1">
      <c r="A44" s="296"/>
      <c r="B44" s="297"/>
      <c r="C44" s="297"/>
      <c r="D44" s="297"/>
      <c r="E44" s="298"/>
      <c r="F44" s="157"/>
      <c r="G44" s="217"/>
      <c r="H44" s="218"/>
      <c r="I44" s="218"/>
      <c r="J44" s="218"/>
      <c r="K44" s="218"/>
      <c r="L44" s="219"/>
      <c r="M44" s="93"/>
      <c r="N44" s="174">
        <f>F45+M45</f>
        <v>0.26950000000000007</v>
      </c>
      <c r="O44" s="175">
        <f>N44/86%</f>
        <v>0.31337209302325592</v>
      </c>
    </row>
    <row r="45" spans="1:15">
      <c r="A45" s="293" t="s">
        <v>2</v>
      </c>
      <c r="B45" s="293"/>
      <c r="C45" s="293"/>
      <c r="D45" s="293"/>
      <c r="E45" s="293"/>
      <c r="F45" s="193">
        <f>SUM(F18:F44)</f>
        <v>0.16900000000000004</v>
      </c>
      <c r="G45" s="294" t="s">
        <v>2</v>
      </c>
      <c r="H45" s="294"/>
      <c r="I45" s="294"/>
      <c r="J45" s="294"/>
      <c r="K45" s="294"/>
      <c r="L45" s="294"/>
      <c r="M45" s="193">
        <f>SUM(M18:M44)</f>
        <v>0.10050000000000001</v>
      </c>
      <c r="N45" s="11"/>
    </row>
    <row r="46" spans="1:15">
      <c r="A46" s="14" t="s">
        <v>167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5" ht="12.75" customHeight="1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5" ht="15" customHeight="1">
      <c r="A48" s="274" t="s">
        <v>121</v>
      </c>
      <c r="B48" s="275"/>
      <c r="C48" s="275"/>
      <c r="D48" s="275"/>
      <c r="E48" s="275"/>
      <c r="F48" s="275"/>
      <c r="G48" s="275"/>
      <c r="H48" s="275"/>
      <c r="I48" s="275"/>
      <c r="J48" s="275"/>
      <c r="K48" s="275"/>
      <c r="L48" s="275"/>
      <c r="M48" s="275"/>
      <c r="N48" s="11"/>
    </row>
    <row r="49" spans="1:14" ht="55.8">
      <c r="A49" s="222" t="s">
        <v>3</v>
      </c>
      <c r="B49" s="222"/>
      <c r="C49" s="222"/>
      <c r="D49" s="222"/>
      <c r="E49" s="222"/>
      <c r="F49" s="9" t="s">
        <v>4</v>
      </c>
      <c r="G49" s="9" t="s">
        <v>0</v>
      </c>
      <c r="H49" s="9" t="s">
        <v>74</v>
      </c>
      <c r="I49" s="9" t="s">
        <v>76</v>
      </c>
      <c r="J49" s="9" t="s">
        <v>105</v>
      </c>
      <c r="K49" s="9" t="s">
        <v>135</v>
      </c>
      <c r="L49" s="9" t="s">
        <v>80</v>
      </c>
      <c r="M49" s="11"/>
      <c r="N49" s="11"/>
    </row>
    <row r="50" spans="1:14" hidden="1">
      <c r="A50" s="246"/>
      <c r="B50" s="246"/>
      <c r="C50" s="246"/>
      <c r="D50" s="246"/>
      <c r="E50" s="246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>
      <c r="A51" s="246"/>
      <c r="B51" s="246"/>
      <c r="C51" s="246"/>
      <c r="D51" s="246"/>
      <c r="E51" s="246"/>
      <c r="F51" s="10"/>
      <c r="G51" s="10"/>
      <c r="H51" s="10"/>
      <c r="I51" s="10"/>
      <c r="J51" s="15"/>
      <c r="K51" s="15"/>
      <c r="L51" s="15"/>
      <c r="M51" s="11"/>
      <c r="N51" s="11"/>
    </row>
    <row r="52" spans="1:14">
      <c r="A52" s="276">
        <v>1</v>
      </c>
      <c r="B52" s="277"/>
      <c r="C52" s="277"/>
      <c r="D52" s="277"/>
      <c r="E52" s="278"/>
      <c r="F52" s="10">
        <v>2</v>
      </c>
      <c r="G52" s="10">
        <v>3</v>
      </c>
      <c r="H52" s="10" t="s">
        <v>75</v>
      </c>
      <c r="I52" s="10" t="s">
        <v>77</v>
      </c>
      <c r="J52" s="16">
        <v>6</v>
      </c>
      <c r="K52" s="16" t="s">
        <v>79</v>
      </c>
      <c r="L52" s="16">
        <v>8</v>
      </c>
      <c r="M52" s="11"/>
      <c r="N52" s="11"/>
    </row>
    <row r="53" spans="1:14" ht="15" thickBot="1">
      <c r="A53" s="255" t="s">
        <v>110</v>
      </c>
      <c r="B53" s="255"/>
      <c r="C53" s="255"/>
      <c r="D53" s="255"/>
      <c r="E53" s="255"/>
      <c r="F53" s="56">
        <f>H53/12/G53</f>
        <v>26369.318627450983</v>
      </c>
      <c r="G53" s="56">
        <v>0.17</v>
      </c>
      <c r="H53" s="56">
        <v>53793.41</v>
      </c>
      <c r="I53" s="164">
        <v>70039.100000000006</v>
      </c>
      <c r="J53" s="86">
        <v>13</v>
      </c>
      <c r="K53" s="56">
        <f>I53/J53</f>
        <v>5387.623076923077</v>
      </c>
      <c r="L53" s="63">
        <f>I53/5372204.14*100</f>
        <v>1.3037311720622742</v>
      </c>
      <c r="M53" s="11"/>
      <c r="N53" s="11"/>
    </row>
    <row r="54" spans="1:14" ht="15" hidden="1" thickBot="1">
      <c r="A54" s="246"/>
      <c r="B54" s="246"/>
      <c r="C54" s="246"/>
      <c r="D54" s="246"/>
      <c r="E54" s="246"/>
      <c r="F54" s="20"/>
      <c r="G54" s="20"/>
      <c r="H54" s="20"/>
      <c r="I54" s="41"/>
      <c r="J54" s="19"/>
      <c r="K54" s="41"/>
      <c r="L54" s="20"/>
      <c r="M54" s="11"/>
      <c r="N54" s="11"/>
    </row>
    <row r="55" spans="1:14" ht="15" thickBot="1">
      <c r="A55" s="220" t="s">
        <v>81</v>
      </c>
      <c r="B55" s="220"/>
      <c r="C55" s="220"/>
      <c r="D55" s="220"/>
      <c r="E55" s="220"/>
      <c r="F55" s="71"/>
      <c r="G55" s="71"/>
      <c r="H55" s="103"/>
      <c r="I55" s="145">
        <f>I53</f>
        <v>70039.100000000006</v>
      </c>
      <c r="J55" s="104"/>
      <c r="K55" s="47">
        <f>K53</f>
        <v>5387.623076923077</v>
      </c>
      <c r="L55" s="105"/>
      <c r="M55" s="180"/>
      <c r="N55" s="11"/>
    </row>
    <row r="56" spans="1:14">
      <c r="A56" s="21"/>
      <c r="B56" s="21"/>
      <c r="C56" s="21"/>
      <c r="D56" s="21"/>
      <c r="E56" s="21"/>
      <c r="F56" s="22"/>
      <c r="G56" s="22"/>
      <c r="H56" s="22"/>
      <c r="I56" s="22"/>
      <c r="J56" s="23"/>
      <c r="K56" s="24"/>
      <c r="L56" s="24"/>
      <c r="M56" s="11"/>
      <c r="N56" s="11"/>
    </row>
    <row r="57" spans="1:14" ht="16.5" customHeight="1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98.25" hidden="1" customHeight="1">
      <c r="A58" s="21"/>
      <c r="B58" s="21"/>
      <c r="C58" s="21"/>
      <c r="D58" s="21"/>
      <c r="E58" s="21"/>
      <c r="F58" s="25"/>
      <c r="G58" s="25"/>
      <c r="H58" s="25"/>
      <c r="I58" s="25"/>
      <c r="J58" s="25"/>
      <c r="K58" s="26"/>
      <c r="L58" s="25"/>
      <c r="M58" s="26"/>
      <c r="N58" s="11"/>
    </row>
    <row r="59" spans="1:14" hidden="1">
      <c r="A59" s="238" t="s">
        <v>15</v>
      </c>
      <c r="B59" s="238"/>
      <c r="C59" s="238"/>
      <c r="D59" s="238"/>
      <c r="E59" s="238"/>
      <c r="F59" s="238"/>
      <c r="G59" s="238"/>
      <c r="H59" s="238"/>
      <c r="I59" s="238"/>
      <c r="J59" s="238"/>
      <c r="K59" s="238"/>
      <c r="L59" s="238"/>
      <c r="M59" s="238"/>
      <c r="N59" s="11"/>
    </row>
    <row r="60" spans="1:14" hidden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11"/>
    </row>
    <row r="61" spans="1:14" ht="80.25" hidden="1" customHeight="1">
      <c r="A61" s="335" t="s">
        <v>6</v>
      </c>
      <c r="B61" s="335"/>
      <c r="C61" s="335"/>
      <c r="D61" s="335"/>
      <c r="E61" s="335"/>
      <c r="F61" s="28" t="s">
        <v>7</v>
      </c>
      <c r="G61" s="28" t="s">
        <v>8</v>
      </c>
      <c r="H61" s="28" t="s">
        <v>9</v>
      </c>
      <c r="I61" s="28" t="s">
        <v>10</v>
      </c>
      <c r="J61" s="28"/>
      <c r="K61" s="28" t="s">
        <v>11</v>
      </c>
      <c r="L61" s="28" t="s">
        <v>12</v>
      </c>
      <c r="M61" s="28" t="s">
        <v>5</v>
      </c>
      <c r="N61" s="11"/>
    </row>
    <row r="62" spans="1:14" ht="15" hidden="1" customHeight="1">
      <c r="A62" s="336">
        <v>1</v>
      </c>
      <c r="B62" s="337"/>
      <c r="C62" s="337"/>
      <c r="D62" s="337"/>
      <c r="E62" s="338"/>
      <c r="F62" s="28">
        <v>2</v>
      </c>
      <c r="G62" s="28">
        <v>3</v>
      </c>
      <c r="H62" s="28">
        <v>4</v>
      </c>
      <c r="I62" s="28" t="s">
        <v>59</v>
      </c>
      <c r="J62" s="28"/>
      <c r="K62" s="28">
        <v>6</v>
      </c>
      <c r="L62" s="28">
        <v>7</v>
      </c>
      <c r="M62" s="28" t="s">
        <v>60</v>
      </c>
      <c r="N62" s="11"/>
    </row>
    <row r="63" spans="1:14" ht="15" hidden="1" customHeight="1">
      <c r="A63" s="334" t="s">
        <v>62</v>
      </c>
      <c r="B63" s="334"/>
      <c r="C63" s="334"/>
      <c r="D63" s="334"/>
      <c r="E63" s="334"/>
      <c r="F63" s="29" t="s">
        <v>13</v>
      </c>
      <c r="G63" s="28">
        <v>7</v>
      </c>
      <c r="H63" s="29">
        <v>10</v>
      </c>
      <c r="I63" s="30">
        <f>G63/H63</f>
        <v>0.7</v>
      </c>
      <c r="J63" s="30"/>
      <c r="K63" s="28">
        <v>20</v>
      </c>
      <c r="L63" s="31">
        <v>7100</v>
      </c>
      <c r="M63" s="31">
        <f>I63*L63</f>
        <v>4970</v>
      </c>
      <c r="N63" s="11"/>
    </row>
    <row r="64" spans="1:14" ht="15" hidden="1" customHeight="1">
      <c r="A64" s="334" t="s">
        <v>63</v>
      </c>
      <c r="B64" s="334"/>
      <c r="C64" s="334"/>
      <c r="D64" s="334"/>
      <c r="E64" s="334"/>
      <c r="F64" s="29" t="s">
        <v>13</v>
      </c>
      <c r="G64" s="28">
        <v>1</v>
      </c>
      <c r="H64" s="29">
        <v>10</v>
      </c>
      <c r="I64" s="30">
        <f t="shared" ref="I64:I80" si="0">G64/H64</f>
        <v>0.1</v>
      </c>
      <c r="J64" s="30"/>
      <c r="K64" s="28">
        <v>20</v>
      </c>
      <c r="L64" s="31">
        <v>538700</v>
      </c>
      <c r="M64" s="31">
        <f t="shared" ref="M64:M81" si="1">I64*L64</f>
        <v>53870</v>
      </c>
      <c r="N64" s="11"/>
    </row>
    <row r="65" spans="1:14" ht="15" hidden="1" customHeight="1">
      <c r="A65" s="334" t="s">
        <v>64</v>
      </c>
      <c r="B65" s="334"/>
      <c r="C65" s="334"/>
      <c r="D65" s="334"/>
      <c r="E65" s="334"/>
      <c r="F65" s="29" t="s">
        <v>13</v>
      </c>
      <c r="G65" s="28">
        <v>1</v>
      </c>
      <c r="H65" s="29">
        <v>10</v>
      </c>
      <c r="I65" s="30">
        <f t="shared" si="0"/>
        <v>0.1</v>
      </c>
      <c r="J65" s="30"/>
      <c r="K65" s="28">
        <v>20</v>
      </c>
      <c r="L65" s="31">
        <v>380000</v>
      </c>
      <c r="M65" s="31">
        <f t="shared" si="1"/>
        <v>38000</v>
      </c>
      <c r="N65" s="11"/>
    </row>
    <row r="66" spans="1:14" ht="12.75" hidden="1" customHeight="1">
      <c r="A66" s="334"/>
      <c r="B66" s="334"/>
      <c r="C66" s="334"/>
      <c r="D66" s="334"/>
      <c r="E66" s="334"/>
      <c r="F66" s="29" t="s">
        <v>13</v>
      </c>
      <c r="G66" s="28"/>
      <c r="H66" s="29">
        <v>10</v>
      </c>
      <c r="I66" s="30">
        <f t="shared" si="0"/>
        <v>0</v>
      </c>
      <c r="J66" s="30"/>
      <c r="K66" s="28"/>
      <c r="L66" s="31"/>
      <c r="M66" s="31">
        <f t="shared" si="1"/>
        <v>0</v>
      </c>
      <c r="N66" s="11"/>
    </row>
    <row r="67" spans="1:14" ht="15" hidden="1" customHeight="1">
      <c r="A67" s="334"/>
      <c r="B67" s="334"/>
      <c r="C67" s="334"/>
      <c r="D67" s="334"/>
      <c r="E67" s="334"/>
      <c r="F67" s="29" t="s">
        <v>13</v>
      </c>
      <c r="G67" s="28"/>
      <c r="H67" s="29">
        <v>10</v>
      </c>
      <c r="I67" s="30">
        <f t="shared" si="0"/>
        <v>0</v>
      </c>
      <c r="J67" s="30"/>
      <c r="K67" s="28"/>
      <c r="L67" s="31"/>
      <c r="M67" s="31">
        <f t="shared" si="1"/>
        <v>0</v>
      </c>
      <c r="N67" s="11"/>
    </row>
    <row r="68" spans="1:14" ht="15" hidden="1" customHeight="1">
      <c r="A68" s="331"/>
      <c r="B68" s="332"/>
      <c r="C68" s="332"/>
      <c r="D68" s="332"/>
      <c r="E68" s="333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>
      <c r="A69" s="331"/>
      <c r="B69" s="332"/>
      <c r="C69" s="332"/>
      <c r="D69" s="332"/>
      <c r="E69" s="333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>
      <c r="A70" s="331"/>
      <c r="B70" s="332"/>
      <c r="C70" s="332"/>
      <c r="D70" s="332"/>
      <c r="E70" s="333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>
      <c r="A71" s="331"/>
      <c r="B71" s="332"/>
      <c r="C71" s="332"/>
      <c r="D71" s="332"/>
      <c r="E71" s="333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>
      <c r="A72" s="331"/>
      <c r="B72" s="332"/>
      <c r="C72" s="332"/>
      <c r="D72" s="332"/>
      <c r="E72" s="333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idden="1">
      <c r="A73" s="324"/>
      <c r="B73" s="325"/>
      <c r="C73" s="325"/>
      <c r="D73" s="325"/>
      <c r="E73" s="326"/>
      <c r="F73" s="29" t="s">
        <v>13</v>
      </c>
      <c r="G73" s="29"/>
      <c r="H73" s="29">
        <v>10</v>
      </c>
      <c r="I73" s="30">
        <f t="shared" si="0"/>
        <v>0</v>
      </c>
      <c r="J73" s="30"/>
      <c r="K73" s="29"/>
      <c r="L73" s="32"/>
      <c r="M73" s="31">
        <f t="shared" si="1"/>
        <v>0</v>
      </c>
      <c r="N73" s="11"/>
    </row>
    <row r="74" spans="1:14" hidden="1">
      <c r="A74" s="324"/>
      <c r="B74" s="325"/>
      <c r="C74" s="325"/>
      <c r="D74" s="325"/>
      <c r="E74" s="326"/>
      <c r="F74" s="29" t="s">
        <v>13</v>
      </c>
      <c r="G74" s="29"/>
      <c r="H74" s="29">
        <v>10</v>
      </c>
      <c r="I74" s="30">
        <f t="shared" si="0"/>
        <v>0</v>
      </c>
      <c r="J74" s="30"/>
      <c r="K74" s="29"/>
      <c r="L74" s="32"/>
      <c r="M74" s="31">
        <f t="shared" si="1"/>
        <v>0</v>
      </c>
      <c r="N74" s="11"/>
    </row>
    <row r="75" spans="1:14" hidden="1">
      <c r="A75" s="324"/>
      <c r="B75" s="325"/>
      <c r="C75" s="325"/>
      <c r="D75" s="325"/>
      <c r="E75" s="326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>
      <c r="A76" s="324"/>
      <c r="B76" s="325"/>
      <c r="C76" s="325"/>
      <c r="D76" s="325"/>
      <c r="E76" s="326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>
      <c r="A77" s="324"/>
      <c r="B77" s="325"/>
      <c r="C77" s="325"/>
      <c r="D77" s="325"/>
      <c r="E77" s="326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>
      <c r="A78" s="324"/>
      <c r="B78" s="325"/>
      <c r="C78" s="325"/>
      <c r="D78" s="325"/>
      <c r="E78" s="326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>
      <c r="A79" s="324"/>
      <c r="B79" s="325"/>
      <c r="C79" s="325"/>
      <c r="D79" s="325"/>
      <c r="E79" s="326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>
      <c r="A80" s="324"/>
      <c r="B80" s="325"/>
      <c r="C80" s="325"/>
      <c r="D80" s="325"/>
      <c r="E80" s="326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>
      <c r="A81" s="327" t="s">
        <v>98</v>
      </c>
      <c r="B81" s="327"/>
      <c r="C81" s="327"/>
      <c r="D81" s="327"/>
      <c r="E81" s="327"/>
      <c r="F81" s="29"/>
      <c r="G81" s="29"/>
      <c r="H81" s="29"/>
      <c r="I81" s="33"/>
      <c r="J81" s="33"/>
      <c r="K81" s="29"/>
      <c r="L81" s="32"/>
      <c r="M81" s="32">
        <f t="shared" si="1"/>
        <v>0</v>
      </c>
      <c r="N81" s="11"/>
    </row>
    <row r="82" spans="1:14" ht="57" hidden="1" customHeight="1">
      <c r="A82" s="328" t="s">
        <v>14</v>
      </c>
      <c r="B82" s="329"/>
      <c r="C82" s="329"/>
      <c r="D82" s="329"/>
      <c r="E82" s="329"/>
      <c r="F82" s="329"/>
      <c r="G82" s="329"/>
      <c r="H82" s="329"/>
      <c r="I82" s="329"/>
      <c r="J82" s="329"/>
      <c r="K82" s="329"/>
      <c r="L82" s="330"/>
      <c r="M82" s="32">
        <f>M81+M65+M64+M63</f>
        <v>96840</v>
      </c>
      <c r="N82" s="11"/>
    </row>
    <row r="83" spans="1:14" ht="1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1:14">
      <c r="A84" s="221" t="s">
        <v>16</v>
      </c>
      <c r="B84" s="221"/>
      <c r="C84" s="221"/>
      <c r="D84" s="221"/>
      <c r="E84" s="221"/>
      <c r="F84" s="221"/>
      <c r="G84" s="221"/>
      <c r="H84" s="221"/>
      <c r="I84" s="221"/>
      <c r="J84" s="221"/>
      <c r="K84" s="221"/>
      <c r="L84" s="221"/>
      <c r="M84" s="221"/>
      <c r="N84" s="11"/>
    </row>
    <row r="85" spans="1:14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11"/>
    </row>
    <row r="86" spans="1:14" ht="30.75" hidden="1" customHeight="1">
      <c r="A86" s="279"/>
      <c r="B86" s="279"/>
      <c r="C86" s="279"/>
      <c r="D86" s="279"/>
      <c r="E86" s="279"/>
      <c r="F86" s="279"/>
      <c r="G86" s="279"/>
      <c r="H86" s="279"/>
      <c r="I86" s="279"/>
      <c r="J86" s="279"/>
      <c r="K86" s="279"/>
      <c r="L86" s="279"/>
      <c r="M86" s="35"/>
      <c r="N86" s="11"/>
    </row>
    <row r="87" spans="1:14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</row>
    <row r="88" spans="1:14" ht="73.5" customHeight="1">
      <c r="A88" s="222" t="s">
        <v>17</v>
      </c>
      <c r="B88" s="222"/>
      <c r="C88" s="222"/>
      <c r="D88" s="222"/>
      <c r="E88" s="222"/>
      <c r="F88" s="9" t="s">
        <v>7</v>
      </c>
      <c r="G88" s="36" t="s">
        <v>90</v>
      </c>
      <c r="H88" s="9" t="s">
        <v>71</v>
      </c>
      <c r="I88" s="9" t="s">
        <v>82</v>
      </c>
      <c r="J88" s="9" t="s">
        <v>105</v>
      </c>
      <c r="K88" s="9" t="s">
        <v>135</v>
      </c>
      <c r="L88" s="11"/>
      <c r="M88" s="11"/>
      <c r="N88" s="11"/>
    </row>
    <row r="89" spans="1:14" ht="18.75" customHeight="1">
      <c r="A89" s="280">
        <v>1</v>
      </c>
      <c r="B89" s="281"/>
      <c r="C89" s="281"/>
      <c r="D89" s="281"/>
      <c r="E89" s="282"/>
      <c r="F89" s="9">
        <v>2</v>
      </c>
      <c r="G89" s="9">
        <v>3</v>
      </c>
      <c r="H89" s="37">
        <v>4</v>
      </c>
      <c r="I89" s="37">
        <v>5</v>
      </c>
      <c r="J89" s="38">
        <v>6</v>
      </c>
      <c r="K89" s="38" t="s">
        <v>79</v>
      </c>
      <c r="L89" s="11"/>
      <c r="M89" s="39"/>
      <c r="N89" s="11"/>
    </row>
    <row r="90" spans="1:14">
      <c r="A90" s="287" t="s">
        <v>23</v>
      </c>
      <c r="B90" s="287"/>
      <c r="C90" s="287"/>
      <c r="D90" s="287"/>
      <c r="E90" s="287"/>
      <c r="F90" s="40" t="s">
        <v>26</v>
      </c>
      <c r="G90" s="63">
        <f>8.4*88.1</f>
        <v>740.04</v>
      </c>
      <c r="H90" s="56">
        <v>7802.23</v>
      </c>
      <c r="I90" s="82">
        <f>56993.23*1.3%</f>
        <v>740.91199000000006</v>
      </c>
      <c r="J90" s="86">
        <v>13</v>
      </c>
      <c r="K90" s="56">
        <f>I90/J90</f>
        <v>56.993230000000004</v>
      </c>
      <c r="L90" s="11"/>
      <c r="M90" s="25"/>
      <c r="N90" s="11"/>
    </row>
    <row r="91" spans="1:14">
      <c r="A91" s="287" t="s">
        <v>24</v>
      </c>
      <c r="B91" s="287"/>
      <c r="C91" s="287"/>
      <c r="D91" s="287"/>
      <c r="E91" s="287"/>
      <c r="F91" s="40" t="s">
        <v>27</v>
      </c>
      <c r="G91" s="56">
        <f>175*88.1%</f>
        <v>154.17499999999998</v>
      </c>
      <c r="H91" s="56">
        <v>1768</v>
      </c>
      <c r="I91" s="82">
        <f>338294.05*1.3%</f>
        <v>4397.8226500000001</v>
      </c>
      <c r="J91" s="86">
        <v>13</v>
      </c>
      <c r="K91" s="56">
        <f>I91/J91</f>
        <v>338.29405000000003</v>
      </c>
      <c r="L91" s="11"/>
      <c r="M91" s="11"/>
      <c r="N91" s="11"/>
    </row>
    <row r="92" spans="1:14">
      <c r="A92" s="287" t="s">
        <v>83</v>
      </c>
      <c r="B92" s="287"/>
      <c r="C92" s="287"/>
      <c r="D92" s="287"/>
      <c r="E92" s="287"/>
      <c r="F92" s="40" t="s">
        <v>28</v>
      </c>
      <c r="G92" s="56">
        <f>140*88.1%</f>
        <v>123.33999999999999</v>
      </c>
      <c r="H92" s="56">
        <v>42.83</v>
      </c>
      <c r="I92" s="82">
        <f>5483.26*1.3%</f>
        <v>71.282380000000003</v>
      </c>
      <c r="J92" s="86">
        <v>13</v>
      </c>
      <c r="K92" s="56">
        <f>I92/J92</f>
        <v>5.4832600000000005</v>
      </c>
      <c r="L92" s="11"/>
      <c r="M92" s="11"/>
      <c r="N92" s="11"/>
    </row>
    <row r="93" spans="1:14">
      <c r="A93" s="212" t="s">
        <v>25</v>
      </c>
      <c r="B93" s="212"/>
      <c r="C93" s="212"/>
      <c r="D93" s="212"/>
      <c r="E93" s="212"/>
      <c r="F93" s="96" t="s">
        <v>28</v>
      </c>
      <c r="G93" s="56">
        <f>140*88.1%</f>
        <v>123.33999999999999</v>
      </c>
      <c r="H93" s="88">
        <v>62.38</v>
      </c>
      <c r="I93" s="199">
        <f>8117.94*1.3%</f>
        <v>105.53322</v>
      </c>
      <c r="J93" s="86">
        <v>13</v>
      </c>
      <c r="K93" s="88">
        <f>I93/J93</f>
        <v>8.1179400000000008</v>
      </c>
      <c r="L93" s="11"/>
      <c r="M93" s="11"/>
      <c r="N93" s="11"/>
    </row>
    <row r="94" spans="1:14" ht="15" thickBot="1">
      <c r="A94" s="212" t="s">
        <v>189</v>
      </c>
      <c r="B94" s="212"/>
      <c r="C94" s="212"/>
      <c r="D94" s="212"/>
      <c r="E94" s="212"/>
      <c r="F94" s="96"/>
      <c r="G94" s="56"/>
      <c r="H94" s="88">
        <v>1167</v>
      </c>
      <c r="I94" s="199">
        <f>16411.52*1.3%</f>
        <v>213.34976000000003</v>
      </c>
      <c r="J94" s="86">
        <v>13</v>
      </c>
      <c r="K94" s="88">
        <f>I94/J94</f>
        <v>16.411520000000003</v>
      </c>
      <c r="L94" s="11"/>
      <c r="M94" s="11"/>
      <c r="N94" s="11"/>
    </row>
    <row r="95" spans="1:14" ht="15" thickBot="1">
      <c r="A95" s="288" t="s">
        <v>29</v>
      </c>
      <c r="B95" s="289"/>
      <c r="C95" s="289"/>
      <c r="D95" s="289"/>
      <c r="E95" s="290"/>
      <c r="F95" s="97"/>
      <c r="G95" s="97"/>
      <c r="H95" s="97"/>
      <c r="I95" s="146">
        <f>SUM(I90:I94)</f>
        <v>5528.9000000000005</v>
      </c>
      <c r="J95" s="89"/>
      <c r="K95" s="210">
        <f>SUM(K90:K94)</f>
        <v>425.29999999999995</v>
      </c>
      <c r="L95" s="11"/>
      <c r="M95" s="11"/>
      <c r="N95" s="90">
        <f>I95/88.1%</f>
        <v>6275.709421112374</v>
      </c>
    </row>
    <row r="96" spans="1:14">
      <c r="A96" s="221" t="s">
        <v>30</v>
      </c>
      <c r="B96" s="221"/>
      <c r="C96" s="221"/>
      <c r="D96" s="221"/>
      <c r="E96" s="221"/>
      <c r="F96" s="221"/>
      <c r="G96" s="221"/>
      <c r="H96" s="221"/>
      <c r="I96" s="221"/>
      <c r="J96" s="221"/>
      <c r="K96" s="221"/>
      <c r="L96" s="221"/>
      <c r="M96" s="221"/>
      <c r="N96" s="11"/>
    </row>
    <row r="97" spans="1:14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</row>
    <row r="98" spans="1:14" ht="55.8">
      <c r="A98" s="283" t="s">
        <v>32</v>
      </c>
      <c r="B98" s="283"/>
      <c r="C98" s="283"/>
      <c r="D98" s="283"/>
      <c r="E98" s="283"/>
      <c r="F98" s="37" t="s">
        <v>7</v>
      </c>
      <c r="G98" s="37" t="s">
        <v>18</v>
      </c>
      <c r="H98" s="42" t="s">
        <v>85</v>
      </c>
      <c r="I98" s="9" t="s">
        <v>82</v>
      </c>
      <c r="J98" s="9" t="s">
        <v>105</v>
      </c>
      <c r="K98" s="9" t="s">
        <v>135</v>
      </c>
      <c r="L98" s="11"/>
      <c r="M98" s="11"/>
      <c r="N98" s="11"/>
    </row>
    <row r="99" spans="1:14">
      <c r="A99" s="259" t="s">
        <v>188</v>
      </c>
      <c r="B99" s="259"/>
      <c r="C99" s="259"/>
      <c r="D99" s="259"/>
      <c r="E99" s="259"/>
      <c r="F99" s="93" t="s">
        <v>31</v>
      </c>
      <c r="G99" s="93">
        <v>1</v>
      </c>
      <c r="H99" s="162">
        <v>3027.85</v>
      </c>
      <c r="I99" s="82">
        <f>36334.2*1.3%</f>
        <v>472.34460000000001</v>
      </c>
      <c r="J99" s="86">
        <v>13</v>
      </c>
      <c r="K99" s="98">
        <f t="shared" ref="K99:K102" si="2">I99/J99</f>
        <v>36.334200000000003</v>
      </c>
      <c r="L99" s="11"/>
      <c r="M99" s="11"/>
      <c r="N99" s="11"/>
    </row>
    <row r="100" spans="1:14" ht="36.6" customHeight="1">
      <c r="A100" s="291" t="s">
        <v>112</v>
      </c>
      <c r="B100" s="291"/>
      <c r="C100" s="291"/>
      <c r="D100" s="291"/>
      <c r="E100" s="292"/>
      <c r="F100" s="93" t="s">
        <v>31</v>
      </c>
      <c r="G100" s="93">
        <v>1</v>
      </c>
      <c r="H100" s="163"/>
      <c r="I100" s="200">
        <f>15000*1.3%</f>
        <v>195.00000000000003</v>
      </c>
      <c r="J100" s="86">
        <v>13</v>
      </c>
      <c r="K100" s="98">
        <f t="shared" si="2"/>
        <v>15.000000000000002</v>
      </c>
      <c r="L100" s="11"/>
      <c r="M100" s="24"/>
      <c r="N100" s="11"/>
    </row>
    <row r="101" spans="1:14" ht="15" customHeight="1">
      <c r="A101" s="284" t="s">
        <v>113</v>
      </c>
      <c r="B101" s="285"/>
      <c r="C101" s="285"/>
      <c r="D101" s="285"/>
      <c r="E101" s="286"/>
      <c r="F101" s="93" t="s">
        <v>31</v>
      </c>
      <c r="G101" s="93">
        <v>1</v>
      </c>
      <c r="H101" s="162"/>
      <c r="I101" s="82">
        <f>6500*1.3%</f>
        <v>84.500000000000014</v>
      </c>
      <c r="J101" s="86">
        <v>13</v>
      </c>
      <c r="K101" s="98">
        <f t="shared" si="2"/>
        <v>6.5000000000000009</v>
      </c>
      <c r="L101" s="11"/>
      <c r="M101" s="11"/>
      <c r="N101" s="11"/>
    </row>
    <row r="102" spans="1:14">
      <c r="A102" s="196" t="s">
        <v>114</v>
      </c>
      <c r="B102" s="197"/>
      <c r="C102" s="197"/>
      <c r="D102" s="197"/>
      <c r="E102" s="198"/>
      <c r="F102" s="93" t="s">
        <v>31</v>
      </c>
      <c r="G102" s="93">
        <v>1</v>
      </c>
      <c r="H102" s="162"/>
      <c r="I102" s="82">
        <f>8943.2*1.3%</f>
        <v>116.26160000000002</v>
      </c>
      <c r="J102" s="86">
        <v>13</v>
      </c>
      <c r="K102" s="98">
        <f t="shared" si="2"/>
        <v>8.9432000000000009</v>
      </c>
      <c r="L102" s="11"/>
      <c r="M102" s="11"/>
      <c r="N102" s="11"/>
    </row>
    <row r="103" spans="1:14" ht="15" thickBot="1">
      <c r="A103" s="259" t="s">
        <v>115</v>
      </c>
      <c r="B103" s="259"/>
      <c r="C103" s="259"/>
      <c r="D103" s="259"/>
      <c r="E103" s="259"/>
      <c r="F103" s="93" t="s">
        <v>31</v>
      </c>
      <c r="G103" s="93">
        <v>1</v>
      </c>
      <c r="H103" s="162">
        <v>500</v>
      </c>
      <c r="I103" s="199">
        <f>6000*1.3%</f>
        <v>78</v>
      </c>
      <c r="J103" s="86">
        <v>13</v>
      </c>
      <c r="K103" s="98">
        <f>I103/J103</f>
        <v>6</v>
      </c>
      <c r="L103" s="11"/>
      <c r="M103" s="11"/>
      <c r="N103" s="11"/>
    </row>
    <row r="104" spans="1:14" ht="15" thickBot="1">
      <c r="A104" s="194" t="s">
        <v>89</v>
      </c>
      <c r="B104" s="195"/>
      <c r="C104" s="195"/>
      <c r="D104" s="195"/>
      <c r="E104" s="195"/>
      <c r="F104" s="195"/>
      <c r="G104" s="195"/>
      <c r="H104" s="195"/>
      <c r="I104" s="147">
        <f>SUM(I99:I103)</f>
        <v>946.10620000000006</v>
      </c>
      <c r="J104" s="11"/>
      <c r="K104" s="209">
        <f>SUM(K99:K103)</f>
        <v>72.7774</v>
      </c>
      <c r="L104" s="11"/>
      <c r="M104" s="11"/>
      <c r="N104" s="90">
        <f>I104/88.1%</f>
        <v>1073.9003405221342</v>
      </c>
    </row>
    <row r="105" spans="1:14" ht="28.5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</row>
    <row r="106" spans="1:14">
      <c r="A106" s="221" t="s">
        <v>84</v>
      </c>
      <c r="B106" s="221"/>
      <c r="C106" s="221"/>
      <c r="D106" s="221"/>
      <c r="E106" s="221"/>
      <c r="F106" s="221"/>
      <c r="G106" s="221"/>
      <c r="H106" s="221"/>
      <c r="I106" s="221"/>
      <c r="J106" s="221"/>
      <c r="K106" s="221"/>
      <c r="L106" s="221"/>
      <c r="M106" s="221"/>
      <c r="N106" s="11"/>
    </row>
    <row r="107" spans="1:14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1:14" ht="42">
      <c r="A108" s="222" t="s">
        <v>32</v>
      </c>
      <c r="B108" s="222"/>
      <c r="C108" s="222"/>
      <c r="D108" s="222"/>
      <c r="E108" s="222"/>
      <c r="F108" s="9" t="s">
        <v>92</v>
      </c>
      <c r="G108" s="9" t="s">
        <v>22</v>
      </c>
      <c r="H108" s="9" t="s">
        <v>82</v>
      </c>
      <c r="I108" s="9" t="s">
        <v>105</v>
      </c>
      <c r="J108" s="9" t="s">
        <v>135</v>
      </c>
      <c r="K108" s="11"/>
      <c r="L108" s="11"/>
      <c r="M108" s="11"/>
      <c r="N108" s="11"/>
    </row>
    <row r="109" spans="1:14" ht="18" customHeight="1">
      <c r="A109" s="217" t="s">
        <v>116</v>
      </c>
      <c r="B109" s="218"/>
      <c r="C109" s="218"/>
      <c r="D109" s="218"/>
      <c r="E109" s="219"/>
      <c r="F109" s="36">
        <v>4</v>
      </c>
      <c r="G109" s="107">
        <v>4500</v>
      </c>
      <c r="H109" s="201">
        <f>18000*1.3%</f>
        <v>234.00000000000003</v>
      </c>
      <c r="I109" s="86">
        <v>13</v>
      </c>
      <c r="J109" s="94">
        <f t="shared" ref="J109:J112" si="3">H109/I109</f>
        <v>18.000000000000004</v>
      </c>
      <c r="K109" s="11"/>
      <c r="L109" s="11"/>
      <c r="M109" s="11"/>
      <c r="N109" s="11"/>
    </row>
    <row r="110" spans="1:14" ht="20.25" customHeight="1">
      <c r="A110" s="244" t="s">
        <v>117</v>
      </c>
      <c r="B110" s="244"/>
      <c r="C110" s="244"/>
      <c r="D110" s="244"/>
      <c r="E110" s="244"/>
      <c r="F110" s="36">
        <v>12</v>
      </c>
      <c r="G110" s="107">
        <v>3000</v>
      </c>
      <c r="H110" s="201">
        <f>36000*1.3%</f>
        <v>468.00000000000006</v>
      </c>
      <c r="I110" s="86">
        <v>13</v>
      </c>
      <c r="J110" s="94">
        <f t="shared" si="3"/>
        <v>36.000000000000007</v>
      </c>
      <c r="K110" s="11"/>
      <c r="L110" s="11"/>
      <c r="M110" s="11"/>
      <c r="N110" s="11"/>
    </row>
    <row r="111" spans="1:14" ht="18.75" customHeight="1">
      <c r="A111" s="244" t="s">
        <v>118</v>
      </c>
      <c r="B111" s="244"/>
      <c r="C111" s="244"/>
      <c r="D111" s="244"/>
      <c r="E111" s="244"/>
      <c r="F111" s="36">
        <v>12</v>
      </c>
      <c r="G111" s="107">
        <v>1000</v>
      </c>
      <c r="H111" s="201">
        <f>12000*1.3%</f>
        <v>156</v>
      </c>
      <c r="I111" s="86">
        <v>13</v>
      </c>
      <c r="J111" s="94">
        <f t="shared" si="3"/>
        <v>12</v>
      </c>
      <c r="K111" s="11"/>
      <c r="L111" s="11"/>
      <c r="M111" s="11"/>
      <c r="N111" s="11"/>
    </row>
    <row r="112" spans="1:14" ht="15" thickBot="1">
      <c r="A112" s="267" t="s">
        <v>120</v>
      </c>
      <c r="B112" s="268"/>
      <c r="C112" s="268"/>
      <c r="D112" s="268"/>
      <c r="E112" s="269"/>
      <c r="F112" s="107"/>
      <c r="G112" s="93"/>
      <c r="H112" s="82">
        <f>18000*1.3%</f>
        <v>234.00000000000003</v>
      </c>
      <c r="I112" s="86">
        <v>13</v>
      </c>
      <c r="J112" s="94">
        <f t="shared" si="3"/>
        <v>18.000000000000004</v>
      </c>
      <c r="K112" s="11"/>
      <c r="L112" s="11"/>
      <c r="M112" s="11"/>
      <c r="N112" s="11"/>
    </row>
    <row r="113" spans="1:14" ht="20.25" customHeight="1" thickBot="1">
      <c r="A113" s="270" t="s">
        <v>88</v>
      </c>
      <c r="B113" s="271"/>
      <c r="C113" s="271"/>
      <c r="D113" s="271"/>
      <c r="E113" s="272"/>
      <c r="F113" s="91"/>
      <c r="G113" s="91"/>
      <c r="H113" s="146">
        <f>H109+H110+H111+H112</f>
        <v>1092.0000000000002</v>
      </c>
      <c r="I113" s="87"/>
      <c r="J113" s="206">
        <f>SUM(J109:J112)</f>
        <v>84.000000000000014</v>
      </c>
      <c r="K113" s="11"/>
      <c r="L113" s="49"/>
      <c r="M113" s="11"/>
      <c r="N113" s="90">
        <f>H113/88.1%</f>
        <v>1239.5005675368902</v>
      </c>
    </row>
    <row r="114" spans="1:14" ht="14.25" hidden="1" customHeight="1" thickBot="1">
      <c r="F114" s="36"/>
      <c r="G114" s="36"/>
      <c r="H114" s="108"/>
      <c r="I114" s="86"/>
      <c r="J114" s="94"/>
      <c r="K114" s="11"/>
      <c r="L114" s="11"/>
      <c r="M114" s="11"/>
      <c r="N114" s="11"/>
    </row>
    <row r="115" spans="1:14" ht="16.5" hidden="1" customHeight="1" thickBot="1">
      <c r="A115" s="244"/>
      <c r="B115" s="244"/>
      <c r="C115" s="244"/>
      <c r="D115" s="244"/>
      <c r="E115" s="244"/>
      <c r="F115" s="36"/>
      <c r="G115" s="36"/>
      <c r="H115" s="106"/>
      <c r="I115" s="86">
        <v>3260</v>
      </c>
      <c r="J115" s="94">
        <f t="shared" ref="J115:J116" si="4">H115/I115</f>
        <v>0</v>
      </c>
      <c r="K115" s="11"/>
      <c r="L115" s="11"/>
      <c r="M115" s="11"/>
      <c r="N115" s="11"/>
    </row>
    <row r="116" spans="1:14" ht="17.25" hidden="1" customHeight="1">
      <c r="A116" s="217"/>
      <c r="B116" s="218"/>
      <c r="C116" s="218"/>
      <c r="D116" s="218"/>
      <c r="E116" s="219"/>
      <c r="F116" s="107"/>
      <c r="G116" s="93"/>
      <c r="H116" s="56"/>
      <c r="I116" s="86">
        <v>3260</v>
      </c>
      <c r="J116" s="94">
        <f t="shared" si="4"/>
        <v>0</v>
      </c>
      <c r="K116" s="11"/>
      <c r="L116" s="11"/>
      <c r="M116" s="11"/>
      <c r="N116" s="11"/>
    </row>
    <row r="117" spans="1:14" ht="20.25" customHeight="1">
      <c r="A117" s="167"/>
      <c r="B117" s="168"/>
      <c r="C117" s="168"/>
      <c r="D117" s="168"/>
      <c r="E117" s="168"/>
      <c r="F117" s="168"/>
      <c r="G117" s="168"/>
      <c r="H117" s="52"/>
      <c r="I117" s="13"/>
      <c r="J117" s="53"/>
      <c r="K117" s="11"/>
      <c r="L117" s="49"/>
      <c r="M117" s="11"/>
      <c r="N117" s="11"/>
    </row>
    <row r="118" spans="1:14" ht="31.5" customHeight="1">
      <c r="A118" s="238" t="s">
        <v>86</v>
      </c>
      <c r="B118" s="238"/>
      <c r="C118" s="238"/>
      <c r="D118" s="238"/>
      <c r="E118" s="238"/>
      <c r="F118" s="273"/>
      <c r="G118" s="273"/>
      <c r="H118" s="273"/>
      <c r="I118" s="273"/>
      <c r="J118" s="273"/>
      <c r="K118" s="273"/>
      <c r="L118" s="273"/>
      <c r="M118" s="273"/>
      <c r="N118" s="273"/>
    </row>
    <row r="119" spans="1:14" ht="42">
      <c r="A119" s="222" t="s">
        <v>33</v>
      </c>
      <c r="B119" s="222"/>
      <c r="C119" s="222"/>
      <c r="D119" s="222"/>
      <c r="E119" s="222"/>
      <c r="F119" s="9" t="s">
        <v>7</v>
      </c>
      <c r="G119" s="9" t="s">
        <v>18</v>
      </c>
      <c r="H119" s="9" t="s">
        <v>71</v>
      </c>
      <c r="I119" s="9" t="s">
        <v>34</v>
      </c>
      <c r="J119" s="9" t="s">
        <v>82</v>
      </c>
      <c r="K119" s="37" t="s">
        <v>105</v>
      </c>
      <c r="L119" s="9" t="s">
        <v>135</v>
      </c>
      <c r="M119" s="11"/>
      <c r="N119" s="11"/>
    </row>
    <row r="120" spans="1:14" ht="31.5" customHeight="1">
      <c r="A120" s="263" t="s">
        <v>35</v>
      </c>
      <c r="B120" s="263"/>
      <c r="C120" s="263"/>
      <c r="D120" s="263"/>
      <c r="E120" s="263"/>
      <c r="F120" s="92" t="s">
        <v>36</v>
      </c>
      <c r="G120" s="93">
        <v>3</v>
      </c>
      <c r="H120" s="159">
        <v>590.59</v>
      </c>
      <c r="I120" s="93">
        <v>12</v>
      </c>
      <c r="J120" s="199">
        <f>24882.6*1.3%</f>
        <v>323.47379999999998</v>
      </c>
      <c r="K120" s="86">
        <v>13</v>
      </c>
      <c r="L120" s="94">
        <f>J120/K120</f>
        <v>24.8826</v>
      </c>
      <c r="M120" s="90"/>
      <c r="N120" s="11"/>
    </row>
    <row r="121" spans="1:14" ht="22.5" customHeight="1" thickBot="1">
      <c r="A121" s="263" t="s">
        <v>99</v>
      </c>
      <c r="B121" s="263"/>
      <c r="C121" s="263"/>
      <c r="D121" s="263"/>
      <c r="E121" s="263"/>
      <c r="F121" s="92" t="s">
        <v>100</v>
      </c>
      <c r="G121" s="93">
        <v>1</v>
      </c>
      <c r="H121" s="159">
        <v>3300</v>
      </c>
      <c r="I121" s="93">
        <v>12</v>
      </c>
      <c r="J121" s="199">
        <f>36000*1.3%</f>
        <v>468.00000000000006</v>
      </c>
      <c r="K121" s="86">
        <v>13</v>
      </c>
      <c r="L121" s="94">
        <f>J121/K121</f>
        <v>36.000000000000007</v>
      </c>
      <c r="M121" s="90"/>
      <c r="N121" s="11"/>
    </row>
    <row r="122" spans="1:14" ht="20.25" customHeight="1" thickBot="1">
      <c r="A122" s="264" t="s">
        <v>37</v>
      </c>
      <c r="B122" s="265"/>
      <c r="C122" s="265"/>
      <c r="D122" s="265"/>
      <c r="E122" s="266"/>
      <c r="F122" s="264"/>
      <c r="G122" s="265"/>
      <c r="H122" s="265"/>
      <c r="I122" s="265"/>
      <c r="J122" s="146">
        <f>J121+J120</f>
        <v>791.47379999999998</v>
      </c>
      <c r="K122" s="87"/>
      <c r="L122" s="95">
        <f>SUM(L120:L121)</f>
        <v>60.882600000000011</v>
      </c>
      <c r="M122" s="181"/>
      <c r="N122" s="11"/>
    </row>
    <row r="123" spans="1:14" ht="95.25" hidden="1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25"/>
      <c r="M123" s="25"/>
      <c r="N123" s="11"/>
    </row>
    <row r="124" spans="1:14" ht="12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25"/>
      <c r="M124" s="25"/>
      <c r="N124" s="11"/>
    </row>
    <row r="125" spans="1:14">
      <c r="A125" s="221" t="s">
        <v>122</v>
      </c>
      <c r="B125" s="221"/>
      <c r="C125" s="221"/>
      <c r="D125" s="221"/>
      <c r="E125" s="221"/>
      <c r="F125" s="221"/>
      <c r="G125" s="221"/>
      <c r="H125" s="221"/>
      <c r="I125" s="221"/>
      <c r="J125" s="221"/>
      <c r="K125" s="221"/>
      <c r="L125" s="221"/>
      <c r="M125" s="221"/>
      <c r="N125" s="11"/>
    </row>
    <row r="126" spans="1:14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</row>
    <row r="127" spans="1:14" ht="55.8">
      <c r="A127" s="222" t="s">
        <v>3</v>
      </c>
      <c r="B127" s="222"/>
      <c r="C127" s="222"/>
      <c r="D127" s="222"/>
      <c r="E127" s="222"/>
      <c r="F127" s="9" t="s">
        <v>4</v>
      </c>
      <c r="G127" s="10" t="s">
        <v>0</v>
      </c>
      <c r="H127" s="50" t="s">
        <v>87</v>
      </c>
      <c r="I127" s="50" t="s">
        <v>76</v>
      </c>
      <c r="J127" s="9" t="s">
        <v>105</v>
      </c>
      <c r="K127" s="9" t="s">
        <v>135</v>
      </c>
      <c r="L127" s="9" t="s">
        <v>80</v>
      </c>
      <c r="M127" s="39"/>
      <c r="N127" s="11"/>
    </row>
    <row r="128" spans="1:14">
      <c r="A128" s="225">
        <v>1</v>
      </c>
      <c r="B128" s="226"/>
      <c r="C128" s="226"/>
      <c r="D128" s="226"/>
      <c r="E128" s="227"/>
      <c r="F128" s="37">
        <v>2</v>
      </c>
      <c r="G128" s="12">
        <v>3</v>
      </c>
      <c r="H128" s="37">
        <v>4</v>
      </c>
      <c r="I128" s="37">
        <v>5</v>
      </c>
      <c r="J128" s="38">
        <v>6</v>
      </c>
      <c r="K128" s="54">
        <v>7</v>
      </c>
      <c r="L128" s="55">
        <v>8</v>
      </c>
      <c r="M128" s="39"/>
      <c r="N128" s="13"/>
    </row>
    <row r="129" spans="1:14" ht="15" thickBot="1">
      <c r="A129" s="255" t="s">
        <v>111</v>
      </c>
      <c r="B129" s="255"/>
      <c r="C129" s="255"/>
      <c r="D129" s="255"/>
      <c r="E129" s="255"/>
      <c r="F129" s="56">
        <f>H129/12/G129</f>
        <v>29310.508333333331</v>
      </c>
      <c r="G129" s="56">
        <v>0.1</v>
      </c>
      <c r="H129" s="56">
        <v>35172.61</v>
      </c>
      <c r="I129" s="56">
        <v>45794.8</v>
      </c>
      <c r="J129" s="86">
        <v>13</v>
      </c>
      <c r="K129" s="56">
        <f>I129/J129</f>
        <v>3522.6769230769232</v>
      </c>
      <c r="L129" s="115">
        <v>1.3</v>
      </c>
      <c r="M129" s="24"/>
      <c r="N129" s="13"/>
    </row>
    <row r="130" spans="1:14" ht="15" hidden="1" thickBot="1">
      <c r="A130" s="256"/>
      <c r="B130" s="257"/>
      <c r="C130" s="257"/>
      <c r="D130" s="257"/>
      <c r="E130" s="258"/>
      <c r="F130" s="56">
        <v>17865.98</v>
      </c>
      <c r="G130" s="116">
        <v>4</v>
      </c>
      <c r="H130" s="86"/>
      <c r="I130" s="63">
        <f>J81</f>
        <v>0</v>
      </c>
      <c r="J130" s="56" t="e">
        <f t="shared" ref="J130:J151" si="5">G130/H130*I130</f>
        <v>#DIV/0!</v>
      </c>
      <c r="K130" s="56">
        <f t="shared" ref="K130:K151" si="6">F130*G130*12*1.302</f>
        <v>1116552.28608</v>
      </c>
      <c r="L130" s="117" t="s">
        <v>61</v>
      </c>
      <c r="M130" s="46" t="e">
        <f t="shared" ref="M130:M154" si="7">J130*K130</f>
        <v>#DIV/0!</v>
      </c>
      <c r="N130" s="13"/>
    </row>
    <row r="131" spans="1:14" ht="15" hidden="1" thickBot="1">
      <c r="A131" s="259"/>
      <c r="B131" s="259"/>
      <c r="C131" s="259"/>
      <c r="D131" s="259"/>
      <c r="E131" s="259"/>
      <c r="F131" s="56">
        <v>9544</v>
      </c>
      <c r="G131" s="116">
        <v>1</v>
      </c>
      <c r="H131" s="86"/>
      <c r="I131" s="63">
        <f>J81</f>
        <v>0</v>
      </c>
      <c r="J131" s="56" t="e">
        <f t="shared" si="5"/>
        <v>#DIV/0!</v>
      </c>
      <c r="K131" s="56">
        <f t="shared" si="6"/>
        <v>149115.45600000001</v>
      </c>
      <c r="L131" s="63">
        <f>I131/11277167.39*100</f>
        <v>0</v>
      </c>
      <c r="M131" s="17" t="e">
        <f t="shared" si="7"/>
        <v>#DIV/0!</v>
      </c>
      <c r="N131" s="13"/>
    </row>
    <row r="132" spans="1:14" ht="15" hidden="1" customHeight="1">
      <c r="A132" s="260"/>
      <c r="B132" s="261"/>
      <c r="C132" s="261"/>
      <c r="D132" s="261"/>
      <c r="E132" s="262"/>
      <c r="F132" s="56">
        <v>11560</v>
      </c>
      <c r="G132" s="116">
        <v>1</v>
      </c>
      <c r="H132" s="86"/>
      <c r="I132" s="63">
        <f>J81</f>
        <v>0</v>
      </c>
      <c r="J132" s="56" t="e">
        <f t="shared" si="5"/>
        <v>#DIV/0!</v>
      </c>
      <c r="K132" s="56">
        <f t="shared" si="6"/>
        <v>180613.44</v>
      </c>
      <c r="L132" s="40"/>
      <c r="M132" s="17" t="e">
        <f t="shared" si="7"/>
        <v>#DIV/0!</v>
      </c>
      <c r="N132" s="13"/>
    </row>
    <row r="133" spans="1:14" ht="15" hidden="1" thickBot="1">
      <c r="A133" s="244"/>
      <c r="B133" s="244"/>
      <c r="C133" s="244"/>
      <c r="D133" s="244"/>
      <c r="E133" s="244"/>
      <c r="F133" s="56">
        <v>9544</v>
      </c>
      <c r="G133" s="118">
        <v>0.5</v>
      </c>
      <c r="H133" s="86"/>
      <c r="I133" s="63">
        <f>J81</f>
        <v>0</v>
      </c>
      <c r="J133" s="56" t="e">
        <f t="shared" si="5"/>
        <v>#DIV/0!</v>
      </c>
      <c r="K133" s="56">
        <f t="shared" si="6"/>
        <v>74557.728000000003</v>
      </c>
      <c r="L133" s="40"/>
      <c r="M133" s="17" t="e">
        <f t="shared" si="7"/>
        <v>#DIV/0!</v>
      </c>
      <c r="N133" s="13"/>
    </row>
    <row r="134" spans="1:14" ht="15" hidden="1" thickBot="1">
      <c r="A134" s="244"/>
      <c r="B134" s="244"/>
      <c r="C134" s="244"/>
      <c r="D134" s="244"/>
      <c r="E134" s="244"/>
      <c r="F134" s="56">
        <v>9544</v>
      </c>
      <c r="G134" s="116">
        <v>1</v>
      </c>
      <c r="H134" s="86"/>
      <c r="I134" s="63">
        <f>J81</f>
        <v>0</v>
      </c>
      <c r="J134" s="56" t="e">
        <f t="shared" si="5"/>
        <v>#DIV/0!</v>
      </c>
      <c r="K134" s="56">
        <f t="shared" si="6"/>
        <v>149115.45600000001</v>
      </c>
      <c r="L134" s="56"/>
      <c r="M134" s="17" t="e">
        <f t="shared" si="7"/>
        <v>#DIV/0!</v>
      </c>
      <c r="N134" s="13"/>
    </row>
    <row r="135" spans="1:14" ht="14.25" hidden="1" customHeight="1">
      <c r="A135" s="244"/>
      <c r="B135" s="244"/>
      <c r="C135" s="244"/>
      <c r="D135" s="244"/>
      <c r="E135" s="244"/>
      <c r="F135" s="56">
        <v>9544</v>
      </c>
      <c r="G135" s="116">
        <v>1</v>
      </c>
      <c r="H135" s="86"/>
      <c r="I135" s="63">
        <f>J81</f>
        <v>0</v>
      </c>
      <c r="J135" s="56" t="e">
        <f t="shared" si="5"/>
        <v>#DIV/0!</v>
      </c>
      <c r="K135" s="56">
        <f t="shared" si="6"/>
        <v>149115.45600000001</v>
      </c>
      <c r="L135" s="87"/>
      <c r="M135" s="17" t="e">
        <f t="shared" si="7"/>
        <v>#DIV/0!</v>
      </c>
      <c r="N135" s="13"/>
    </row>
    <row r="136" spans="1:14" ht="15" hidden="1" thickBot="1">
      <c r="A136" s="217"/>
      <c r="B136" s="218"/>
      <c r="C136" s="218"/>
      <c r="D136" s="218"/>
      <c r="E136" s="219"/>
      <c r="F136" s="56">
        <v>9544</v>
      </c>
      <c r="G136" s="56"/>
      <c r="H136" s="86"/>
      <c r="I136" s="63">
        <f>J81</f>
        <v>0</v>
      </c>
      <c r="J136" s="56" t="e">
        <f t="shared" si="5"/>
        <v>#DIV/0!</v>
      </c>
      <c r="K136" s="56">
        <f t="shared" si="6"/>
        <v>0</v>
      </c>
      <c r="L136" s="87"/>
      <c r="M136" s="17" t="e">
        <f t="shared" si="7"/>
        <v>#DIV/0!</v>
      </c>
      <c r="N136" s="13"/>
    </row>
    <row r="137" spans="1:14" ht="15" hidden="1" thickBot="1">
      <c r="A137" s="217"/>
      <c r="B137" s="218"/>
      <c r="C137" s="218"/>
      <c r="D137" s="218"/>
      <c r="E137" s="219"/>
      <c r="F137" s="56">
        <v>9544</v>
      </c>
      <c r="G137" s="119">
        <v>0.25</v>
      </c>
      <c r="H137" s="86"/>
      <c r="I137" s="63">
        <f>J81</f>
        <v>0</v>
      </c>
      <c r="J137" s="56" t="e">
        <f t="shared" si="5"/>
        <v>#DIV/0!</v>
      </c>
      <c r="K137" s="56">
        <f t="shared" si="6"/>
        <v>37278.864000000001</v>
      </c>
      <c r="L137" s="87"/>
      <c r="M137" s="17" t="e">
        <f t="shared" si="7"/>
        <v>#DIV/0!</v>
      </c>
      <c r="N137" s="13"/>
    </row>
    <row r="138" spans="1:14" ht="15" hidden="1" thickBot="1">
      <c r="A138" s="217"/>
      <c r="B138" s="218"/>
      <c r="C138" s="218"/>
      <c r="D138" s="218"/>
      <c r="E138" s="219"/>
      <c r="F138" s="56">
        <v>9544</v>
      </c>
      <c r="G138" s="56"/>
      <c r="H138" s="86"/>
      <c r="I138" s="63">
        <f>J81</f>
        <v>0</v>
      </c>
      <c r="J138" s="56" t="e">
        <f t="shared" si="5"/>
        <v>#DIV/0!</v>
      </c>
      <c r="K138" s="56">
        <f t="shared" si="6"/>
        <v>0</v>
      </c>
      <c r="L138" s="87"/>
      <c r="M138" s="17" t="e">
        <f t="shared" si="7"/>
        <v>#DIV/0!</v>
      </c>
      <c r="N138" s="13"/>
    </row>
    <row r="139" spans="1:14" ht="15" hidden="1" thickBot="1">
      <c r="A139" s="217"/>
      <c r="B139" s="218"/>
      <c r="C139" s="218"/>
      <c r="D139" s="218"/>
      <c r="E139" s="219"/>
      <c r="F139" s="56">
        <v>9544</v>
      </c>
      <c r="G139" s="118">
        <v>0.5</v>
      </c>
      <c r="H139" s="86"/>
      <c r="I139" s="63">
        <f>J81</f>
        <v>0</v>
      </c>
      <c r="J139" s="56" t="e">
        <f t="shared" si="5"/>
        <v>#DIV/0!</v>
      </c>
      <c r="K139" s="56">
        <f t="shared" si="6"/>
        <v>74557.728000000003</v>
      </c>
      <c r="L139" s="87"/>
      <c r="M139" s="17" t="e">
        <f t="shared" si="7"/>
        <v>#DIV/0!</v>
      </c>
      <c r="N139" s="13"/>
    </row>
    <row r="140" spans="1:14" ht="15.75" hidden="1" customHeight="1">
      <c r="A140" s="217"/>
      <c r="B140" s="218"/>
      <c r="C140" s="218"/>
      <c r="D140" s="218"/>
      <c r="E140" s="219"/>
      <c r="F140" s="56">
        <v>9544</v>
      </c>
      <c r="G140" s="116">
        <v>1</v>
      </c>
      <c r="H140" s="86"/>
      <c r="I140" s="63">
        <f>J81</f>
        <v>0</v>
      </c>
      <c r="J140" s="56" t="e">
        <f t="shared" si="5"/>
        <v>#DIV/0!</v>
      </c>
      <c r="K140" s="56">
        <f t="shared" si="6"/>
        <v>149115.45600000001</v>
      </c>
      <c r="L140" s="87"/>
      <c r="M140" s="17" t="e">
        <f t="shared" si="7"/>
        <v>#DIV/0!</v>
      </c>
      <c r="N140" s="13"/>
    </row>
    <row r="141" spans="1:14" ht="15" hidden="1" customHeight="1">
      <c r="A141" s="244"/>
      <c r="B141" s="244"/>
      <c r="C141" s="244"/>
      <c r="D141" s="244"/>
      <c r="E141" s="244"/>
      <c r="F141" s="56">
        <v>9544</v>
      </c>
      <c r="G141" s="116">
        <v>1</v>
      </c>
      <c r="H141" s="86"/>
      <c r="I141" s="63">
        <f>J81</f>
        <v>0</v>
      </c>
      <c r="J141" s="56" t="e">
        <f t="shared" si="5"/>
        <v>#DIV/0!</v>
      </c>
      <c r="K141" s="56">
        <f t="shared" si="6"/>
        <v>149115.45600000001</v>
      </c>
      <c r="L141" s="87"/>
      <c r="M141" s="17" t="e">
        <f t="shared" si="7"/>
        <v>#DIV/0!</v>
      </c>
      <c r="N141" s="13"/>
    </row>
    <row r="142" spans="1:14" ht="15" hidden="1" customHeight="1">
      <c r="A142" s="244"/>
      <c r="B142" s="244"/>
      <c r="C142" s="244"/>
      <c r="D142" s="244"/>
      <c r="E142" s="244"/>
      <c r="F142" s="56">
        <v>9544</v>
      </c>
      <c r="G142" s="118">
        <v>5.5</v>
      </c>
      <c r="H142" s="86"/>
      <c r="I142" s="63">
        <f>J81</f>
        <v>0</v>
      </c>
      <c r="J142" s="56" t="e">
        <f t="shared" si="5"/>
        <v>#DIV/0!</v>
      </c>
      <c r="K142" s="56">
        <f t="shared" si="6"/>
        <v>820135.00800000003</v>
      </c>
      <c r="L142" s="87"/>
      <c r="M142" s="17" t="e">
        <f t="shared" si="7"/>
        <v>#DIV/0!</v>
      </c>
      <c r="N142" s="13"/>
    </row>
    <row r="143" spans="1:14" ht="15" hidden="1" customHeight="1">
      <c r="A143" s="244"/>
      <c r="B143" s="244"/>
      <c r="C143" s="244"/>
      <c r="D143" s="244"/>
      <c r="E143" s="244"/>
      <c r="F143" s="56">
        <v>9544</v>
      </c>
      <c r="G143" s="116">
        <v>1</v>
      </c>
      <c r="H143" s="86"/>
      <c r="I143" s="63">
        <f>J81</f>
        <v>0</v>
      </c>
      <c r="J143" s="56" t="e">
        <f t="shared" si="5"/>
        <v>#DIV/0!</v>
      </c>
      <c r="K143" s="56">
        <f t="shared" si="6"/>
        <v>149115.45600000001</v>
      </c>
      <c r="L143" s="87"/>
      <c r="M143" s="17" t="e">
        <f t="shared" si="7"/>
        <v>#DIV/0!</v>
      </c>
      <c r="N143" s="13"/>
    </row>
    <row r="144" spans="1:14" ht="15" hidden="1" customHeight="1">
      <c r="A144" s="244"/>
      <c r="B144" s="244"/>
      <c r="C144" s="244"/>
      <c r="D144" s="244"/>
      <c r="E144" s="244"/>
      <c r="F144" s="56">
        <v>9544</v>
      </c>
      <c r="G144" s="118">
        <v>0.5</v>
      </c>
      <c r="H144" s="86"/>
      <c r="I144" s="63">
        <f>J81</f>
        <v>0</v>
      </c>
      <c r="J144" s="56" t="e">
        <f t="shared" si="5"/>
        <v>#DIV/0!</v>
      </c>
      <c r="K144" s="56">
        <f t="shared" si="6"/>
        <v>74557.728000000003</v>
      </c>
      <c r="L144" s="87"/>
      <c r="M144" s="17" t="e">
        <f t="shared" si="7"/>
        <v>#DIV/0!</v>
      </c>
      <c r="N144" s="13"/>
    </row>
    <row r="145" spans="1:14" ht="15" hidden="1" customHeight="1">
      <c r="A145" s="244"/>
      <c r="B145" s="244"/>
      <c r="C145" s="244"/>
      <c r="D145" s="244"/>
      <c r="E145" s="244"/>
      <c r="F145" s="56">
        <v>9544</v>
      </c>
      <c r="G145" s="118">
        <v>0.5</v>
      </c>
      <c r="H145" s="86"/>
      <c r="I145" s="63">
        <f>J81</f>
        <v>0</v>
      </c>
      <c r="J145" s="56" t="e">
        <f t="shared" si="5"/>
        <v>#DIV/0!</v>
      </c>
      <c r="K145" s="56">
        <f t="shared" si="6"/>
        <v>74557.728000000003</v>
      </c>
      <c r="L145" s="87"/>
      <c r="M145" s="17" t="e">
        <f t="shared" si="7"/>
        <v>#DIV/0!</v>
      </c>
      <c r="N145" s="13"/>
    </row>
    <row r="146" spans="1:14" ht="15" hidden="1" thickBot="1">
      <c r="A146" s="244"/>
      <c r="B146" s="244"/>
      <c r="C146" s="244"/>
      <c r="D146" s="244"/>
      <c r="E146" s="244"/>
      <c r="F146" s="56">
        <v>9544</v>
      </c>
      <c r="G146" s="116">
        <v>1</v>
      </c>
      <c r="H146" s="86"/>
      <c r="I146" s="63">
        <f>J81</f>
        <v>0</v>
      </c>
      <c r="J146" s="56" t="e">
        <f t="shared" si="5"/>
        <v>#DIV/0!</v>
      </c>
      <c r="K146" s="56">
        <f t="shared" si="6"/>
        <v>149115.45600000001</v>
      </c>
      <c r="L146" s="87"/>
      <c r="M146" s="17" t="e">
        <f t="shared" si="7"/>
        <v>#DIV/0!</v>
      </c>
      <c r="N146" s="13"/>
    </row>
    <row r="147" spans="1:14" ht="15.75" hidden="1" customHeight="1">
      <c r="A147" s="244"/>
      <c r="B147" s="244"/>
      <c r="C147" s="244"/>
      <c r="D147" s="244"/>
      <c r="E147" s="244"/>
      <c r="F147" s="56">
        <v>9544</v>
      </c>
      <c r="G147" s="116">
        <v>4</v>
      </c>
      <c r="H147" s="86"/>
      <c r="I147" s="63">
        <f>J81</f>
        <v>0</v>
      </c>
      <c r="J147" s="56" t="e">
        <f t="shared" si="5"/>
        <v>#DIV/0!</v>
      </c>
      <c r="K147" s="56">
        <f t="shared" si="6"/>
        <v>596461.82400000002</v>
      </c>
      <c r="L147" s="87"/>
      <c r="M147" s="17" t="e">
        <f t="shared" si="7"/>
        <v>#DIV/0!</v>
      </c>
      <c r="N147" s="13"/>
    </row>
    <row r="148" spans="1:14" ht="16.5" hidden="1" customHeight="1">
      <c r="A148" s="217"/>
      <c r="B148" s="218"/>
      <c r="C148" s="218"/>
      <c r="D148" s="218"/>
      <c r="E148" s="219"/>
      <c r="F148" s="56">
        <v>9544</v>
      </c>
      <c r="G148" s="116">
        <v>1</v>
      </c>
      <c r="H148" s="86"/>
      <c r="I148" s="63">
        <f>J81</f>
        <v>0</v>
      </c>
      <c r="J148" s="56" t="e">
        <f t="shared" si="5"/>
        <v>#DIV/0!</v>
      </c>
      <c r="K148" s="56">
        <f t="shared" si="6"/>
        <v>149115.45600000001</v>
      </c>
      <c r="L148" s="87"/>
      <c r="M148" s="17" t="e">
        <f t="shared" si="7"/>
        <v>#DIV/0!</v>
      </c>
      <c r="N148" s="13"/>
    </row>
    <row r="149" spans="1:14" ht="16.5" hidden="1" customHeight="1">
      <c r="A149" s="217"/>
      <c r="B149" s="218"/>
      <c r="C149" s="218"/>
      <c r="D149" s="218"/>
      <c r="E149" s="219"/>
      <c r="F149" s="56">
        <v>9544</v>
      </c>
      <c r="G149" s="119">
        <v>1.75</v>
      </c>
      <c r="H149" s="86"/>
      <c r="I149" s="63">
        <f>J81</f>
        <v>0</v>
      </c>
      <c r="J149" s="56" t="e">
        <f t="shared" si="5"/>
        <v>#DIV/0!</v>
      </c>
      <c r="K149" s="56">
        <f t="shared" si="6"/>
        <v>260952.04800000001</v>
      </c>
      <c r="L149" s="87"/>
      <c r="M149" s="17" t="e">
        <f t="shared" si="7"/>
        <v>#DIV/0!</v>
      </c>
      <c r="N149" s="13"/>
    </row>
    <row r="150" spans="1:14" ht="16.5" hidden="1" customHeight="1">
      <c r="A150" s="217"/>
      <c r="B150" s="218"/>
      <c r="C150" s="218"/>
      <c r="D150" s="218"/>
      <c r="E150" s="219"/>
      <c r="F150" s="56">
        <v>9544</v>
      </c>
      <c r="G150" s="63"/>
      <c r="H150" s="86"/>
      <c r="I150" s="63">
        <f>J81</f>
        <v>0</v>
      </c>
      <c r="J150" s="56" t="e">
        <f t="shared" si="5"/>
        <v>#DIV/0!</v>
      </c>
      <c r="K150" s="56">
        <f t="shared" si="6"/>
        <v>0</v>
      </c>
      <c r="L150" s="87"/>
      <c r="M150" s="17" t="e">
        <f t="shared" si="7"/>
        <v>#DIV/0!</v>
      </c>
      <c r="N150" s="13"/>
    </row>
    <row r="151" spans="1:14" ht="16.5" hidden="1" customHeight="1">
      <c r="A151" s="217"/>
      <c r="B151" s="218"/>
      <c r="C151" s="218"/>
      <c r="D151" s="218"/>
      <c r="E151" s="219"/>
      <c r="F151" s="56">
        <v>9544</v>
      </c>
      <c r="G151" s="118">
        <v>0.5</v>
      </c>
      <c r="H151" s="86"/>
      <c r="I151" s="63">
        <f>J81</f>
        <v>0</v>
      </c>
      <c r="J151" s="56" t="e">
        <f t="shared" si="5"/>
        <v>#DIV/0!</v>
      </c>
      <c r="K151" s="56">
        <f t="shared" si="6"/>
        <v>74557.728000000003</v>
      </c>
      <c r="L151" s="87"/>
      <c r="M151" s="17" t="e">
        <f t="shared" si="7"/>
        <v>#DIV/0!</v>
      </c>
      <c r="N151" s="13"/>
    </row>
    <row r="152" spans="1:14" ht="15" hidden="1" customHeight="1">
      <c r="A152" s="217"/>
      <c r="B152" s="218"/>
      <c r="C152" s="218"/>
      <c r="D152" s="218"/>
      <c r="E152" s="219"/>
      <c r="F152" s="56"/>
      <c r="G152" s="56"/>
      <c r="H152" s="56"/>
      <c r="I152" s="56"/>
      <c r="J152" s="56"/>
      <c r="K152" s="56"/>
      <c r="L152" s="87"/>
      <c r="M152" s="17">
        <f t="shared" si="7"/>
        <v>0</v>
      </c>
      <c r="N152" s="13"/>
    </row>
    <row r="153" spans="1:14" ht="15.75" hidden="1" customHeight="1">
      <c r="A153" s="217"/>
      <c r="B153" s="218"/>
      <c r="C153" s="218"/>
      <c r="D153" s="218"/>
      <c r="E153" s="219"/>
      <c r="F153" s="56"/>
      <c r="G153" s="56"/>
      <c r="H153" s="56"/>
      <c r="I153" s="56"/>
      <c r="J153" s="56"/>
      <c r="K153" s="56"/>
      <c r="L153" s="87"/>
      <c r="M153" s="17">
        <f t="shared" si="7"/>
        <v>0</v>
      </c>
      <c r="N153" s="13"/>
    </row>
    <row r="154" spans="1:14" ht="14.25" hidden="1" customHeight="1">
      <c r="A154" s="217"/>
      <c r="B154" s="218"/>
      <c r="C154" s="218"/>
      <c r="D154" s="218"/>
      <c r="E154" s="219"/>
      <c r="F154" s="56"/>
      <c r="G154" s="56"/>
      <c r="H154" s="56"/>
      <c r="I154" s="56"/>
      <c r="J154" s="86">
        <v>105</v>
      </c>
      <c r="K154" s="88">
        <f>I154/J154</f>
        <v>0</v>
      </c>
      <c r="L154" s="87"/>
      <c r="M154" s="44">
        <f t="shared" si="7"/>
        <v>0</v>
      </c>
      <c r="N154" s="13"/>
    </row>
    <row r="155" spans="1:14" ht="15" thickBot="1">
      <c r="A155" s="220" t="s">
        <v>81</v>
      </c>
      <c r="B155" s="220"/>
      <c r="C155" s="220"/>
      <c r="D155" s="220"/>
      <c r="E155" s="220"/>
      <c r="F155" s="120"/>
      <c r="G155" s="171"/>
      <c r="H155" s="171"/>
      <c r="I155" s="146">
        <f>I129</f>
        <v>45794.8</v>
      </c>
      <c r="J155" s="89"/>
      <c r="K155" s="122">
        <f>K129</f>
        <v>3522.6769230769232</v>
      </c>
      <c r="L155" s="87"/>
      <c r="M155" s="24"/>
      <c r="N155" s="13"/>
    </row>
    <row r="156" spans="1:14" ht="24.75" customHeight="1">
      <c r="A156" s="87"/>
      <c r="B156" s="87"/>
      <c r="C156" s="87"/>
      <c r="D156" s="87"/>
      <c r="E156" s="87"/>
      <c r="F156" s="87"/>
      <c r="G156" s="87"/>
      <c r="H156" s="87"/>
      <c r="I156" s="87"/>
      <c r="J156" s="87"/>
      <c r="K156" s="87"/>
      <c r="L156" s="87"/>
      <c r="M156" s="11"/>
      <c r="N156" s="11"/>
    </row>
    <row r="157" spans="1:14" hidden="1">
      <c r="A157" s="221" t="s">
        <v>38</v>
      </c>
      <c r="B157" s="221"/>
      <c r="C157" s="221"/>
      <c r="D157" s="221"/>
      <c r="E157" s="221"/>
      <c r="F157" s="221"/>
      <c r="G157" s="221"/>
      <c r="H157" s="221"/>
      <c r="I157" s="221"/>
      <c r="J157" s="221"/>
      <c r="K157" s="221"/>
      <c r="L157" s="221"/>
      <c r="M157" s="221"/>
      <c r="N157" s="11"/>
    </row>
    <row r="158" spans="1:14" hidden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  <c r="N158" s="11"/>
    </row>
    <row r="159" spans="1:14" ht="42" hidden="1">
      <c r="A159" s="222" t="s">
        <v>39</v>
      </c>
      <c r="B159" s="222"/>
      <c r="C159" s="222"/>
      <c r="D159" s="222"/>
      <c r="E159" s="222"/>
      <c r="F159" s="9" t="s">
        <v>7</v>
      </c>
      <c r="G159" s="9" t="s">
        <v>18</v>
      </c>
      <c r="H159" s="9" t="s">
        <v>19</v>
      </c>
      <c r="I159" s="9" t="s">
        <v>20</v>
      </c>
      <c r="J159" s="9"/>
      <c r="K159" s="9" t="s">
        <v>21</v>
      </c>
      <c r="L159" s="9" t="s">
        <v>22</v>
      </c>
      <c r="M159" s="9" t="s">
        <v>82</v>
      </c>
      <c r="N159" s="11"/>
    </row>
    <row r="160" spans="1:14" hidden="1">
      <c r="A160" s="231" t="s">
        <v>40</v>
      </c>
      <c r="B160" s="231"/>
      <c r="C160" s="231"/>
      <c r="D160" s="231"/>
      <c r="E160" s="231"/>
      <c r="F160" s="12" t="s">
        <v>43</v>
      </c>
      <c r="G160" s="12">
        <v>0</v>
      </c>
      <c r="H160" s="54">
        <f>M86</f>
        <v>0</v>
      </c>
      <c r="I160" s="45">
        <f>J55</f>
        <v>0</v>
      </c>
      <c r="J160" s="45"/>
      <c r="K160" s="12"/>
      <c r="L160" s="12"/>
      <c r="M160" s="12"/>
      <c r="N160" s="11"/>
    </row>
    <row r="161" spans="1:14" hidden="1">
      <c r="A161" s="231" t="s">
        <v>41</v>
      </c>
      <c r="B161" s="231"/>
      <c r="C161" s="231"/>
      <c r="D161" s="231"/>
      <c r="E161" s="231"/>
      <c r="F161" s="12" t="s">
        <v>44</v>
      </c>
      <c r="G161" s="12">
        <v>0</v>
      </c>
      <c r="H161" s="54">
        <f>M86</f>
        <v>0</v>
      </c>
      <c r="I161" s="45">
        <f>J55</f>
        <v>0</v>
      </c>
      <c r="J161" s="45"/>
      <c r="K161" s="12"/>
      <c r="L161" s="12"/>
      <c r="M161" s="12"/>
      <c r="N161" s="11"/>
    </row>
    <row r="162" spans="1:14" hidden="1">
      <c r="A162" s="231" t="s">
        <v>42</v>
      </c>
      <c r="B162" s="231"/>
      <c r="C162" s="231"/>
      <c r="D162" s="231"/>
      <c r="E162" s="231"/>
      <c r="F162" s="12" t="s">
        <v>44</v>
      </c>
      <c r="G162" s="12">
        <v>0</v>
      </c>
      <c r="H162" s="54">
        <f>M86</f>
        <v>0</v>
      </c>
      <c r="I162" s="45">
        <f>J55</f>
        <v>0</v>
      </c>
      <c r="J162" s="45"/>
      <c r="K162" s="12"/>
      <c r="L162" s="12"/>
      <c r="M162" s="12"/>
      <c r="N162" s="11"/>
    </row>
    <row r="163" spans="1:14" hidden="1">
      <c r="A163" s="232" t="s">
        <v>45</v>
      </c>
      <c r="B163" s="233"/>
      <c r="C163" s="233"/>
      <c r="D163" s="233"/>
      <c r="E163" s="233"/>
      <c r="F163" s="233"/>
      <c r="G163" s="233"/>
      <c r="H163" s="233"/>
      <c r="I163" s="233"/>
      <c r="J163" s="233"/>
      <c r="K163" s="233"/>
      <c r="L163" s="234"/>
      <c r="M163" s="58">
        <f>M160+M161+M162</f>
        <v>0</v>
      </c>
      <c r="N163" s="11"/>
    </row>
    <row r="164" spans="1:14" hidden="1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1"/>
    </row>
    <row r="165" spans="1:14" hidden="1">
      <c r="A165" s="223" t="s">
        <v>93</v>
      </c>
      <c r="B165" s="224"/>
      <c r="C165" s="224"/>
      <c r="D165" s="224"/>
      <c r="E165" s="224"/>
      <c r="F165" s="224"/>
      <c r="G165" s="224"/>
      <c r="H165" s="224"/>
      <c r="I165" s="224"/>
      <c r="J165" s="224"/>
      <c r="K165" s="224"/>
      <c r="L165" s="224"/>
      <c r="M165" s="11"/>
      <c r="N165" s="11"/>
    </row>
    <row r="166" spans="1:14" hidden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  <c r="N166" s="11"/>
    </row>
    <row r="167" spans="1:14" ht="55.8" hidden="1">
      <c r="A167" s="214" t="s">
        <v>66</v>
      </c>
      <c r="B167" s="215"/>
      <c r="C167" s="215"/>
      <c r="D167" s="215"/>
      <c r="E167" s="216"/>
      <c r="F167" s="9" t="s">
        <v>7</v>
      </c>
      <c r="G167" s="9" t="s">
        <v>18</v>
      </c>
      <c r="H167" s="37" t="s">
        <v>22</v>
      </c>
      <c r="I167" s="9" t="s">
        <v>82</v>
      </c>
      <c r="J167" s="37" t="s">
        <v>78</v>
      </c>
      <c r="K167" s="37" t="s">
        <v>73</v>
      </c>
      <c r="L167" s="11"/>
      <c r="M167" s="11"/>
      <c r="N167" s="11"/>
    </row>
    <row r="168" spans="1:14" hidden="1">
      <c r="A168" s="225">
        <v>1</v>
      </c>
      <c r="B168" s="226"/>
      <c r="C168" s="226"/>
      <c r="D168" s="226"/>
      <c r="E168" s="227"/>
      <c r="F168" s="37">
        <v>2</v>
      </c>
      <c r="G168" s="37">
        <v>3</v>
      </c>
      <c r="H168" s="37">
        <v>4</v>
      </c>
      <c r="I168" s="37">
        <v>5</v>
      </c>
      <c r="J168" s="38">
        <v>6</v>
      </c>
      <c r="K168" s="54">
        <v>7</v>
      </c>
      <c r="L168" s="11"/>
      <c r="M168" s="11"/>
      <c r="N168" s="11"/>
    </row>
    <row r="169" spans="1:14" hidden="1">
      <c r="A169" s="228" t="s">
        <v>95</v>
      </c>
      <c r="B169" s="229"/>
      <c r="C169" s="229"/>
      <c r="D169" s="229"/>
      <c r="E169" s="230"/>
      <c r="F169" s="17"/>
      <c r="G169" s="18"/>
      <c r="H169" s="17"/>
      <c r="I169" s="17"/>
      <c r="J169" s="18">
        <v>30</v>
      </c>
      <c r="K169" s="10">
        <f>I169/J169</f>
        <v>0</v>
      </c>
      <c r="L169" s="11"/>
      <c r="M169" s="11"/>
      <c r="N169" s="11"/>
    </row>
    <row r="170" spans="1:14" ht="15" hidden="1" thickBot="1">
      <c r="A170" s="69" t="s">
        <v>94</v>
      </c>
      <c r="B170" s="70"/>
      <c r="C170" s="70"/>
      <c r="D170" s="70"/>
      <c r="E170" s="70"/>
      <c r="F170" s="70"/>
      <c r="G170" s="70"/>
      <c r="H170" s="70"/>
      <c r="I170" s="59">
        <f>I169</f>
        <v>0</v>
      </c>
      <c r="J170" s="60"/>
      <c r="K170" s="61">
        <f>K169</f>
        <v>0</v>
      </c>
      <c r="L170" s="11"/>
      <c r="M170" s="11"/>
      <c r="N170" s="11"/>
    </row>
    <row r="171" spans="1:14" hidden="1">
      <c r="A171" s="213" t="s">
        <v>65</v>
      </c>
      <c r="B171" s="213"/>
      <c r="C171" s="213"/>
      <c r="D171" s="213"/>
      <c r="E171" s="213"/>
      <c r="F171" s="213"/>
      <c r="G171" s="213"/>
      <c r="H171" s="213"/>
      <c r="I171" s="213"/>
      <c r="J171" s="213"/>
      <c r="K171" s="213"/>
      <c r="L171" s="213"/>
      <c r="M171" s="213"/>
      <c r="N171" s="11"/>
    </row>
    <row r="172" spans="1:14" hidden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  <c r="N172" s="11"/>
    </row>
    <row r="173" spans="1:14" hidden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  <c r="N173" s="11"/>
    </row>
    <row r="174" spans="1:14" hidden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  <c r="N174" s="11"/>
    </row>
    <row r="175" spans="1:14" hidden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</row>
    <row r="176" spans="1:14" ht="55.8" hidden="1">
      <c r="A176" s="214" t="s">
        <v>66</v>
      </c>
      <c r="B176" s="215"/>
      <c r="C176" s="215"/>
      <c r="D176" s="215"/>
      <c r="E176" s="216"/>
      <c r="F176" s="9" t="s">
        <v>7</v>
      </c>
      <c r="G176" s="9" t="s">
        <v>18</v>
      </c>
      <c r="H176" s="37" t="s">
        <v>22</v>
      </c>
      <c r="I176" s="9" t="s">
        <v>82</v>
      </c>
      <c r="J176" s="9" t="s">
        <v>105</v>
      </c>
      <c r="K176" s="9" t="s">
        <v>106</v>
      </c>
      <c r="L176" s="11"/>
      <c r="M176" s="11"/>
      <c r="N176" s="11"/>
    </row>
    <row r="177" spans="1:14" hidden="1">
      <c r="A177" s="225">
        <v>1</v>
      </c>
      <c r="B177" s="226"/>
      <c r="C177" s="226"/>
      <c r="D177" s="226"/>
      <c r="E177" s="227"/>
      <c r="F177" s="37">
        <v>2</v>
      </c>
      <c r="G177" s="37">
        <v>3</v>
      </c>
      <c r="H177" s="37">
        <v>4</v>
      </c>
      <c r="I177" s="37">
        <v>5</v>
      </c>
      <c r="J177" s="38">
        <v>6</v>
      </c>
      <c r="K177" s="54">
        <v>7</v>
      </c>
      <c r="L177" s="11"/>
      <c r="M177" s="62"/>
      <c r="N177" s="11"/>
    </row>
    <row r="178" spans="1:14" hidden="1">
      <c r="A178" s="228" t="s">
        <v>68</v>
      </c>
      <c r="B178" s="229"/>
      <c r="C178" s="229"/>
      <c r="D178" s="229"/>
      <c r="E178" s="230"/>
      <c r="F178" s="17" t="s">
        <v>31</v>
      </c>
      <c r="G178" s="18">
        <v>0</v>
      </c>
      <c r="H178" s="17"/>
      <c r="I178" s="17">
        <f>J55</f>
        <v>0</v>
      </c>
      <c r="J178" s="24"/>
      <c r="K178" s="11"/>
      <c r="L178" s="11"/>
      <c r="M178" s="46">
        <f>J178*H178</f>
        <v>0</v>
      </c>
      <c r="N178" s="11"/>
    </row>
    <row r="179" spans="1:14" hidden="1">
      <c r="A179" s="228" t="s">
        <v>69</v>
      </c>
      <c r="B179" s="229"/>
      <c r="C179" s="229"/>
      <c r="D179" s="229"/>
      <c r="E179" s="230"/>
      <c r="F179" s="17" t="s">
        <v>31</v>
      </c>
      <c r="G179" s="18">
        <v>0</v>
      </c>
      <c r="H179" s="17"/>
      <c r="I179" s="17">
        <f>J55</f>
        <v>0</v>
      </c>
      <c r="J179" s="24"/>
      <c r="K179" s="11"/>
      <c r="L179" s="11"/>
      <c r="M179" s="17"/>
      <c r="N179" s="11"/>
    </row>
    <row r="180" spans="1:14" hidden="1">
      <c r="A180" s="228" t="s">
        <v>70</v>
      </c>
      <c r="B180" s="229"/>
      <c r="C180" s="229"/>
      <c r="D180" s="229"/>
      <c r="E180" s="230"/>
      <c r="F180" s="17" t="s">
        <v>91</v>
      </c>
      <c r="G180" s="63"/>
      <c r="H180" s="17"/>
      <c r="I180" s="43"/>
      <c r="J180" s="86">
        <v>3260</v>
      </c>
      <c r="K180" s="64">
        <f>I180/J180</f>
        <v>0</v>
      </c>
      <c r="L180" s="11"/>
      <c r="M180" s="11"/>
      <c r="N180" s="11"/>
    </row>
    <row r="181" spans="1:14" ht="15" hidden="1" thickBot="1">
      <c r="A181" s="69" t="s">
        <v>67</v>
      </c>
      <c r="B181" s="70"/>
      <c r="C181" s="70"/>
      <c r="D181" s="70"/>
      <c r="E181" s="70"/>
      <c r="F181" s="70"/>
      <c r="G181" s="70"/>
      <c r="H181" s="70"/>
      <c r="I181" s="59">
        <f>I180</f>
        <v>0</v>
      </c>
      <c r="J181" s="57"/>
      <c r="K181" s="48">
        <f>K180</f>
        <v>0</v>
      </c>
      <c r="L181" s="11"/>
      <c r="M181" s="11"/>
      <c r="N181" s="11"/>
    </row>
    <row r="182" spans="1:14">
      <c r="A182" s="76"/>
      <c r="B182" s="76"/>
      <c r="C182" s="76"/>
      <c r="D182" s="76"/>
      <c r="E182" s="76"/>
      <c r="F182" s="76"/>
      <c r="G182" s="76"/>
      <c r="H182" s="76"/>
      <c r="I182" s="52"/>
      <c r="J182" s="78"/>
      <c r="K182" s="53"/>
      <c r="L182" s="11"/>
      <c r="M182" s="11"/>
      <c r="N182" s="11"/>
    </row>
    <row r="183" spans="1:14">
      <c r="A183" s="11"/>
      <c r="B183" s="11"/>
      <c r="C183" s="11"/>
      <c r="D183" s="11"/>
      <c r="E183" s="11"/>
      <c r="F183" s="11"/>
      <c r="G183" s="11"/>
      <c r="H183" s="11"/>
      <c r="I183" s="13"/>
      <c r="J183" s="13"/>
      <c r="K183" s="13"/>
      <c r="L183" s="11"/>
      <c r="M183" s="11"/>
      <c r="N183" s="11"/>
    </row>
    <row r="184" spans="1:14">
      <c r="A184" s="238" t="s">
        <v>101</v>
      </c>
      <c r="B184" s="238"/>
      <c r="C184" s="238"/>
      <c r="D184" s="238"/>
      <c r="E184" s="238"/>
      <c r="F184" s="238"/>
      <c r="G184" s="238"/>
      <c r="H184" s="238"/>
      <c r="I184" s="238"/>
      <c r="J184" s="238"/>
      <c r="K184" s="238"/>
      <c r="L184" s="238"/>
      <c r="M184" s="11"/>
      <c r="N184" s="11"/>
    </row>
    <row r="185" spans="1:14" ht="55.8">
      <c r="A185" s="214" t="s">
        <v>102</v>
      </c>
      <c r="B185" s="215"/>
      <c r="C185" s="215"/>
      <c r="D185" s="215"/>
      <c r="E185" s="216"/>
      <c r="F185" s="170" t="s">
        <v>7</v>
      </c>
      <c r="G185" s="170" t="s">
        <v>90</v>
      </c>
      <c r="H185" s="170" t="s">
        <v>71</v>
      </c>
      <c r="I185" s="170" t="s">
        <v>82</v>
      </c>
      <c r="J185" s="9" t="s">
        <v>105</v>
      </c>
      <c r="K185" s="9" t="s">
        <v>135</v>
      </c>
      <c r="L185" s="73"/>
      <c r="M185" s="11"/>
      <c r="N185" s="11"/>
    </row>
    <row r="186" spans="1:14" ht="20.25" customHeight="1">
      <c r="A186" s="244" t="s">
        <v>179</v>
      </c>
      <c r="B186" s="244"/>
      <c r="C186" s="244"/>
      <c r="D186" s="244"/>
      <c r="E186" s="244"/>
      <c r="F186" s="77"/>
      <c r="G186" s="115">
        <v>70</v>
      </c>
      <c r="H186" s="150">
        <v>150</v>
      </c>
      <c r="I186" s="82">
        <f>10500*1.3%</f>
        <v>136.5</v>
      </c>
      <c r="J186" s="86">
        <v>13</v>
      </c>
      <c r="K186" s="40">
        <f>I186/J186</f>
        <v>10.5</v>
      </c>
      <c r="L186" s="26"/>
      <c r="M186" s="11"/>
      <c r="N186" s="11"/>
    </row>
    <row r="187" spans="1:14">
      <c r="A187" s="250" t="s">
        <v>180</v>
      </c>
      <c r="B187" s="253"/>
      <c r="C187" s="253"/>
      <c r="D187" s="253"/>
      <c r="E187" s="254"/>
      <c r="F187" s="10"/>
      <c r="G187" s="10"/>
      <c r="H187" s="10"/>
      <c r="I187" s="85">
        <f>1440*1.3%</f>
        <v>18.720000000000002</v>
      </c>
      <c r="J187" s="86">
        <v>13</v>
      </c>
      <c r="K187" s="40">
        <f>I187/J187</f>
        <v>1.4400000000000002</v>
      </c>
      <c r="L187" s="11"/>
      <c r="M187" s="11"/>
      <c r="N187" s="11"/>
    </row>
    <row r="188" spans="1:14" ht="15" thickBot="1">
      <c r="A188" s="241" t="s">
        <v>94</v>
      </c>
      <c r="B188" s="241"/>
      <c r="C188" s="241"/>
      <c r="D188" s="241"/>
      <c r="E188" s="241"/>
      <c r="F188" s="242"/>
      <c r="G188" s="242"/>
      <c r="H188" s="243"/>
      <c r="I188" s="176">
        <f>I186+I187</f>
        <v>155.22</v>
      </c>
      <c r="J188" s="177"/>
      <c r="K188" s="207">
        <f>SUM(K186:K187)</f>
        <v>11.94</v>
      </c>
      <c r="L188" s="11"/>
      <c r="M188" s="11"/>
      <c r="N188" s="90">
        <f>I188/88.1%</f>
        <v>176.1861520998865</v>
      </c>
    </row>
    <row r="189" spans="1:14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  <c r="N189" s="11"/>
    </row>
    <row r="190" spans="1:14">
      <c r="A190" s="245" t="s">
        <v>136</v>
      </c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38"/>
      <c r="M190" s="11"/>
      <c r="N190" s="13"/>
    </row>
    <row r="191" spans="1:14" ht="55.8">
      <c r="A191" s="222" t="s">
        <v>134</v>
      </c>
      <c r="B191" s="222"/>
      <c r="C191" s="222"/>
      <c r="D191" s="222"/>
      <c r="E191" s="222"/>
      <c r="F191" s="111" t="s">
        <v>7</v>
      </c>
      <c r="G191" s="111" t="s">
        <v>90</v>
      </c>
      <c r="H191" s="111" t="s">
        <v>71</v>
      </c>
      <c r="I191" s="111" t="s">
        <v>82</v>
      </c>
      <c r="J191" s="9" t="s">
        <v>105</v>
      </c>
      <c r="K191" s="9" t="s">
        <v>135</v>
      </c>
      <c r="L191" s="73"/>
      <c r="M191" s="11"/>
      <c r="N191" s="13"/>
    </row>
    <row r="192" spans="1:14" ht="24.75" customHeight="1">
      <c r="A192" s="317" t="s">
        <v>139</v>
      </c>
      <c r="B192" s="341"/>
      <c r="C192" s="341"/>
      <c r="D192" s="341"/>
      <c r="E192" s="342"/>
      <c r="F192" s="10" t="s">
        <v>44</v>
      </c>
      <c r="G192" s="158"/>
      <c r="H192" s="158"/>
      <c r="I192" s="161">
        <v>10000</v>
      </c>
      <c r="J192" s="86">
        <v>13</v>
      </c>
      <c r="K192" s="110">
        <f>I192/J192</f>
        <v>769.23076923076928</v>
      </c>
      <c r="L192" s="73"/>
      <c r="M192" s="11"/>
      <c r="N192" s="13"/>
    </row>
    <row r="193" spans="1:19" ht="28.5" customHeight="1" thickBot="1">
      <c r="A193" s="317" t="s">
        <v>151</v>
      </c>
      <c r="B193" s="318"/>
      <c r="C193" s="318"/>
      <c r="D193" s="318"/>
      <c r="E193" s="319"/>
      <c r="F193" s="10" t="s">
        <v>44</v>
      </c>
      <c r="G193" s="138"/>
      <c r="H193" s="138"/>
      <c r="I193" s="169">
        <v>1529335.75</v>
      </c>
      <c r="J193" s="86">
        <v>13</v>
      </c>
      <c r="K193" s="20">
        <f>I193/J193</f>
        <v>117641.21153846153</v>
      </c>
      <c r="L193" s="135"/>
      <c r="M193" s="135"/>
      <c r="N193" s="136"/>
      <c r="O193" s="137"/>
      <c r="P193" s="22"/>
      <c r="Q193" s="39"/>
      <c r="R193" s="11"/>
      <c r="S193" s="13"/>
    </row>
    <row r="194" spans="1:19" ht="30" hidden="1" customHeight="1" thickBot="1">
      <c r="A194" s="343"/>
      <c r="B194" s="344"/>
      <c r="C194" s="344"/>
      <c r="D194" s="344"/>
      <c r="E194" s="345"/>
      <c r="F194" s="10" t="s">
        <v>44</v>
      </c>
      <c r="G194" s="124"/>
      <c r="H194" s="125"/>
      <c r="I194" s="139"/>
      <c r="J194" s="86">
        <v>9</v>
      </c>
      <c r="K194" s="133">
        <f>I194/J194</f>
        <v>0</v>
      </c>
      <c r="L194" s="74"/>
      <c r="M194" s="11"/>
      <c r="N194" s="13"/>
    </row>
    <row r="195" spans="1:19" ht="15" thickBot="1">
      <c r="A195" s="239"/>
      <c r="B195" s="240"/>
      <c r="C195" s="240"/>
      <c r="D195" s="240"/>
      <c r="E195" s="240"/>
      <c r="F195" s="240"/>
      <c r="G195" s="240"/>
      <c r="H195" s="240"/>
      <c r="I195" s="131">
        <f>I192+N193+I194+I193</f>
        <v>1539335.75</v>
      </c>
      <c r="J195" s="128"/>
      <c r="K195" s="134">
        <f>K192+P193+K194+K193</f>
        <v>118410.4423076923</v>
      </c>
      <c r="L195" s="26"/>
      <c r="M195" s="11"/>
      <c r="N195" s="13"/>
    </row>
    <row r="196" spans="1:19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  <c r="N196" s="13"/>
    </row>
    <row r="197" spans="1:19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</row>
    <row r="198" spans="1:19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  <c r="N198" s="11"/>
    </row>
    <row r="199" spans="1:19">
      <c r="A199" s="221" t="s">
        <v>46</v>
      </c>
      <c r="B199" s="221"/>
      <c r="C199" s="221"/>
      <c r="D199" s="221"/>
      <c r="E199" s="221"/>
      <c r="F199" s="221"/>
      <c r="G199" s="221"/>
      <c r="H199" s="221"/>
      <c r="I199" s="221"/>
      <c r="J199" s="221"/>
      <c r="K199" s="221"/>
      <c r="L199" s="221"/>
      <c r="M199" s="221"/>
      <c r="N199" s="11"/>
    </row>
    <row r="200" spans="1:19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1"/>
    </row>
    <row r="201" spans="1:19" ht="47.25" customHeight="1">
      <c r="A201" s="237" t="s">
        <v>47</v>
      </c>
      <c r="B201" s="237"/>
      <c r="C201" s="237"/>
      <c r="D201" s="222" t="s">
        <v>48</v>
      </c>
      <c r="E201" s="222"/>
      <c r="F201" s="222"/>
      <c r="G201" s="222"/>
      <c r="H201" s="222"/>
      <c r="I201" s="222"/>
      <c r="J201" s="222"/>
      <c r="K201" s="222"/>
      <c r="L201" s="237" t="s">
        <v>58</v>
      </c>
      <c r="M201" s="237"/>
      <c r="N201" s="11"/>
    </row>
    <row r="202" spans="1:19" ht="28.2">
      <c r="A202" s="10" t="s">
        <v>49</v>
      </c>
      <c r="B202" s="9" t="s">
        <v>50</v>
      </c>
      <c r="C202" s="10" t="s">
        <v>51</v>
      </c>
      <c r="D202" s="10" t="s">
        <v>52</v>
      </c>
      <c r="E202" s="10" t="s">
        <v>53</v>
      </c>
      <c r="F202" s="10" t="s">
        <v>137</v>
      </c>
      <c r="G202" s="10" t="s">
        <v>54</v>
      </c>
      <c r="H202" s="10" t="s">
        <v>55</v>
      </c>
      <c r="I202" s="10" t="s">
        <v>56</v>
      </c>
      <c r="J202" s="10" t="s">
        <v>96</v>
      </c>
      <c r="K202" s="10" t="s">
        <v>57</v>
      </c>
      <c r="L202" s="237"/>
      <c r="M202" s="237"/>
      <c r="N202" s="11"/>
    </row>
    <row r="203" spans="1:19">
      <c r="A203" s="17">
        <f>K55</f>
        <v>5387.623076923077</v>
      </c>
      <c r="B203" s="17"/>
      <c r="C203" s="17"/>
      <c r="D203" s="17">
        <f>K95</f>
        <v>425.29999999999995</v>
      </c>
      <c r="E203" s="17">
        <f>K104</f>
        <v>72.7774</v>
      </c>
      <c r="F203" s="17">
        <f>K195</f>
        <v>118410.4423076923</v>
      </c>
      <c r="G203" s="17">
        <f>L122</f>
        <v>60.882600000000011</v>
      </c>
      <c r="H203" s="17">
        <f>K182</f>
        <v>0</v>
      </c>
      <c r="I203" s="17">
        <f>K155</f>
        <v>3522.6769230769232</v>
      </c>
      <c r="J203" s="17">
        <f>K188</f>
        <v>11.94</v>
      </c>
      <c r="K203" s="20">
        <f>J113</f>
        <v>84.000000000000014</v>
      </c>
      <c r="L203" s="235">
        <f>SUM(A203:K203)</f>
        <v>127975.64230769229</v>
      </c>
      <c r="M203" s="236"/>
      <c r="N203" s="13"/>
    </row>
    <row r="204" spans="1:19" ht="15" thickBo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spans="1:19" ht="15" thickBo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N205" s="148">
        <f>L203*13</f>
        <v>1663683.3499999999</v>
      </c>
    </row>
    <row r="206" spans="1:19" ht="15" thickBot="1">
      <c r="A206" s="14" t="s">
        <v>107</v>
      </c>
      <c r="B206" s="14"/>
      <c r="C206" s="14"/>
      <c r="D206" s="11"/>
      <c r="E206" s="11"/>
      <c r="F206" s="11"/>
      <c r="G206" s="11"/>
      <c r="H206" s="11"/>
      <c r="I206" s="11"/>
      <c r="J206" s="13"/>
      <c r="K206" s="145">
        <f>I195+I188+I155+J122+H113+I104+I95+I55</f>
        <v>1663683.35</v>
      </c>
      <c r="L206" s="11"/>
      <c r="M206" s="11"/>
      <c r="N206" s="11"/>
    </row>
    <row r="207" spans="1:19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11"/>
    </row>
    <row r="208" spans="1:19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65"/>
      <c r="L208" s="11"/>
      <c r="M208" s="11"/>
      <c r="N208" s="11"/>
    </row>
    <row r="209" spans="1:14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  <c r="N209" s="11"/>
    </row>
    <row r="210" spans="1:14" ht="18">
      <c r="A210" s="3" t="s">
        <v>108</v>
      </c>
      <c r="B210" s="3"/>
      <c r="C210" s="3"/>
      <c r="G210" s="3" t="s">
        <v>190</v>
      </c>
      <c r="K210" s="141"/>
    </row>
    <row r="218" spans="1:14" ht="15.6">
      <c r="A218" s="7" t="s">
        <v>72</v>
      </c>
      <c r="B218" s="7"/>
    </row>
    <row r="219" spans="1:14" ht="15.6">
      <c r="A219" s="7" t="s">
        <v>181</v>
      </c>
      <c r="B219" s="7"/>
    </row>
    <row r="220" spans="1:14" ht="15.6">
      <c r="A220" s="7" t="s">
        <v>182</v>
      </c>
      <c r="C220" s="7"/>
    </row>
    <row r="221" spans="1:14" ht="15.6">
      <c r="A221" s="2"/>
      <c r="B221" s="2"/>
      <c r="C221" s="2"/>
    </row>
    <row r="222" spans="1:14">
      <c r="H222" s="11">
        <v>9565200</v>
      </c>
      <c r="J222" s="141">
        <f>K206-I195</f>
        <v>124347.60000000009</v>
      </c>
    </row>
    <row r="224" spans="1:14">
      <c r="J224">
        <f>J222/1.3%</f>
        <v>9565200.0000000056</v>
      </c>
    </row>
  </sheetData>
  <mergeCells count="194">
    <mergeCell ref="A17:E17"/>
    <mergeCell ref="G17:L17"/>
    <mergeCell ref="A18:E18"/>
    <mergeCell ref="G18:L18"/>
    <mergeCell ref="A6:C6"/>
    <mergeCell ref="E6:G6"/>
    <mergeCell ref="A8:G8"/>
    <mergeCell ref="A9:H9"/>
    <mergeCell ref="A13:M13"/>
    <mergeCell ref="A15:M15"/>
    <mergeCell ref="A2:D2"/>
    <mergeCell ref="E2:H2"/>
    <mergeCell ref="A3:B3"/>
    <mergeCell ref="E3:F3"/>
    <mergeCell ref="A4:C4"/>
    <mergeCell ref="E4:G4"/>
    <mergeCell ref="J4:M4"/>
    <mergeCell ref="A19:E19"/>
    <mergeCell ref="G19:L19"/>
    <mergeCell ref="A26:E26"/>
    <mergeCell ref="G26:L26"/>
    <mergeCell ref="A27:E27"/>
    <mergeCell ref="G27:L27"/>
    <mergeCell ref="A28:E28"/>
    <mergeCell ref="A29:E29"/>
    <mergeCell ref="A23:E23"/>
    <mergeCell ref="G23:L23"/>
    <mergeCell ref="A24:E24"/>
    <mergeCell ref="G24:L24"/>
    <mergeCell ref="A25:E25"/>
    <mergeCell ref="G25:L25"/>
    <mergeCell ref="G28:L28"/>
    <mergeCell ref="A20:E20"/>
    <mergeCell ref="G20:L20"/>
    <mergeCell ref="A21:E21"/>
    <mergeCell ref="G21:L21"/>
    <mergeCell ref="A22:E22"/>
    <mergeCell ref="G22:L22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48:M48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45:E45"/>
    <mergeCell ref="G45:L45"/>
    <mergeCell ref="A63:E63"/>
    <mergeCell ref="A64:E64"/>
    <mergeCell ref="A65:E65"/>
    <mergeCell ref="A66:E66"/>
    <mergeCell ref="A67:E67"/>
    <mergeCell ref="A68:E68"/>
    <mergeCell ref="A54:E54"/>
    <mergeCell ref="A55:E55"/>
    <mergeCell ref="A59:M59"/>
    <mergeCell ref="A61:E61"/>
    <mergeCell ref="A62:E62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90:E90"/>
    <mergeCell ref="A91:E91"/>
    <mergeCell ref="A92:E92"/>
    <mergeCell ref="A93:E93"/>
    <mergeCell ref="A94:E94"/>
    <mergeCell ref="A96:M96"/>
    <mergeCell ref="A81:E81"/>
    <mergeCell ref="A82:L82"/>
    <mergeCell ref="A84:M84"/>
    <mergeCell ref="A86:L86"/>
    <mergeCell ref="A88:E88"/>
    <mergeCell ref="A89:E89"/>
    <mergeCell ref="A95:E95"/>
    <mergeCell ref="A109:E109"/>
    <mergeCell ref="A110:E110"/>
    <mergeCell ref="A111:E111"/>
    <mergeCell ref="A112:E112"/>
    <mergeCell ref="A113:E113"/>
    <mergeCell ref="A98:E98"/>
    <mergeCell ref="A99:E99"/>
    <mergeCell ref="A100:E100"/>
    <mergeCell ref="A101:E101"/>
    <mergeCell ref="A103:E103"/>
    <mergeCell ref="A106:M106"/>
    <mergeCell ref="A108:E108"/>
    <mergeCell ref="A122:E122"/>
    <mergeCell ref="A125:M125"/>
    <mergeCell ref="A127:E127"/>
    <mergeCell ref="A116:E116"/>
    <mergeCell ref="A121:E121"/>
    <mergeCell ref="A115:E115"/>
    <mergeCell ref="A118:N118"/>
    <mergeCell ref="A119:E119"/>
    <mergeCell ref="A120:E120"/>
    <mergeCell ref="F122:I122"/>
    <mergeCell ref="A134:E134"/>
    <mergeCell ref="A135:E135"/>
    <mergeCell ref="A136:E136"/>
    <mergeCell ref="A137:E137"/>
    <mergeCell ref="A138:E138"/>
    <mergeCell ref="A139:E139"/>
    <mergeCell ref="A128:E128"/>
    <mergeCell ref="A129:E129"/>
    <mergeCell ref="A130:E130"/>
    <mergeCell ref="A131:E131"/>
    <mergeCell ref="A132:E132"/>
    <mergeCell ref="A133:E133"/>
    <mergeCell ref="A146:E146"/>
    <mergeCell ref="A147:E147"/>
    <mergeCell ref="A148:E148"/>
    <mergeCell ref="A149:E149"/>
    <mergeCell ref="A150:E150"/>
    <mergeCell ref="A151:E151"/>
    <mergeCell ref="A140:E140"/>
    <mergeCell ref="A141:E141"/>
    <mergeCell ref="A142:E142"/>
    <mergeCell ref="A143:E143"/>
    <mergeCell ref="A144:E144"/>
    <mergeCell ref="A145:E145"/>
    <mergeCell ref="A187:E187"/>
    <mergeCell ref="A160:E160"/>
    <mergeCell ref="A161:E161"/>
    <mergeCell ref="A162:E162"/>
    <mergeCell ref="A163:L163"/>
    <mergeCell ref="A165:L165"/>
    <mergeCell ref="A167:E167"/>
    <mergeCell ref="A152:E152"/>
    <mergeCell ref="A153:E153"/>
    <mergeCell ref="A154:E154"/>
    <mergeCell ref="A155:E155"/>
    <mergeCell ref="A157:M157"/>
    <mergeCell ref="A159:E159"/>
    <mergeCell ref="A179:E179"/>
    <mergeCell ref="A180:E180"/>
    <mergeCell ref="A184:L184"/>
    <mergeCell ref="A185:E185"/>
    <mergeCell ref="A186:E186"/>
    <mergeCell ref="A168:E168"/>
    <mergeCell ref="A169:E169"/>
    <mergeCell ref="A171:M171"/>
    <mergeCell ref="A176:E176"/>
    <mergeCell ref="A177:E177"/>
    <mergeCell ref="A178:E178"/>
    <mergeCell ref="A188:H188"/>
    <mergeCell ref="A195:H195"/>
    <mergeCell ref="A199:M199"/>
    <mergeCell ref="A201:C201"/>
    <mergeCell ref="D201:K201"/>
    <mergeCell ref="L201:M202"/>
    <mergeCell ref="L203:M203"/>
    <mergeCell ref="A190:L190"/>
    <mergeCell ref="A191:E191"/>
    <mergeCell ref="A192:E192"/>
    <mergeCell ref="A193:E193"/>
    <mergeCell ref="A194:E194"/>
  </mergeCells>
  <pageMargins left="0.70866141732283472" right="0.70866141732283472" top="0.15" bottom="0.23" header="0.15" footer="0.15"/>
  <pageSetup paperSize="9" scale="60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4:I30"/>
  <sheetViews>
    <sheetView topLeftCell="A7" workbookViewId="0">
      <selection activeCell="D14" sqref="D14"/>
    </sheetView>
  </sheetViews>
  <sheetFormatPr defaultRowHeight="14.4"/>
  <cols>
    <col min="3" max="3" width="15.109375" customWidth="1"/>
    <col min="4" max="4" width="18" bestFit="1" customWidth="1"/>
    <col min="6" max="6" width="13.109375" bestFit="1" customWidth="1"/>
    <col min="8" max="8" width="16.77734375" customWidth="1"/>
  </cols>
  <sheetData>
    <row r="4" spans="2:9" ht="15" thickBot="1"/>
    <row r="5" spans="2:9" ht="18">
      <c r="B5" s="349" t="s">
        <v>158</v>
      </c>
      <c r="C5" s="350"/>
      <c r="D5" s="350"/>
      <c r="E5" s="350"/>
      <c r="F5" s="350"/>
      <c r="G5" s="351"/>
    </row>
    <row r="6" spans="2:9" ht="34.5" customHeight="1">
      <c r="B6" s="346">
        <f>'Работа №1 на 01.01.2021'!K187+'Работа №2 на 01.01.2021'!K213+'Работа №3 на 01.01.2021'!K205+'Работа №4 на 01.01.2021'!K205+'Работа №5 на 01.01.2021'!K206</f>
        <v>12299090.0001</v>
      </c>
      <c r="C6" s="347"/>
      <c r="D6" s="347"/>
      <c r="E6" s="347"/>
      <c r="F6" s="347"/>
      <c r="G6" s="348"/>
    </row>
    <row r="8" spans="2:9" ht="15.6">
      <c r="C8" s="7"/>
      <c r="D8" s="7"/>
      <c r="E8" s="7"/>
      <c r="F8" s="7"/>
      <c r="G8" s="7"/>
      <c r="H8" s="7"/>
      <c r="I8" s="7"/>
    </row>
    <row r="9" spans="2:9" ht="15.6">
      <c r="C9" s="7"/>
      <c r="D9" s="7"/>
      <c r="E9" s="7"/>
      <c r="F9" s="7"/>
      <c r="G9" s="7"/>
      <c r="H9" s="7"/>
      <c r="I9" s="7"/>
    </row>
    <row r="10" spans="2:9" ht="15.6">
      <c r="C10" s="143" t="s">
        <v>152</v>
      </c>
      <c r="D10" s="143"/>
      <c r="E10" s="7"/>
      <c r="F10" s="142">
        <v>9057300</v>
      </c>
      <c r="G10" s="7"/>
      <c r="H10" s="7">
        <v>11804981.960000001</v>
      </c>
      <c r="I10" s="7"/>
    </row>
    <row r="11" spans="2:9">
      <c r="C11" s="140"/>
      <c r="D11" s="140"/>
      <c r="F11" s="141"/>
    </row>
    <row r="12" spans="2:9" ht="15.6">
      <c r="C12" s="153" t="s">
        <v>160</v>
      </c>
      <c r="D12" s="154">
        <f>'Работа №1 на 01.01.2021'!I176</f>
        <v>20000</v>
      </c>
      <c r="E12" s="7"/>
      <c r="H12" s="141">
        <f>H10-D18</f>
        <v>13791.960000000894</v>
      </c>
    </row>
    <row r="13" spans="2:9" ht="15.6">
      <c r="C13" s="153" t="s">
        <v>153</v>
      </c>
      <c r="D13" s="154">
        <f>'Работа №2 на 01.01.2021'!I202</f>
        <v>1016879.25</v>
      </c>
      <c r="E13" s="7"/>
    </row>
    <row r="14" spans="2:9" ht="15.6">
      <c r="C14" s="153" t="s">
        <v>154</v>
      </c>
      <c r="D14" s="154">
        <f>'Работа №3 на 01.01.2021'!I194</f>
        <v>125700</v>
      </c>
      <c r="E14" s="7"/>
    </row>
    <row r="15" spans="2:9" ht="15.6">
      <c r="C15" s="153" t="s">
        <v>155</v>
      </c>
      <c r="D15" s="154">
        <f>'Работа №4 на 01.01.2021'!I194</f>
        <v>31975</v>
      </c>
      <c r="E15" s="7"/>
    </row>
    <row r="16" spans="2:9" ht="15.6">
      <c r="C16" s="153" t="s">
        <v>156</v>
      </c>
      <c r="D16" s="154">
        <f>'Работа №5 на 01.01.2021'!I195</f>
        <v>1539335.75</v>
      </c>
      <c r="E16" s="7"/>
    </row>
    <row r="17" spans="3:7" ht="17.399999999999999">
      <c r="C17" s="155" t="s">
        <v>157</v>
      </c>
      <c r="D17" s="160">
        <f>D12+D13+D14+D15+D16</f>
        <v>2733890</v>
      </c>
    </row>
    <row r="18" spans="3:7" ht="17.399999999999999">
      <c r="C18" s="155" t="s">
        <v>159</v>
      </c>
      <c r="D18" s="156">
        <f>D17+F10</f>
        <v>11791190</v>
      </c>
    </row>
    <row r="21" spans="3:7" ht="15.6">
      <c r="C21" s="352" t="s">
        <v>171</v>
      </c>
      <c r="D21" s="352"/>
      <c r="E21" s="352"/>
      <c r="F21" s="352"/>
    </row>
    <row r="22" spans="3:7" ht="15.6">
      <c r="C22" s="143" t="s">
        <v>152</v>
      </c>
      <c r="D22" s="143"/>
      <c r="E22" s="7"/>
      <c r="F22" s="142">
        <v>7841100</v>
      </c>
      <c r="G22" s="7"/>
    </row>
    <row r="24" spans="3:7" ht="15.6">
      <c r="C24" s="153" t="s">
        <v>160</v>
      </c>
      <c r="D24" s="154">
        <v>20000</v>
      </c>
    </row>
    <row r="25" spans="3:7" ht="15.6">
      <c r="C25" s="153" t="s">
        <v>153</v>
      </c>
      <c r="D25" s="154">
        <v>1066218</v>
      </c>
    </row>
    <row r="26" spans="3:7" ht="15.6">
      <c r="C26" s="153" t="s">
        <v>154</v>
      </c>
      <c r="D26" s="154">
        <v>98500</v>
      </c>
    </row>
    <row r="27" spans="3:7" ht="15.6">
      <c r="C27" s="153" t="s">
        <v>155</v>
      </c>
      <c r="D27" s="154">
        <v>30446</v>
      </c>
    </row>
    <row r="28" spans="3:7" ht="15.6">
      <c r="C28" s="153" t="s">
        <v>156</v>
      </c>
      <c r="D28" s="154">
        <v>1541835</v>
      </c>
    </row>
    <row r="29" spans="3:7" ht="17.399999999999999">
      <c r="C29" s="155" t="s">
        <v>157</v>
      </c>
      <c r="D29" s="160">
        <f>D24+D25+D26+D27+D28</f>
        <v>2756999</v>
      </c>
    </row>
    <row r="30" spans="3:7" ht="17.399999999999999">
      <c r="C30" s="155" t="s">
        <v>159</v>
      </c>
      <c r="D30" s="156">
        <f>D29+F22</f>
        <v>10598099</v>
      </c>
    </row>
  </sheetData>
  <mergeCells count="3">
    <mergeCell ref="B6:G6"/>
    <mergeCell ref="B5:G5"/>
    <mergeCell ref="C21:F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Работа №1 на 01.01.2021</vt:lpstr>
      <vt:lpstr>Работа №2 на 01.01.2021</vt:lpstr>
      <vt:lpstr>Работа №3 на 01.01.2021</vt:lpstr>
      <vt:lpstr>Работа №4 на 01.01.2021</vt:lpstr>
      <vt:lpstr>Работа №5 на 01.01.2021</vt:lpstr>
      <vt:lpstr>свод</vt:lpstr>
      <vt:lpstr>'Работа №1 на 01.01.2021'!Область_печати</vt:lpstr>
      <vt:lpstr>'Работа №2 на 01.01.2021'!Область_печати</vt:lpstr>
      <vt:lpstr>'Работа №3 на 01.01.2021'!Область_печати</vt:lpstr>
      <vt:lpstr>'Работа №4 на 01.01.2021'!Область_печати</vt:lpstr>
      <vt:lpstr>'Работа №5 на 01.01.2021'!Область_печати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2020-12-22T01:00:04Z</dcterms:modified>
</cp:coreProperties>
</file>