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activeTab="1"/>
  </bookViews>
  <sheets>
    <sheet name="СВОД" sheetId="10" r:id="rId1"/>
    <sheet name="Услуга №1 " sheetId="4" r:id="rId2"/>
    <sheet name="Услуга №3" sheetId="14" r:id="rId3"/>
  </sheets>
  <calcPr calcId="162913"/>
</workbook>
</file>

<file path=xl/calcChain.xml><?xml version="1.0" encoding="utf-8"?>
<calcChain xmlns="http://schemas.openxmlformats.org/spreadsheetml/2006/main">
  <c r="I103" i="4" l="1"/>
  <c r="I94" i="14"/>
  <c r="K94" i="14" s="1"/>
  <c r="K95" i="14" s="1"/>
  <c r="J101" i="14" s="1"/>
  <c r="M108" i="4"/>
  <c r="M99" i="4"/>
  <c r="M87" i="4"/>
  <c r="M76" i="4"/>
  <c r="M69" i="4"/>
  <c r="M61" i="4"/>
  <c r="M52" i="4"/>
  <c r="I89" i="14"/>
  <c r="I84" i="14"/>
  <c r="K74" i="14"/>
  <c r="J74" i="14"/>
  <c r="I73" i="14"/>
  <c r="I72" i="14"/>
  <c r="I71" i="14"/>
  <c r="K67" i="14"/>
  <c r="J67" i="14"/>
  <c r="K59" i="14"/>
  <c r="J59" i="14"/>
  <c r="I66" i="14"/>
  <c r="I65" i="14"/>
  <c r="I64" i="14"/>
  <c r="I63" i="14"/>
  <c r="I58" i="14"/>
  <c r="G58" i="14" s="1"/>
  <c r="I57" i="14"/>
  <c r="I56" i="14"/>
  <c r="I55" i="14"/>
  <c r="I54" i="14"/>
  <c r="E114" i="4"/>
  <c r="J108" i="4"/>
  <c r="J95" i="14"/>
  <c r="J94" i="14"/>
  <c r="J90" i="14"/>
  <c r="J89" i="14"/>
  <c r="I90" i="14"/>
  <c r="K89" i="14"/>
  <c r="K90" i="14" s="1"/>
  <c r="K84" i="14"/>
  <c r="K85" i="14" s="1"/>
  <c r="G65" i="14"/>
  <c r="G56" i="14"/>
  <c r="G54" i="14"/>
  <c r="I107" i="4"/>
  <c r="I108" i="4" s="1"/>
  <c r="J107" i="4"/>
  <c r="I98" i="4"/>
  <c r="I86" i="4"/>
  <c r="I75" i="4"/>
  <c r="I74" i="4"/>
  <c r="I73" i="4"/>
  <c r="G66" i="4"/>
  <c r="G67" i="4"/>
  <c r="G68" i="4"/>
  <c r="G65" i="4"/>
  <c r="I68" i="4"/>
  <c r="I67" i="4"/>
  <c r="I66" i="4"/>
  <c r="I65" i="4"/>
  <c r="G57" i="4"/>
  <c r="G58" i="4"/>
  <c r="G59" i="4"/>
  <c r="G60" i="4"/>
  <c r="G56" i="4"/>
  <c r="I61" i="4"/>
  <c r="I60" i="4"/>
  <c r="I59" i="4"/>
  <c r="I58" i="4"/>
  <c r="I57" i="4"/>
  <c r="I56" i="4"/>
  <c r="J60" i="4"/>
  <c r="I52" i="4"/>
  <c r="L17" i="14"/>
  <c r="L16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L33" i="4"/>
  <c r="L18" i="4"/>
  <c r="L17" i="4"/>
  <c r="F33" i="4"/>
  <c r="F32" i="4"/>
  <c r="F31" i="4"/>
  <c r="F30" i="4"/>
  <c r="F29" i="4"/>
  <c r="F28" i="4"/>
  <c r="I95" i="14" l="1"/>
  <c r="I85" i="14"/>
  <c r="I74" i="14"/>
  <c r="L32" i="14"/>
  <c r="G80" i="14" s="1"/>
  <c r="I67" i="14"/>
  <c r="G55" i="14"/>
  <c r="G57" i="14"/>
  <c r="I59" i="14"/>
  <c r="G64" i="14"/>
  <c r="G66" i="14"/>
  <c r="G63" i="14"/>
  <c r="K107" i="4"/>
  <c r="K108" i="4" s="1"/>
  <c r="F32" i="14"/>
  <c r="G51" i="14" s="1"/>
  <c r="I104" i="14" l="1"/>
  <c r="F27" i="4" l="1"/>
  <c r="F26" i="4"/>
  <c r="F25" i="4"/>
  <c r="F24" i="4"/>
  <c r="F23" i="4"/>
  <c r="F22" i="4"/>
  <c r="F21" i="4"/>
  <c r="F20" i="4"/>
  <c r="F19" i="4"/>
  <c r="F18" i="4"/>
  <c r="F17" i="4"/>
  <c r="I80" i="14" l="1"/>
  <c r="G82" i="4" l="1"/>
  <c r="G52" i="4"/>
  <c r="J80" i="14" l="1"/>
  <c r="K80" i="14" s="1"/>
  <c r="I101" i="14" s="1"/>
  <c r="J79" i="14"/>
  <c r="F79" i="14"/>
  <c r="H79" i="14" s="1"/>
  <c r="I79" i="14" s="1"/>
  <c r="F78" i="14"/>
  <c r="H78" i="14" s="1"/>
  <c r="I78" i="14" s="1"/>
  <c r="K78" i="14" s="1"/>
  <c r="F50" i="14"/>
  <c r="H50" i="14" s="1"/>
  <c r="I50" i="14" s="1"/>
  <c r="F49" i="14"/>
  <c r="H49" i="14" s="1"/>
  <c r="I49" i="14" s="1"/>
  <c r="F48" i="14"/>
  <c r="H48" i="14" s="1"/>
  <c r="I48" i="14" s="1"/>
  <c r="F47" i="14"/>
  <c r="H47" i="14" s="1"/>
  <c r="I47" i="14" s="1"/>
  <c r="F46" i="14"/>
  <c r="H46" i="14" s="1"/>
  <c r="I46" i="14" s="1"/>
  <c r="F45" i="14"/>
  <c r="H45" i="14" s="1"/>
  <c r="I45" i="14" s="1"/>
  <c r="F44" i="14"/>
  <c r="H44" i="14" s="1"/>
  <c r="I44" i="14" s="1"/>
  <c r="F43" i="14"/>
  <c r="H43" i="14" s="1"/>
  <c r="I43" i="14" s="1"/>
  <c r="F42" i="14"/>
  <c r="H42" i="14" s="1"/>
  <c r="I42" i="14" s="1"/>
  <c r="F41" i="14"/>
  <c r="H41" i="14" s="1"/>
  <c r="I41" i="14" s="1"/>
  <c r="F40" i="14"/>
  <c r="H40" i="14" s="1"/>
  <c r="I40" i="14" s="1"/>
  <c r="F39" i="14"/>
  <c r="H39" i="14" s="1"/>
  <c r="I39" i="14" s="1"/>
  <c r="F38" i="14"/>
  <c r="H38" i="14" s="1"/>
  <c r="I38" i="14" s="1"/>
  <c r="F37" i="14"/>
  <c r="H37" i="14" s="1"/>
  <c r="I37" i="14" s="1"/>
  <c r="J36" i="14"/>
  <c r="J38" i="14" s="1"/>
  <c r="J40" i="14" s="1"/>
  <c r="J42" i="14" s="1"/>
  <c r="J46" i="14" s="1"/>
  <c r="J48" i="14" s="1"/>
  <c r="J49" i="14" s="1"/>
  <c r="F36" i="14"/>
  <c r="H36" i="14" s="1"/>
  <c r="I36" i="14" s="1"/>
  <c r="I51" i="14"/>
  <c r="J93" i="4"/>
  <c r="J104" i="4"/>
  <c r="J50" i="14" l="1"/>
  <c r="J51" i="14" s="1"/>
  <c r="J54" i="14"/>
  <c r="K38" i="14"/>
  <c r="K79" i="14"/>
  <c r="K40" i="14"/>
  <c r="J39" i="14"/>
  <c r="K39" i="14" s="1"/>
  <c r="K46" i="14"/>
  <c r="K36" i="14"/>
  <c r="K48" i="14"/>
  <c r="K42" i="14"/>
  <c r="K51" i="14"/>
  <c r="A101" i="14" s="1"/>
  <c r="K50" i="14"/>
  <c r="K49" i="14"/>
  <c r="J41" i="14"/>
  <c r="J43" i="14"/>
  <c r="K43" i="14" s="1"/>
  <c r="J45" i="14"/>
  <c r="J47" i="14" s="1"/>
  <c r="K47" i="14" s="1"/>
  <c r="J55" i="14" l="1"/>
  <c r="K54" i="14"/>
  <c r="J44" i="14"/>
  <c r="K44" i="14" s="1"/>
  <c r="J37" i="14"/>
  <c r="K37" i="14" s="1"/>
  <c r="K45" i="14"/>
  <c r="K41" i="14"/>
  <c r="I82" i="4"/>
  <c r="J57" i="14" l="1"/>
  <c r="K55" i="14"/>
  <c r="J63" i="14"/>
  <c r="K63" i="14" s="1"/>
  <c r="J56" i="14"/>
  <c r="H80" i="4"/>
  <c r="J64" i="14" l="1"/>
  <c r="K64" i="14" s="1"/>
  <c r="K56" i="14"/>
  <c r="J58" i="14"/>
  <c r="J65" i="14"/>
  <c r="K65" i="14" s="1"/>
  <c r="K57" i="14"/>
  <c r="I69" i="4"/>
  <c r="D101" i="14" l="1"/>
  <c r="K58" i="14"/>
  <c r="J66" i="14"/>
  <c r="J99" i="4"/>
  <c r="J103" i="4" s="1"/>
  <c r="J87" i="4"/>
  <c r="J82" i="4"/>
  <c r="K82" i="4" s="1"/>
  <c r="J76" i="4"/>
  <c r="J69" i="4"/>
  <c r="J61" i="4"/>
  <c r="J52" i="4"/>
  <c r="J71" i="14" l="1"/>
  <c r="K66" i="14"/>
  <c r="E101" i="14" s="1"/>
  <c r="J92" i="4"/>
  <c r="K92" i="4" s="1"/>
  <c r="K93" i="4" s="1"/>
  <c r="J98" i="4"/>
  <c r="K98" i="4" s="1"/>
  <c r="K99" i="4" s="1"/>
  <c r="K103" i="4"/>
  <c r="K104" i="4" s="1"/>
  <c r="J114" i="4" s="1"/>
  <c r="J72" i="14" l="1"/>
  <c r="K72" i="14" s="1"/>
  <c r="J73" i="14"/>
  <c r="K73" i="14" s="1"/>
  <c r="K71" i="14"/>
  <c r="I104" i="4"/>
  <c r="I99" i="4"/>
  <c r="I93" i="4"/>
  <c r="I117" i="4" l="1"/>
  <c r="A2" i="10" s="1"/>
  <c r="B5" i="10" s="1"/>
  <c r="M104" i="4"/>
  <c r="G101" i="14"/>
  <c r="K101" i="14" s="1"/>
  <c r="L104" i="14" s="1"/>
  <c r="K52" i="4"/>
  <c r="I76" i="4" l="1"/>
  <c r="H81" i="4" l="1"/>
  <c r="I80" i="4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37" i="4"/>
  <c r="I37" i="4" s="1"/>
  <c r="J37" i="4"/>
  <c r="J40" i="4" s="1"/>
  <c r="I81" i="4" l="1"/>
  <c r="J39" i="4"/>
  <c r="J41" i="4" s="1"/>
  <c r="J43" i="4" s="1"/>
  <c r="K40" i="4"/>
  <c r="K37" i="4"/>
  <c r="J44" i="4" l="1"/>
  <c r="K44" i="4" s="1"/>
  <c r="K41" i="4"/>
  <c r="J42" i="4"/>
  <c r="K42" i="4" s="1"/>
  <c r="K39" i="4"/>
  <c r="J46" i="4"/>
  <c r="J47" i="4"/>
  <c r="K43" i="4"/>
  <c r="J38" i="4" l="1"/>
  <c r="K38" i="4" s="1"/>
  <c r="J45" i="4"/>
  <c r="K45" i="4" s="1"/>
  <c r="J48" i="4"/>
  <c r="K46" i="4"/>
  <c r="J49" i="4"/>
  <c r="K47" i="4"/>
  <c r="K48" i="4" l="1"/>
  <c r="J50" i="4"/>
  <c r="K49" i="4"/>
  <c r="K50" i="4" l="1"/>
  <c r="J51" i="4"/>
  <c r="K51" i="4" l="1"/>
  <c r="A114" i="4" s="1"/>
  <c r="J56" i="4"/>
  <c r="J57" i="4" s="1"/>
  <c r="J59" i="4" l="1"/>
  <c r="J67" i="4" s="1"/>
  <c r="J65" i="4"/>
  <c r="J58" i="4"/>
  <c r="J66" i="4" s="1"/>
  <c r="K61" i="4" l="1"/>
  <c r="D114" i="4" s="1"/>
  <c r="K60" i="4" l="1"/>
  <c r="J68" i="4"/>
  <c r="J73" i="4" l="1"/>
  <c r="K68" i="4"/>
  <c r="J75" i="4" l="1"/>
  <c r="K75" i="4" s="1"/>
  <c r="J74" i="4"/>
  <c r="K74" i="4" s="1"/>
  <c r="K67" i="4" l="1"/>
  <c r="K66" i="4"/>
  <c r="K65" i="4"/>
  <c r="K69" i="4" l="1"/>
  <c r="K59" i="4"/>
  <c r="K57" i="4"/>
  <c r="K58" i="4" l="1"/>
  <c r="K56" i="4"/>
  <c r="I87" i="4" l="1"/>
  <c r="J80" i="4" l="1"/>
  <c r="K73" i="4"/>
  <c r="K76" i="4" s="1"/>
  <c r="G114" i="4" s="1"/>
  <c r="J81" i="4" l="1"/>
  <c r="K80" i="4"/>
  <c r="J86" i="4" l="1"/>
  <c r="K81" i="4"/>
  <c r="I114" i="4" s="1"/>
  <c r="K86" i="4" l="1"/>
  <c r="K87" i="4" s="1"/>
  <c r="K114" i="4" s="1"/>
  <c r="L117" i="4" s="1"/>
  <c r="B2" i="10" l="1"/>
</calcChain>
</file>

<file path=xl/sharedStrings.xml><?xml version="1.0" encoding="utf-8"?>
<sst xmlns="http://schemas.openxmlformats.org/spreadsheetml/2006/main" count="361" uniqueCount="114">
  <si>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</si>
  <si>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</si>
  <si>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</si>
  <si>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</si>
  <si>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</si>
  <si>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</si>
  <si>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</si>
  <si>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</si>
  <si>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</si>
  <si>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</si>
  <si>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</si>
  <si>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</si>
  <si>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</si>
  <si>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</si>
  <si>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</si>
  <si>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</si>
  <si>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</si>
  <si>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</si>
  <si>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</si>
  <si>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</si>
  <si>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</si>
  <si>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</si>
  <si>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</si>
  <si>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</si>
  <si>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</si>
  <si>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</si>
  <si>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</si>
  <si>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</si>
  <si>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</si>
  <si>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</si>
  <si>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</si>
  <si>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</si>
  <si>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</si>
  <si>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</si>
  <si>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</si>
  <si>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</si>
  <si>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</si>
  <si>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</si>
  <si>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</si>
  <si>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</si>
  <si>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</si>
  <si>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</si>
  <si>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</si>
  <si>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</si>
  <si>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Тех.обслуживание КТС</t>
  </si>
  <si>
    <t>Зам. директора (по основной деятельности)</t>
  </si>
  <si>
    <t>Заведующий отделом(отдел по финансово-хозяйственной деятельности)</t>
  </si>
  <si>
    <t>Заместитель директора (по основной деятельности)</t>
  </si>
  <si>
    <t>Хормейстер</t>
  </si>
  <si>
    <t>Руководитель студии</t>
  </si>
  <si>
    <t xml:space="preserve">ИСХОДНЫЕ ДАННЫЕ И РЕЗУЛЬТАТЫ РАСЧЕТОВ  МБУК  "КДЦ"ЮБИЛЕЙНЫЙ"г.НАЗАРОВО </t>
  </si>
  <si>
    <t>Утверждаю</t>
  </si>
  <si>
    <t xml:space="preserve">Приказ № ____  от _________________ </t>
  </si>
  <si>
    <t>_______________________ Н.Н.Гурулев</t>
  </si>
  <si>
    <t>Директор МБУК "КДЦ "Юбилейный"</t>
  </si>
  <si>
    <t>8(39155) 7-45-95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</si>
  <si>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</si>
  <si>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</si>
  <si>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</si>
  <si>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</si>
  <si>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</si>
  <si>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</si>
  <si>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Сумма в год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</si>
  <si>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</si>
  <si>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Реагирование на срабатывание средств тревожной сигнализации</t>
  </si>
  <si>
    <t>Затраты на прочие расходы</t>
  </si>
  <si>
    <t>Итого прочие расходы</t>
  </si>
  <si>
    <t>Прочие затраты</t>
  </si>
  <si>
    <t>Контролер билетов</t>
  </si>
  <si>
    <t>Старший администратор</t>
  </si>
  <si>
    <t>Руководитель коллектива</t>
  </si>
  <si>
    <t>Заведующий  отделом( отдел по работе с детьми)</t>
  </si>
  <si>
    <t>Администратор</t>
  </si>
  <si>
    <t>Методист</t>
  </si>
  <si>
    <t>Художественный руководитель</t>
  </si>
  <si>
    <t>Аккомпаниатор</t>
  </si>
  <si>
    <t>Художник-декоратор</t>
  </si>
  <si>
    <t>Кассир билетный</t>
  </si>
  <si>
    <t>Звукорежиссер</t>
  </si>
  <si>
    <t>Итого работники,  связанные с оказанием услуг</t>
  </si>
  <si>
    <t>Затраты на услуги связи</t>
  </si>
  <si>
    <t>Интернет</t>
  </si>
  <si>
    <t>кол-во точек, ед</t>
  </si>
  <si>
    <t>СВОД (рубли)</t>
  </si>
  <si>
    <t>СВОД (норматив)</t>
  </si>
  <si>
    <t xml:space="preserve">ИСХОДНЫЕ ДАННЫЕ И РЕЗУЛЬТАТЫ РАСЧЕТОВ  МБУК  "КДЦ "ЮБИЛЕЙНЫЙ" г.НАЗАРОВО </t>
  </si>
  <si>
    <t>БАЗОВОГО НОРМАТИВА ЗАТРАТ НА ОКАЗАНИЕ МУНИЦИПАЛЬНЫХ УСЛУГ (РАБОТ)</t>
  </si>
  <si>
    <t>Опллата услуг ОПС, автоматического пожаротушения</t>
  </si>
  <si>
    <t>Тех.обслуживание узла учета тепловой энергии</t>
  </si>
  <si>
    <t>ТО системы дымоудаления</t>
  </si>
  <si>
    <t>Услуги междугородней связи</t>
  </si>
  <si>
    <t>Социальные пособия и коипенсация персоналу в денежной форме</t>
  </si>
  <si>
    <t>Компенс.выплата по уходу за ребенком до 3-х лет</t>
  </si>
  <si>
    <t>Итого соц. пособия</t>
  </si>
  <si>
    <t xml:space="preserve">Увеличение стоимости прочих оборотных активов </t>
  </si>
  <si>
    <t>Мероприятия</t>
  </si>
  <si>
    <t>Увеличение стоимости материальных запасов однократного применения</t>
  </si>
  <si>
    <t>Итого прочих активов</t>
  </si>
  <si>
    <t>Призовая продукция</t>
  </si>
  <si>
    <t>Итого призовая продукция</t>
  </si>
  <si>
    <t>Лонская Клавдия Алексеевна</t>
  </si>
  <si>
    <t>Штатное расписание: 21,1 человек</t>
  </si>
  <si>
    <t>Услуга: Организация деятельности клубных формирований и формирований самодеятельного народного творчества</t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</si>
  <si>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"Культурно-досуговый центр «Юбилейный»" г. Назарово Красноярского края</t>
    </r>
  </si>
  <si>
    <r>
      <t xml:space="preserve">Содержание услуги:  </t>
    </r>
    <r>
      <rPr>
        <sz val="11"/>
        <rFont val="Times New Roman"/>
        <family val="1"/>
        <charset val="204"/>
      </rPr>
      <t>Стационар</t>
    </r>
  </si>
  <si>
    <r>
      <t>Наименование показателя объема: 638</t>
    </r>
    <r>
      <rPr>
        <sz val="11"/>
        <rFont val="Times New Roman"/>
        <family val="1"/>
        <charset val="204"/>
      </rPr>
      <t xml:space="preserve"> человек.</t>
    </r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</si>
  <si>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"Культурно-досуговый центр «Юбилейный» г. Назарово Красноярского края</t>
    </r>
  </si>
  <si>
    <r>
      <t xml:space="preserve">Услуга: </t>
    </r>
    <r>
      <rPr>
        <sz val="11"/>
        <rFont val="Times New Roman"/>
        <family val="1"/>
        <charset val="204"/>
      </rPr>
      <t xml:space="preserve"> Организация и проведение мероприятий </t>
    </r>
  </si>
  <si>
    <t xml:space="preserve"> НА 2022г. </t>
  </si>
  <si>
    <r>
      <t xml:space="preserve">Наименование показателя объема: 661 </t>
    </r>
    <r>
      <rPr>
        <sz val="11"/>
        <rFont val="Times New Roman"/>
        <family val="1"/>
        <charset val="204"/>
      </rPr>
      <t>человек</t>
    </r>
  </si>
  <si>
    <t>Аккомпаниатор-концертмейстер</t>
  </si>
  <si>
    <t>Затраты на горюче-смазочные материалы</t>
  </si>
  <si>
    <t>ГСМ</t>
  </si>
  <si>
    <t>С.В. Стукалов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</si>
</sst>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4" fontId="4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/>
    <xf numFmtId="4" fontId="8" fillId="0" borderId="0" xfId="0" applyNumberFormat="1" applyFont="1"/>
    <xf numFmtId="4" fontId="0" fillId="0" borderId="0" xfId="0" applyNumberFormat="1"/>
    <xf numFmtId="4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7" fillId="0" borderId="0" xfId="0" applyNumberFormat="1" applyFont="1" applyBorder="1" applyAlignment="1"/>
    <xf numFmtId="4" fontId="7" fillId="0" borderId="5" xfId="0" applyNumberFormat="1" applyFont="1" applyBorder="1" applyAlignment="1"/>
    <xf numFmtId="4" fontId="2" fillId="0" borderId="0" xfId="0" applyNumberFormat="1" applyFont="1"/>
    <xf numFmtId="4" fontId="2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/>
    </xf>
    <xf numFmtId="4" fontId="7" fillId="0" borderId="0" xfId="0" applyNumberFormat="1" applyFont="1"/>
    <xf numFmtId="4" fontId="8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/>
    <xf numFmtId="4" fontId="8" fillId="0" borderId="6" xfId="0" applyNumberFormat="1" applyFont="1" applyBorder="1"/>
    <xf numFmtId="4" fontId="8" fillId="0" borderId="2" xfId="0" applyNumberFormat="1" applyFont="1" applyFill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4" fontId="6" fillId="0" borderId="1" xfId="0" applyNumberFormat="1" applyFont="1" applyBorder="1"/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8" fillId="0" borderId="0" xfId="0" applyNumberFormat="1" applyFont="1" applyBorder="1" applyAlignment="1">
      <alignment horizontal="center"/>
    </xf>
    <xf numFmtId="4" fontId="8" fillId="0" borderId="0" xfId="0" applyNumberFormat="1" applyFont="1" applyBorder="1"/>
    <xf numFmtId="4" fontId="8" fillId="0" borderId="6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right" wrapText="1"/>
    </xf>
    <xf numFmtId="4" fontId="8" fillId="0" borderId="2" xfId="0" applyNumberFormat="1" applyFont="1" applyBorder="1" applyAlignment="1">
      <alignment wrapText="1"/>
    </xf>
    <xf numFmtId="4" fontId="8" fillId="0" borderId="0" xfId="0" applyNumberFormat="1" applyFont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horizontal="left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 applyBorder="1" applyAlignment="1">
      <alignment horizontal="left"/>
    </xf>
    <xf numFmtId="4" fontId="7" fillId="0" borderId="5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/>
    <xf numFmtId="4" fontId="8" fillId="0" borderId="0" xfId="0" applyNumberFormat="1" applyFont="1" applyAlignment="1"/>
    <xf numFmtId="4" fontId="5" fillId="0" borderId="0" xfId="0" applyNumberFormat="1" applyFont="1"/>
    <xf numFmtId="4" fontId="7" fillId="0" borderId="1" xfId="0" applyNumberFormat="1" applyFont="1" applyBorder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7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/>
    <xf numFmtId="4" fontId="1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/>
    <xf numFmtId="4" fontId="7" fillId="0" borderId="1" xfId="0" applyNumberFormat="1" applyFont="1" applyBorder="1" applyAlignment="1">
      <alignment horizontal="left"/>
    </xf>
    <xf numFmtId="4" fontId="8" fillId="0" borderId="12" xfId="0" applyNumberFormat="1" applyFont="1" applyBorder="1"/>
    <xf numFmtId="4" fontId="7" fillId="0" borderId="11" xfId="0" applyNumberFormat="1" applyFont="1" applyBorder="1"/>
    <xf numFmtId="4" fontId="8" fillId="0" borderId="12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center" wrapText="1"/>
    </xf>
    <xf numFmtId="4" fontId="7" fillId="0" borderId="3" xfId="0" applyNumberFormat="1" applyFont="1" applyBorder="1"/>
    <xf numFmtId="4" fontId="4" fillId="0" borderId="11" xfId="0" applyNumberFormat="1" applyFont="1" applyBorder="1"/>
    <xf numFmtId="4" fontId="6" fillId="0" borderId="1" xfId="0" applyNumberFormat="1" applyFont="1" applyFill="1" applyBorder="1"/>
    <xf numFmtId="4" fontId="6" fillId="0" borderId="1" xfId="0" applyNumberFormat="1" applyFont="1" applyBorder="1" applyAlignment="1">
      <alignment horizontal="center" wrapText="1"/>
    </xf>
    <xf numFmtId="4" fontId="4" fillId="0" borderId="0" xfId="0" applyNumberFormat="1" applyFont="1"/>
    <xf numFmtId="4" fontId="6" fillId="0" borderId="0" xfId="0" applyNumberFormat="1" applyFont="1"/>
    <xf numFmtId="4" fontId="8" fillId="0" borderId="7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wrapText="1"/>
    </xf>
    <xf numFmtId="4" fontId="7" fillId="0" borderId="11" xfId="0" applyNumberFormat="1" applyFont="1" applyBorder="1" applyAlignment="1"/>
    <xf numFmtId="4" fontId="7" fillId="0" borderId="3" xfId="0" applyNumberFormat="1" applyFont="1" applyBorder="1" applyAlignment="1"/>
    <xf numFmtId="4" fontId="8" fillId="0" borderId="7" xfId="0" applyNumberFormat="1" applyFont="1" applyBorder="1"/>
    <xf numFmtId="4" fontId="7" fillId="0" borderId="2" xfId="0" applyNumberFormat="1" applyFont="1" applyBorder="1"/>
    <xf numFmtId="4" fontId="4" fillId="2" borderId="11" xfId="0" applyNumberFormat="1" applyFont="1" applyFill="1" applyBorder="1"/>
    <xf numFmtId="164" fontId="8" fillId="0" borderId="0" xfId="0" applyNumberFormat="1" applyFont="1"/>
    <xf numFmtId="4" fontId="8" fillId="0" borderId="2" xfId="0" applyNumberFormat="1" applyFont="1" applyBorder="1"/>
    <xf numFmtId="4" fontId="8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7" fillId="3" borderId="5" xfId="0" applyNumberFormat="1" applyFont="1" applyFill="1" applyBorder="1" applyAlignment="1">
      <alignment horizontal="center"/>
    </xf>
    <xf numFmtId="4" fontId="7" fillId="3" borderId="0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left" wrapText="1"/>
    </xf>
    <xf numFmtId="4" fontId="7" fillId="3" borderId="0" xfId="0" applyNumberFormat="1" applyFont="1" applyFill="1" applyAlignment="1">
      <alignment horizontal="center"/>
    </xf>
    <xf numFmtId="4" fontId="8" fillId="0" borderId="2" xfId="0" applyNumberFormat="1" applyFont="1" applyBorder="1" applyAlignment="1">
      <alignment horizontal="left" wrapText="1"/>
    </xf>
    <xf numFmtId="4" fontId="8" fillId="0" borderId="3" xfId="0" applyNumberFormat="1" applyFont="1" applyBorder="1" applyAlignment="1">
      <alignment horizontal="left" wrapText="1"/>
    </xf>
    <xf numFmtId="4" fontId="8" fillId="0" borderId="4" xfId="0" applyNumberFormat="1" applyFont="1" applyBorder="1" applyAlignment="1">
      <alignment horizontal="left" wrapText="1"/>
    </xf>
    <xf numFmtId="4" fontId="8" fillId="0" borderId="2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left" wrapText="1"/>
    </xf>
    <xf numFmtId="4" fontId="7" fillId="0" borderId="3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left"/>
    </xf>
    <xf numFmtId="4" fontId="6" fillId="0" borderId="3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6" fillId="0" borderId="2" xfId="0" applyNumberFormat="1" applyFont="1" applyBorder="1" applyAlignment="1">
      <alignment horizontal="left" wrapText="1"/>
    </xf>
    <xf numFmtId="4" fontId="6" fillId="0" borderId="3" xfId="0" applyNumberFormat="1" applyFont="1" applyBorder="1" applyAlignment="1">
      <alignment horizontal="left" wrapText="1"/>
    </xf>
    <xf numFmtId="4" fontId="6" fillId="0" borderId="4" xfId="0" applyNumberFormat="1" applyFont="1" applyBorder="1" applyAlignment="1">
      <alignment horizontal="left" wrapText="1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/>
    <xf numFmtId="4" fontId="1" fillId="0" borderId="0" xfId="0" applyNumberFormat="1" applyFont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2" xfId="0" applyNumberFormat="1" applyFont="1" applyBorder="1"/>
    <xf numFmtId="4" fontId="8" fillId="0" borderId="4" xfId="0" applyNumberFormat="1" applyFont="1" applyBorder="1"/>
    <xf numFmtId="4" fontId="8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left"/>
    </xf>
    <xf numFmtId="4" fontId="8" fillId="0" borderId="7" xfId="0" applyNumberFormat="1" applyFont="1" applyBorder="1" applyAlignment="1">
      <alignment horizontal="center" wrapText="1"/>
    </xf>
    <xf numFmtId="4" fontId="8" fillId="0" borderId="8" xfId="0" applyNumberFormat="1" applyFont="1" applyBorder="1" applyAlignment="1">
      <alignment horizontal="center" wrapText="1"/>
    </xf>
    <xf numFmtId="4" fontId="8" fillId="0" borderId="9" xfId="0" applyNumberFormat="1" applyFont="1" applyBorder="1" applyAlignment="1">
      <alignment horizontal="center" wrapText="1"/>
    </xf>
    <xf numFmtId="4" fontId="8" fillId="0" borderId="1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6" sqref="B6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10" t="s">
        <v>83</v>
      </c>
      <c r="B1" s="10" t="s">
        <v>84</v>
      </c>
    </row>
    <row r="2" spans="1:2" ht="42" customHeight="1" x14ac:dyDescent="0.25">
      <c r="A2" s="11">
        <f>'Услуга №1 '!I117+'Услуга №3'!I104</f>
        <v>9472754.9200000018</v>
      </c>
      <c r="B2" s="11">
        <f>'Услуга №1 '!L117+'Услуга №3'!L104</f>
        <v>9472754.9200000018</v>
      </c>
    </row>
    <row r="4" spans="1:2" x14ac:dyDescent="0.25">
      <c r="A4" s="8">
        <v>9472754.9199999999</v>
      </c>
      <c r="B4" s="8"/>
    </row>
    <row r="5" spans="1:2" x14ac:dyDescent="0.25">
      <c r="A5" s="8"/>
      <c r="B5" s="8">
        <f>A2-A4</f>
        <v>0</v>
      </c>
    </row>
    <row r="6" spans="1:2" x14ac:dyDescent="0.25">
      <c r="A6" s="8"/>
      <c r="B6" s="8"/>
    </row>
    <row r="7" spans="1:2" x14ac:dyDescent="0.25">
      <c r="A7" s="8"/>
      <c r="B7" s="8"/>
    </row>
    <row r="8" spans="1:2" x14ac:dyDescent="0.25">
      <c r="A8" s="8"/>
      <c r="B8" s="8"/>
    </row>
    <row r="9" spans="1:2" x14ac:dyDescent="0.25">
      <c r="A9" s="8"/>
      <c r="B9" s="8"/>
    </row>
    <row r="10" spans="1:2" x14ac:dyDescent="0.25">
      <c r="A10" s="8"/>
      <c r="B10" s="8"/>
    </row>
    <row r="11" spans="1:2" x14ac:dyDescent="0.25">
      <c r="A11" s="8"/>
    </row>
    <row r="13" spans="1:2" x14ac:dyDescent="0.25">
      <c r="A13" s="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1"/>
  <sheetViews>
    <sheetView tabSelected="1" topLeftCell="A52" zoomScale="90" zoomScaleNormal="90" workbookViewId="0">
      <selection activeCell="Q98" sqref="Q98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1.285156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hidden="1" customWidth="1"/>
    <col min="14" max="14" width="11.5703125" style="7" customWidth="1"/>
    <col min="15" max="16384" width="9.140625" style="7"/>
  </cols>
  <sheetData>
    <row r="1" spans="1:12" ht="15.75" x14ac:dyDescent="0.25">
      <c r="A1" s="14" t="s">
        <v>51</v>
      </c>
      <c r="B1" s="14"/>
      <c r="C1" s="14"/>
    </row>
    <row r="2" spans="1:12" ht="15.75" x14ac:dyDescent="0.25">
      <c r="A2" s="15" t="s">
        <v>52</v>
      </c>
      <c r="B2" s="15"/>
      <c r="C2" s="15"/>
    </row>
    <row r="3" spans="1:12" ht="15.75" x14ac:dyDescent="0.25">
      <c r="A3" s="16"/>
      <c r="B3" s="16"/>
      <c r="C3" s="16"/>
    </row>
    <row r="4" spans="1:12" ht="15.75" x14ac:dyDescent="0.25">
      <c r="A4" s="108" t="s">
        <v>53</v>
      </c>
      <c r="B4" s="108"/>
      <c r="C4" s="108"/>
      <c r="D4" s="109"/>
      <c r="E4" s="109"/>
    </row>
    <row r="5" spans="1:12" ht="15.75" x14ac:dyDescent="0.25">
      <c r="A5" s="15"/>
      <c r="B5" s="15"/>
      <c r="C5" s="15"/>
    </row>
    <row r="7" spans="1:12" ht="15.75" x14ac:dyDescent="0.25">
      <c r="A7" s="110" t="s">
        <v>85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ht="15.75" x14ac:dyDescent="0.25">
      <c r="A8" s="110" t="s">
        <v>86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ht="15.75" x14ac:dyDescent="0.25">
      <c r="A9" s="110" t="s">
        <v>108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ht="11.25" customHeight="1" x14ac:dyDescent="0.25"/>
    <row r="11" spans="1:12" x14ac:dyDescent="0.25">
      <c r="A11" s="67" t="s">
        <v>103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x14ac:dyDescent="0.25">
      <c r="A12" s="67" t="s">
        <v>102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x14ac:dyDescent="0.25">
      <c r="A13" s="67" t="s">
        <v>104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x14ac:dyDescent="0.25">
      <c r="A14" s="67" t="s">
        <v>105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68" customFormat="1" x14ac:dyDescent="0.25">
      <c r="A15" s="67" t="s">
        <v>101</v>
      </c>
    </row>
    <row r="16" spans="1:12" ht="33" customHeight="1" x14ac:dyDescent="0.25">
      <c r="A16" s="111" t="s">
        <v>0</v>
      </c>
      <c r="B16" s="111"/>
      <c r="C16" s="111"/>
      <c r="D16" s="111"/>
      <c r="E16" s="111"/>
      <c r="F16" s="66" t="s">
        <v>1</v>
      </c>
      <c r="G16" s="111" t="s">
        <v>2</v>
      </c>
      <c r="H16" s="111"/>
      <c r="I16" s="111"/>
      <c r="J16" s="111"/>
      <c r="K16" s="111"/>
      <c r="L16" s="23" t="s">
        <v>1</v>
      </c>
    </row>
    <row r="17" spans="1:13" ht="30" customHeight="1" x14ac:dyDescent="0.25">
      <c r="A17" s="105" t="s">
        <v>46</v>
      </c>
      <c r="B17" s="106"/>
      <c r="C17" s="106"/>
      <c r="D17" s="106"/>
      <c r="E17" s="107"/>
      <c r="F17" s="23">
        <f>1*49.11%</f>
        <v>0.49109999999999998</v>
      </c>
      <c r="G17" s="98" t="s">
        <v>3</v>
      </c>
      <c r="H17" s="98"/>
      <c r="I17" s="98"/>
      <c r="J17" s="98"/>
      <c r="K17" s="98"/>
      <c r="L17" s="23">
        <f>1*49.11%</f>
        <v>0.49109999999999998</v>
      </c>
      <c r="M17" s="20"/>
    </row>
    <row r="18" spans="1:13" x14ac:dyDescent="0.25">
      <c r="A18" s="97" t="s">
        <v>71</v>
      </c>
      <c r="B18" s="97"/>
      <c r="C18" s="97"/>
      <c r="D18" s="97"/>
      <c r="E18" s="97"/>
      <c r="F18" s="23">
        <f>1*49.11%</f>
        <v>0.49109999999999998</v>
      </c>
      <c r="G18" s="98" t="s">
        <v>47</v>
      </c>
      <c r="H18" s="98"/>
      <c r="I18" s="98"/>
      <c r="J18" s="98"/>
      <c r="K18" s="98"/>
      <c r="L18" s="23">
        <f>1*49.11%</f>
        <v>0.49109999999999998</v>
      </c>
      <c r="M18" s="20"/>
    </row>
    <row r="19" spans="1:13" ht="15" customHeight="1" x14ac:dyDescent="0.25">
      <c r="A19" s="97" t="s">
        <v>74</v>
      </c>
      <c r="B19" s="97"/>
      <c r="C19" s="97"/>
      <c r="D19" s="97"/>
      <c r="E19" s="97"/>
      <c r="F19" s="23">
        <f>1*49.11%</f>
        <v>0.49109999999999998</v>
      </c>
      <c r="G19" s="97"/>
      <c r="H19" s="97"/>
      <c r="I19" s="97"/>
      <c r="J19" s="97"/>
      <c r="K19" s="97"/>
      <c r="L19" s="23"/>
      <c r="M19" s="20"/>
    </row>
    <row r="20" spans="1:13" ht="17.25" customHeight="1" x14ac:dyDescent="0.25">
      <c r="A20" s="97" t="s">
        <v>69</v>
      </c>
      <c r="B20" s="97"/>
      <c r="C20" s="97"/>
      <c r="D20" s="97"/>
      <c r="E20" s="97"/>
      <c r="F20" s="23">
        <f>1*49.11%</f>
        <v>0.49109999999999998</v>
      </c>
      <c r="G20" s="98"/>
      <c r="H20" s="98"/>
      <c r="I20" s="98"/>
      <c r="J20" s="98"/>
      <c r="K20" s="98"/>
      <c r="L20" s="23"/>
      <c r="M20" s="20"/>
    </row>
    <row r="21" spans="1:13" ht="14.25" customHeight="1" x14ac:dyDescent="0.25">
      <c r="A21" s="97" t="s">
        <v>72</v>
      </c>
      <c r="B21" s="97"/>
      <c r="C21" s="97"/>
      <c r="D21" s="97"/>
      <c r="E21" s="97"/>
      <c r="F21" s="23">
        <f>0.5*49.11%</f>
        <v>0.24554999999999999</v>
      </c>
      <c r="G21" s="98"/>
      <c r="H21" s="98"/>
      <c r="I21" s="98"/>
      <c r="J21" s="98"/>
      <c r="K21" s="98"/>
      <c r="L21" s="23"/>
      <c r="M21" s="20"/>
    </row>
    <row r="22" spans="1:13" ht="15" customHeight="1" x14ac:dyDescent="0.25">
      <c r="A22" s="97" t="s">
        <v>76</v>
      </c>
      <c r="B22" s="97"/>
      <c r="C22" s="97"/>
      <c r="D22" s="97"/>
      <c r="E22" s="97"/>
      <c r="F22" s="23">
        <f>1*49.11%</f>
        <v>0.49109999999999998</v>
      </c>
      <c r="G22" s="98"/>
      <c r="H22" s="98"/>
      <c r="I22" s="98"/>
      <c r="J22" s="98"/>
      <c r="K22" s="98"/>
      <c r="L22" s="23"/>
      <c r="M22" s="20"/>
    </row>
    <row r="23" spans="1:13" ht="15" customHeight="1" x14ac:dyDescent="0.25">
      <c r="A23" s="98" t="s">
        <v>41</v>
      </c>
      <c r="B23" s="98"/>
      <c r="C23" s="98"/>
      <c r="D23" s="98"/>
      <c r="E23" s="98"/>
      <c r="F23" s="23">
        <f>0.23*49.11%</f>
        <v>0.112953</v>
      </c>
      <c r="G23" s="98"/>
      <c r="H23" s="98"/>
      <c r="I23" s="98"/>
      <c r="J23" s="98"/>
      <c r="K23" s="98"/>
      <c r="L23" s="23"/>
      <c r="M23" s="20"/>
    </row>
    <row r="24" spans="1:13" x14ac:dyDescent="0.25">
      <c r="A24" s="102" t="s">
        <v>77</v>
      </c>
      <c r="B24" s="103"/>
      <c r="C24" s="103"/>
      <c r="D24" s="103"/>
      <c r="E24" s="104"/>
      <c r="F24" s="23">
        <f>1*49.11%</f>
        <v>0.49109999999999998</v>
      </c>
      <c r="G24" s="98"/>
      <c r="H24" s="98"/>
      <c r="I24" s="98"/>
      <c r="J24" s="98"/>
      <c r="K24" s="98"/>
      <c r="L24" s="65"/>
      <c r="M24" s="20"/>
    </row>
    <row r="25" spans="1:13" x14ac:dyDescent="0.25">
      <c r="A25" s="97" t="s">
        <v>68</v>
      </c>
      <c r="B25" s="97"/>
      <c r="C25" s="97"/>
      <c r="D25" s="97"/>
      <c r="E25" s="97"/>
      <c r="F25" s="23">
        <f>1*49.11%</f>
        <v>0.49109999999999998</v>
      </c>
      <c r="G25" s="97"/>
      <c r="H25" s="97"/>
      <c r="I25" s="97"/>
      <c r="J25" s="97"/>
      <c r="K25" s="97"/>
      <c r="L25" s="23"/>
      <c r="M25" s="20"/>
    </row>
    <row r="26" spans="1:13" ht="15" customHeight="1" x14ac:dyDescent="0.25">
      <c r="A26" s="97" t="s">
        <v>78</v>
      </c>
      <c r="B26" s="97"/>
      <c r="C26" s="97"/>
      <c r="D26" s="97"/>
      <c r="E26" s="97"/>
      <c r="F26" s="23">
        <f>1*49.11%</f>
        <v>0.49109999999999998</v>
      </c>
      <c r="G26" s="97"/>
      <c r="H26" s="97"/>
      <c r="I26" s="97"/>
      <c r="J26" s="97"/>
      <c r="K26" s="97"/>
      <c r="L26" s="23"/>
      <c r="M26" s="20"/>
    </row>
    <row r="27" spans="1:13" ht="15" customHeight="1" x14ac:dyDescent="0.25">
      <c r="A27" s="98" t="s">
        <v>48</v>
      </c>
      <c r="B27" s="98"/>
      <c r="C27" s="98"/>
      <c r="D27" s="98"/>
      <c r="E27" s="98"/>
      <c r="F27" s="23">
        <f>3*49.11%</f>
        <v>1.4733000000000001</v>
      </c>
      <c r="G27" s="97"/>
      <c r="H27" s="97"/>
      <c r="I27" s="97"/>
      <c r="J27" s="97"/>
      <c r="K27" s="97"/>
      <c r="L27" s="23"/>
      <c r="M27" s="20"/>
    </row>
    <row r="28" spans="1:13" x14ac:dyDescent="0.25">
      <c r="A28" s="98" t="s">
        <v>75</v>
      </c>
      <c r="B28" s="98"/>
      <c r="C28" s="98"/>
      <c r="D28" s="98"/>
      <c r="E28" s="98"/>
      <c r="F28" s="23">
        <f>1*49.11%</f>
        <v>0.49109999999999998</v>
      </c>
      <c r="G28" s="98"/>
      <c r="H28" s="98"/>
      <c r="I28" s="98"/>
      <c r="J28" s="98"/>
      <c r="K28" s="98"/>
      <c r="L28" s="65"/>
      <c r="M28" s="20"/>
    </row>
    <row r="29" spans="1:13" x14ac:dyDescent="0.25">
      <c r="A29" s="98" t="s">
        <v>70</v>
      </c>
      <c r="B29" s="98"/>
      <c r="C29" s="98"/>
      <c r="D29" s="98"/>
      <c r="E29" s="98"/>
      <c r="F29" s="23">
        <f>1*49.11%</f>
        <v>0.49109999999999998</v>
      </c>
      <c r="G29" s="97"/>
      <c r="H29" s="97"/>
      <c r="I29" s="97"/>
      <c r="J29" s="97"/>
      <c r="K29" s="97"/>
      <c r="L29" s="23"/>
      <c r="M29" s="20"/>
    </row>
    <row r="30" spans="1:13" ht="15" customHeight="1" x14ac:dyDescent="0.25">
      <c r="A30" s="98" t="s">
        <v>73</v>
      </c>
      <c r="B30" s="98"/>
      <c r="C30" s="98"/>
      <c r="D30" s="98"/>
      <c r="E30" s="98"/>
      <c r="F30" s="23">
        <f>2.87*49.11%</f>
        <v>1.409457</v>
      </c>
      <c r="G30" s="97"/>
      <c r="H30" s="97"/>
      <c r="I30" s="97"/>
      <c r="J30" s="97"/>
      <c r="K30" s="97"/>
      <c r="L30" s="23"/>
      <c r="M30" s="20"/>
    </row>
    <row r="31" spans="1:13" x14ac:dyDescent="0.25">
      <c r="A31" s="98" t="s">
        <v>49</v>
      </c>
      <c r="B31" s="98"/>
      <c r="C31" s="98"/>
      <c r="D31" s="98"/>
      <c r="E31" s="98"/>
      <c r="F31" s="23">
        <f>1.5*49.11%</f>
        <v>0.73665000000000003</v>
      </c>
      <c r="G31" s="97"/>
      <c r="H31" s="97"/>
      <c r="I31" s="97"/>
      <c r="J31" s="97"/>
      <c r="K31" s="97"/>
      <c r="L31" s="23"/>
      <c r="M31" s="20"/>
    </row>
    <row r="32" spans="1:13" ht="15.75" thickBot="1" x14ac:dyDescent="0.3">
      <c r="A32" s="98" t="s">
        <v>110</v>
      </c>
      <c r="B32" s="98"/>
      <c r="C32" s="98"/>
      <c r="D32" s="98"/>
      <c r="E32" s="98"/>
      <c r="F32" s="23">
        <f>1*49.11%</f>
        <v>0.49109999999999998</v>
      </c>
      <c r="G32" s="97"/>
      <c r="H32" s="97"/>
      <c r="I32" s="97"/>
      <c r="J32" s="97"/>
      <c r="K32" s="97"/>
      <c r="L32" s="23"/>
    </row>
    <row r="33" spans="1:13" ht="15.75" thickBot="1" x14ac:dyDescent="0.3">
      <c r="A33" s="99" t="s">
        <v>4</v>
      </c>
      <c r="B33" s="99"/>
      <c r="C33" s="99"/>
      <c r="D33" s="99"/>
      <c r="E33" s="100"/>
      <c r="F33" s="64">
        <f>SUM(F17:F32)</f>
        <v>9.3800099999999986</v>
      </c>
      <c r="G33" s="101" t="s">
        <v>4</v>
      </c>
      <c r="H33" s="99"/>
      <c r="I33" s="99"/>
      <c r="J33" s="99"/>
      <c r="K33" s="100"/>
      <c r="L33" s="64">
        <f>SUM(L17:L32)</f>
        <v>0.98219999999999996</v>
      </c>
      <c r="M33" s="76"/>
    </row>
    <row r="34" spans="1:13" ht="15.75" thickBot="1" x14ac:dyDescent="0.3"/>
    <row r="35" spans="1:13" ht="15.75" thickBot="1" x14ac:dyDescent="0.3">
      <c r="A35" s="17" t="s">
        <v>63</v>
      </c>
      <c r="F35" s="58">
        <v>638</v>
      </c>
    </row>
    <row r="36" spans="1:13" ht="60.75" thickBot="1" x14ac:dyDescent="0.3">
      <c r="A36" s="112" t="s">
        <v>5</v>
      </c>
      <c r="B36" s="113"/>
      <c r="C36" s="113"/>
      <c r="D36" s="113"/>
      <c r="E36" s="114"/>
      <c r="F36" s="62" t="s">
        <v>6</v>
      </c>
      <c r="G36" s="18" t="s">
        <v>1</v>
      </c>
      <c r="H36" s="18" t="s">
        <v>58</v>
      </c>
      <c r="I36" s="18" t="s">
        <v>59</v>
      </c>
      <c r="J36" s="18" t="s">
        <v>60</v>
      </c>
      <c r="K36" s="44" t="s">
        <v>61</v>
      </c>
      <c r="L36" s="31"/>
    </row>
    <row r="37" spans="1:13" ht="30.75" hidden="1" customHeight="1" x14ac:dyDescent="0.25">
      <c r="A37" s="88" t="s">
        <v>46</v>
      </c>
      <c r="B37" s="89"/>
      <c r="C37" s="89"/>
      <c r="D37" s="89"/>
      <c r="E37" s="90"/>
      <c r="F37" s="23">
        <v>11538</v>
      </c>
      <c r="G37" s="9">
        <v>0.1</v>
      </c>
      <c r="H37" s="4">
        <f>G37*F37*12</f>
        <v>13845.599999999999</v>
      </c>
      <c r="I37" s="4">
        <f>H37*1.302</f>
        <v>18026.9712</v>
      </c>
      <c r="J37" s="9">
        <f>F35</f>
        <v>638</v>
      </c>
      <c r="K37" s="9">
        <f>I37/J37</f>
        <v>28.255440752351099</v>
      </c>
      <c r="L37" s="27"/>
    </row>
    <row r="38" spans="1:13" ht="14.25" hidden="1" customHeight="1" x14ac:dyDescent="0.25">
      <c r="A38" s="80" t="s">
        <v>71</v>
      </c>
      <c r="B38" s="80"/>
      <c r="C38" s="80"/>
      <c r="D38" s="80"/>
      <c r="E38" s="80"/>
      <c r="F38" s="23">
        <v>11538</v>
      </c>
      <c r="G38" s="9">
        <v>0.1</v>
      </c>
      <c r="H38" s="4">
        <f t="shared" ref="H38:H51" si="0">G38*F38*12</f>
        <v>13845.599999999999</v>
      </c>
      <c r="I38" s="4">
        <f t="shared" ref="I38:I51" si="1">H38*1.302</f>
        <v>18026.9712</v>
      </c>
      <c r="J38" s="9">
        <f>J42</f>
        <v>638</v>
      </c>
      <c r="K38" s="9">
        <f t="shared" ref="K38:K51" si="2">I38/J38</f>
        <v>28.255440752351099</v>
      </c>
      <c r="L38" s="27"/>
    </row>
    <row r="39" spans="1:13" ht="14.25" hidden="1" customHeight="1" x14ac:dyDescent="0.25">
      <c r="A39" s="80" t="s">
        <v>74</v>
      </c>
      <c r="B39" s="80"/>
      <c r="C39" s="80"/>
      <c r="D39" s="80"/>
      <c r="E39" s="80"/>
      <c r="F39" s="9">
        <v>11538</v>
      </c>
      <c r="G39" s="9">
        <v>0.1</v>
      </c>
      <c r="H39" s="4">
        <f t="shared" si="0"/>
        <v>13845.599999999999</v>
      </c>
      <c r="I39" s="4">
        <f t="shared" si="1"/>
        <v>18026.9712</v>
      </c>
      <c r="J39" s="9">
        <f>J37</f>
        <v>638</v>
      </c>
      <c r="K39" s="9">
        <f t="shared" si="2"/>
        <v>28.255440752351099</v>
      </c>
      <c r="L39" s="27"/>
    </row>
    <row r="40" spans="1:13" ht="13.5" hidden="1" customHeight="1" x14ac:dyDescent="0.25">
      <c r="A40" s="80" t="s">
        <v>69</v>
      </c>
      <c r="B40" s="80"/>
      <c r="C40" s="80"/>
      <c r="D40" s="80"/>
      <c r="E40" s="80"/>
      <c r="F40" s="23">
        <v>8837</v>
      </c>
      <c r="G40" s="9">
        <v>0.1</v>
      </c>
      <c r="H40" s="4">
        <f t="shared" si="0"/>
        <v>10604.400000000001</v>
      </c>
      <c r="I40" s="4">
        <f t="shared" si="1"/>
        <v>13806.928800000002</v>
      </c>
      <c r="J40" s="9">
        <f>J37</f>
        <v>638</v>
      </c>
      <c r="K40" s="9">
        <f t="shared" si="2"/>
        <v>21.640954231974924</v>
      </c>
      <c r="L40" s="27"/>
    </row>
    <row r="41" spans="1:13" hidden="1" x14ac:dyDescent="0.25">
      <c r="A41" s="80" t="s">
        <v>72</v>
      </c>
      <c r="B41" s="80"/>
      <c r="C41" s="80"/>
      <c r="D41" s="80"/>
      <c r="E41" s="80"/>
      <c r="F41" s="23">
        <v>4418.5</v>
      </c>
      <c r="G41" s="9">
        <v>0.05</v>
      </c>
      <c r="H41" s="4">
        <f t="shared" si="0"/>
        <v>2651.1000000000004</v>
      </c>
      <c r="I41" s="4">
        <f t="shared" si="1"/>
        <v>3451.7322000000004</v>
      </c>
      <c r="J41" s="9">
        <f>J39</f>
        <v>638</v>
      </c>
      <c r="K41" s="9">
        <f t="shared" si="2"/>
        <v>5.4102385579937309</v>
      </c>
      <c r="L41" s="27"/>
    </row>
    <row r="42" spans="1:13" hidden="1" x14ac:dyDescent="0.25">
      <c r="A42" s="80" t="s">
        <v>76</v>
      </c>
      <c r="B42" s="80"/>
      <c r="C42" s="80"/>
      <c r="D42" s="80"/>
      <c r="E42" s="80"/>
      <c r="F42" s="9">
        <v>8837</v>
      </c>
      <c r="G42" s="9">
        <v>0.1</v>
      </c>
      <c r="H42" s="4">
        <f t="shared" si="0"/>
        <v>10604.400000000001</v>
      </c>
      <c r="I42" s="4">
        <f t="shared" si="1"/>
        <v>13806.928800000002</v>
      </c>
      <c r="J42" s="9">
        <f>J39</f>
        <v>638</v>
      </c>
      <c r="K42" s="9">
        <f t="shared" si="2"/>
        <v>21.640954231974924</v>
      </c>
      <c r="L42" s="27"/>
    </row>
    <row r="43" spans="1:13" ht="15" hidden="1" customHeight="1" x14ac:dyDescent="0.25">
      <c r="A43" s="86" t="s">
        <v>41</v>
      </c>
      <c r="B43" s="86"/>
      <c r="C43" s="86"/>
      <c r="D43" s="86"/>
      <c r="E43" s="86"/>
      <c r="F43" s="9">
        <v>6556</v>
      </c>
      <c r="G43" s="9">
        <v>0.16</v>
      </c>
      <c r="H43" s="4">
        <f t="shared" si="0"/>
        <v>12587.52</v>
      </c>
      <c r="I43" s="4">
        <f t="shared" si="1"/>
        <v>16388.95104</v>
      </c>
      <c r="J43" s="9">
        <f>J41</f>
        <v>638</v>
      </c>
      <c r="K43" s="9">
        <f t="shared" si="2"/>
        <v>25.688011034482759</v>
      </c>
      <c r="L43" s="27"/>
    </row>
    <row r="44" spans="1:13" hidden="1" x14ac:dyDescent="0.25">
      <c r="A44" s="91" t="s">
        <v>77</v>
      </c>
      <c r="B44" s="93"/>
      <c r="C44" s="93"/>
      <c r="D44" s="93"/>
      <c r="E44" s="94"/>
      <c r="F44" s="23">
        <v>3933</v>
      </c>
      <c r="G44" s="9">
        <v>0.1</v>
      </c>
      <c r="H44" s="4">
        <f t="shared" si="0"/>
        <v>4719.6000000000004</v>
      </c>
      <c r="I44" s="4">
        <f t="shared" si="1"/>
        <v>6144.9192000000003</v>
      </c>
      <c r="J44" s="9">
        <f>J41</f>
        <v>638</v>
      </c>
      <c r="K44" s="9">
        <f t="shared" si="2"/>
        <v>9.6315347962382454</v>
      </c>
      <c r="L44" s="27"/>
    </row>
    <row r="45" spans="1:13" ht="15.75" hidden="1" customHeight="1" x14ac:dyDescent="0.25">
      <c r="A45" s="80" t="s">
        <v>68</v>
      </c>
      <c r="B45" s="80"/>
      <c r="C45" s="80"/>
      <c r="D45" s="80"/>
      <c r="E45" s="80"/>
      <c r="F45" s="23">
        <v>4496</v>
      </c>
      <c r="G45" s="9">
        <v>0.1</v>
      </c>
      <c r="H45" s="4">
        <f t="shared" si="0"/>
        <v>5395.2000000000007</v>
      </c>
      <c r="I45" s="4">
        <f t="shared" si="1"/>
        <v>7024.550400000001</v>
      </c>
      <c r="J45" s="9">
        <f>J42</f>
        <v>638</v>
      </c>
      <c r="K45" s="9">
        <f t="shared" si="2"/>
        <v>11.0102670846395</v>
      </c>
      <c r="L45" s="27"/>
    </row>
    <row r="46" spans="1:13" hidden="1" x14ac:dyDescent="0.25">
      <c r="A46" s="80" t="s">
        <v>78</v>
      </c>
      <c r="B46" s="80"/>
      <c r="C46" s="80"/>
      <c r="D46" s="80"/>
      <c r="E46" s="80"/>
      <c r="F46" s="9">
        <v>11538</v>
      </c>
      <c r="G46" s="9">
        <v>0.1</v>
      </c>
      <c r="H46" s="4">
        <f t="shared" si="0"/>
        <v>13845.599999999999</v>
      </c>
      <c r="I46" s="4">
        <f t="shared" si="1"/>
        <v>18026.9712</v>
      </c>
      <c r="J46" s="9">
        <f>J43</f>
        <v>638</v>
      </c>
      <c r="K46" s="9">
        <f t="shared" si="2"/>
        <v>28.255440752351099</v>
      </c>
      <c r="L46" s="27"/>
    </row>
    <row r="47" spans="1:13" ht="15" hidden="1" customHeight="1" x14ac:dyDescent="0.25">
      <c r="A47" s="86" t="s">
        <v>48</v>
      </c>
      <c r="B47" s="86"/>
      <c r="C47" s="86"/>
      <c r="D47" s="86"/>
      <c r="E47" s="86"/>
      <c r="F47" s="9">
        <v>11538</v>
      </c>
      <c r="G47" s="9">
        <v>0.3</v>
      </c>
      <c r="H47" s="4">
        <f t="shared" si="0"/>
        <v>41536.800000000003</v>
      </c>
      <c r="I47" s="4">
        <f t="shared" si="1"/>
        <v>54080.913600000007</v>
      </c>
      <c r="J47" s="9">
        <f>J43</f>
        <v>638</v>
      </c>
      <c r="K47" s="9">
        <f t="shared" si="2"/>
        <v>84.766322257053304</v>
      </c>
      <c r="L47" s="27"/>
    </row>
    <row r="48" spans="1:13" ht="15" hidden="1" customHeight="1" x14ac:dyDescent="0.25">
      <c r="A48" s="86" t="s">
        <v>75</v>
      </c>
      <c r="B48" s="86"/>
      <c r="C48" s="86"/>
      <c r="D48" s="86"/>
      <c r="E48" s="86"/>
      <c r="F48" s="9">
        <v>6556</v>
      </c>
      <c r="G48" s="9">
        <v>0.2</v>
      </c>
      <c r="H48" s="4">
        <f t="shared" si="0"/>
        <v>15734.400000000001</v>
      </c>
      <c r="I48" s="4">
        <f t="shared" si="1"/>
        <v>20486.188800000004</v>
      </c>
      <c r="J48" s="9">
        <f>J46</f>
        <v>638</v>
      </c>
      <c r="K48" s="9">
        <f t="shared" si="2"/>
        <v>32.110013793103455</v>
      </c>
      <c r="L48" s="27"/>
    </row>
    <row r="49" spans="1:13" ht="17.25" hidden="1" customHeight="1" x14ac:dyDescent="0.25">
      <c r="A49" s="86" t="s">
        <v>70</v>
      </c>
      <c r="B49" s="86"/>
      <c r="C49" s="86"/>
      <c r="D49" s="86"/>
      <c r="E49" s="86"/>
      <c r="F49" s="23">
        <v>11538</v>
      </c>
      <c r="G49" s="9">
        <v>0.1</v>
      </c>
      <c r="H49" s="4">
        <f t="shared" si="0"/>
        <v>13845.599999999999</v>
      </c>
      <c r="I49" s="4">
        <f t="shared" si="1"/>
        <v>18026.9712</v>
      </c>
      <c r="J49" s="9">
        <f>J47</f>
        <v>638</v>
      </c>
      <c r="K49" s="9">
        <f t="shared" si="2"/>
        <v>28.255440752351099</v>
      </c>
      <c r="L49" s="27"/>
    </row>
    <row r="50" spans="1:13" ht="15" hidden="1" customHeight="1" x14ac:dyDescent="0.25">
      <c r="A50" s="86" t="s">
        <v>73</v>
      </c>
      <c r="B50" s="86"/>
      <c r="C50" s="86"/>
      <c r="D50" s="86"/>
      <c r="E50" s="86"/>
      <c r="F50" s="9">
        <v>8837</v>
      </c>
      <c r="G50" s="9">
        <v>0.24</v>
      </c>
      <c r="H50" s="4">
        <f t="shared" si="0"/>
        <v>25450.560000000001</v>
      </c>
      <c r="I50" s="4">
        <f t="shared" si="1"/>
        <v>33136.629120000005</v>
      </c>
      <c r="J50" s="9">
        <f>J49</f>
        <v>638</v>
      </c>
      <c r="K50" s="9">
        <f t="shared" si="2"/>
        <v>51.938290156739818</v>
      </c>
      <c r="L50" s="27"/>
    </row>
    <row r="51" spans="1:13" ht="15" hidden="1" customHeight="1" x14ac:dyDescent="0.25">
      <c r="A51" s="86" t="s">
        <v>49</v>
      </c>
      <c r="B51" s="86"/>
      <c r="C51" s="86"/>
      <c r="D51" s="86"/>
      <c r="E51" s="86"/>
      <c r="F51" s="9">
        <v>11538</v>
      </c>
      <c r="G51" s="9">
        <v>0.1</v>
      </c>
      <c r="H51" s="4">
        <f t="shared" si="0"/>
        <v>13845.599999999999</v>
      </c>
      <c r="I51" s="59">
        <f t="shared" si="1"/>
        <v>18026.9712</v>
      </c>
      <c r="J51" s="9">
        <f>J50</f>
        <v>638</v>
      </c>
      <c r="K51" s="57">
        <f t="shared" si="2"/>
        <v>28.255440752351099</v>
      </c>
      <c r="L51" s="27"/>
    </row>
    <row r="52" spans="1:13" s="8" customFormat="1" ht="14.25" customHeight="1" thickBot="1" x14ac:dyDescent="0.3">
      <c r="A52" s="24" t="s">
        <v>79</v>
      </c>
      <c r="B52" s="25"/>
      <c r="C52" s="25"/>
      <c r="D52" s="25"/>
      <c r="E52" s="25"/>
      <c r="F52" s="3">
        <v>26157.98</v>
      </c>
      <c r="G52" s="3">
        <f>F33</f>
        <v>9.3800099999999986</v>
      </c>
      <c r="H52" s="5">
        <v>2944341.99</v>
      </c>
      <c r="I52" s="60">
        <f>(H52*1.302)</f>
        <v>3833533.2709800005</v>
      </c>
      <c r="J52" s="61">
        <f>F35</f>
        <v>638</v>
      </c>
      <c r="K52" s="60">
        <f>I52/F35</f>
        <v>6008.672838526647</v>
      </c>
      <c r="L52" s="27"/>
      <c r="M52" s="7">
        <f>I52+I82+'Услуга №3'!I51+'Услуга №3'!I80</f>
        <v>8623406.4000000004</v>
      </c>
    </row>
    <row r="53" spans="1:13" x14ac:dyDescent="0.25">
      <c r="A53" s="26"/>
      <c r="B53" s="26"/>
      <c r="C53" s="26"/>
      <c r="D53" s="26"/>
      <c r="E53" s="26"/>
      <c r="F53" s="27"/>
      <c r="G53" s="27"/>
      <c r="H53" s="27"/>
      <c r="I53" s="27"/>
      <c r="J53" s="27"/>
      <c r="K53" s="27"/>
      <c r="L53" s="27"/>
    </row>
    <row r="54" spans="1:13" ht="18" customHeight="1" x14ac:dyDescent="0.25">
      <c r="A54" s="87" t="s">
        <v>8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</row>
    <row r="55" spans="1:13" ht="45" x14ac:dyDescent="0.25">
      <c r="A55" s="85" t="s">
        <v>9</v>
      </c>
      <c r="B55" s="85"/>
      <c r="C55" s="85"/>
      <c r="D55" s="85"/>
      <c r="E55" s="85"/>
      <c r="F55" s="18" t="s">
        <v>7</v>
      </c>
      <c r="G55" s="18" t="s">
        <v>57</v>
      </c>
      <c r="H55" s="18" t="s">
        <v>56</v>
      </c>
      <c r="I55" s="18" t="s">
        <v>62</v>
      </c>
      <c r="J55" s="18" t="s">
        <v>60</v>
      </c>
      <c r="K55" s="21" t="s">
        <v>61</v>
      </c>
      <c r="L55" s="28"/>
    </row>
    <row r="56" spans="1:13" x14ac:dyDescent="0.25">
      <c r="A56" s="91" t="s">
        <v>42</v>
      </c>
      <c r="B56" s="93"/>
      <c r="C56" s="93"/>
      <c r="D56" s="93"/>
      <c r="E56" s="94"/>
      <c r="F56" s="22" t="s">
        <v>43</v>
      </c>
      <c r="G56" s="22">
        <f>I56/H56</f>
        <v>10.758440820432316</v>
      </c>
      <c r="H56" s="22">
        <v>7873.41</v>
      </c>
      <c r="I56" s="29">
        <f>172481.4*49.11%</f>
        <v>84705.615539999999</v>
      </c>
      <c r="J56" s="9">
        <f>J51</f>
        <v>638</v>
      </c>
      <c r="K56" s="30">
        <f>I56/J56</f>
        <v>132.76742247648903</v>
      </c>
      <c r="L56" s="28"/>
    </row>
    <row r="57" spans="1:13" x14ac:dyDescent="0.25">
      <c r="A57" s="80" t="s">
        <v>10</v>
      </c>
      <c r="B57" s="80"/>
      <c r="C57" s="80"/>
      <c r="D57" s="80"/>
      <c r="E57" s="80"/>
      <c r="F57" s="9" t="s">
        <v>13</v>
      </c>
      <c r="G57" s="22">
        <f t="shared" ref="G57:G60" si="3">I57/H57</f>
        <v>80.876809998776764</v>
      </c>
      <c r="H57" s="9">
        <v>1798.52</v>
      </c>
      <c r="I57" s="29">
        <f>296189.29*49.11%</f>
        <v>145458.56031899998</v>
      </c>
      <c r="J57" s="9">
        <f>J56</f>
        <v>638</v>
      </c>
      <c r="K57" s="30">
        <f t="shared" ref="K57:K60" si="4">I57/J57</f>
        <v>227.99147385423194</v>
      </c>
      <c r="L57" s="20"/>
    </row>
    <row r="58" spans="1:13" x14ac:dyDescent="0.25">
      <c r="A58" s="80" t="s">
        <v>11</v>
      </c>
      <c r="B58" s="80"/>
      <c r="C58" s="80"/>
      <c r="D58" s="80"/>
      <c r="E58" s="80"/>
      <c r="F58" s="9" t="s">
        <v>14</v>
      </c>
      <c r="G58" s="22">
        <f t="shared" si="3"/>
        <v>103.93420743099786</v>
      </c>
      <c r="H58" s="9">
        <v>42.39</v>
      </c>
      <c r="I58" s="29">
        <f>8971.23*49.11%</f>
        <v>4405.7710529999995</v>
      </c>
      <c r="J58" s="9">
        <f>J57</f>
        <v>638</v>
      </c>
      <c r="K58" s="30">
        <f t="shared" si="4"/>
        <v>6.9055972617554851</v>
      </c>
      <c r="L58" s="20"/>
    </row>
    <row r="59" spans="1:13" x14ac:dyDescent="0.25">
      <c r="A59" s="80" t="s">
        <v>12</v>
      </c>
      <c r="B59" s="80"/>
      <c r="C59" s="80"/>
      <c r="D59" s="80"/>
      <c r="E59" s="80"/>
      <c r="F59" s="9" t="s">
        <v>14</v>
      </c>
      <c r="G59" s="22">
        <f t="shared" si="3"/>
        <v>102.8388116364802</v>
      </c>
      <c r="H59" s="9">
        <v>62.39</v>
      </c>
      <c r="I59" s="29">
        <f>13064.78*49.11%</f>
        <v>6416.1134579999998</v>
      </c>
      <c r="J59" s="9">
        <f>J57</f>
        <v>638</v>
      </c>
      <c r="K59" s="30">
        <f t="shared" si="4"/>
        <v>10.056604166144201</v>
      </c>
      <c r="L59" s="20"/>
    </row>
    <row r="60" spans="1:13" ht="15.75" thickBot="1" x14ac:dyDescent="0.3">
      <c r="A60" s="91" t="s">
        <v>17</v>
      </c>
      <c r="B60" s="92"/>
      <c r="C60" s="92"/>
      <c r="D60" s="92"/>
      <c r="E60" s="92"/>
      <c r="F60" s="9" t="s">
        <v>14</v>
      </c>
      <c r="G60" s="22">
        <f t="shared" si="3"/>
        <v>5.8931625495678688</v>
      </c>
      <c r="H60" s="9">
        <v>1967</v>
      </c>
      <c r="I60" s="69">
        <f>23603.85*49.11%</f>
        <v>11591.850734999998</v>
      </c>
      <c r="J60" s="9">
        <f>J58</f>
        <v>638</v>
      </c>
      <c r="K60" s="70">
        <f t="shared" si="4"/>
        <v>18.169045039184951</v>
      </c>
      <c r="L60" s="20"/>
    </row>
    <row r="61" spans="1:13" s="8" customFormat="1" ht="15" customHeight="1" thickBot="1" x14ac:dyDescent="0.3">
      <c r="A61" s="95" t="s">
        <v>15</v>
      </c>
      <c r="B61" s="96"/>
      <c r="C61" s="96"/>
      <c r="D61" s="96"/>
      <c r="E61" s="96"/>
      <c r="F61" s="96"/>
      <c r="G61" s="96"/>
      <c r="H61" s="96"/>
      <c r="I61" s="60">
        <f>SUM(I56:I60)</f>
        <v>252577.91110499998</v>
      </c>
      <c r="J61" s="61">
        <f>F35</f>
        <v>638</v>
      </c>
      <c r="K61" s="60">
        <f>I61/J60</f>
        <v>395.89014279780559</v>
      </c>
      <c r="L61" s="27"/>
      <c r="M61" s="7">
        <f>I61+'Услуга №3'!I59</f>
        <v>514310.54999999993</v>
      </c>
    </row>
    <row r="63" spans="1:13" x14ac:dyDescent="0.25">
      <c r="A63" s="87" t="s">
        <v>16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</row>
    <row r="64" spans="1:13" ht="45" x14ac:dyDescent="0.25">
      <c r="A64" s="85" t="s">
        <v>20</v>
      </c>
      <c r="B64" s="85"/>
      <c r="C64" s="85"/>
      <c r="D64" s="85"/>
      <c r="E64" s="85"/>
      <c r="F64" s="22" t="s">
        <v>7</v>
      </c>
      <c r="G64" s="22" t="s">
        <v>57</v>
      </c>
      <c r="H64" s="22" t="s">
        <v>56</v>
      </c>
      <c r="I64" s="22" t="s">
        <v>62</v>
      </c>
      <c r="J64" s="22" t="s">
        <v>60</v>
      </c>
      <c r="K64" s="30" t="s">
        <v>61</v>
      </c>
      <c r="L64" s="28"/>
    </row>
    <row r="65" spans="1:13" ht="14.25" customHeight="1" x14ac:dyDescent="0.25">
      <c r="A65" s="80" t="s">
        <v>44</v>
      </c>
      <c r="B65" s="80"/>
      <c r="C65" s="80"/>
      <c r="D65" s="80"/>
      <c r="E65" s="80"/>
      <c r="F65" s="9" t="s">
        <v>18</v>
      </c>
      <c r="G65" s="9">
        <f>I65/H65</f>
        <v>5.8931882272563829</v>
      </c>
      <c r="H65" s="9">
        <v>834.3</v>
      </c>
      <c r="I65" s="9">
        <f>10011.58*49.11%</f>
        <v>4916.6869379999998</v>
      </c>
      <c r="J65" s="9">
        <f>J57</f>
        <v>638</v>
      </c>
      <c r="K65" s="19">
        <f t="shared" ref="K65:K68" si="5">I65/J65</f>
        <v>7.7064058589341693</v>
      </c>
      <c r="L65" s="20"/>
    </row>
    <row r="66" spans="1:13" ht="14.25" customHeight="1" x14ac:dyDescent="0.25">
      <c r="A66" s="80" t="s">
        <v>87</v>
      </c>
      <c r="B66" s="80"/>
      <c r="C66" s="80"/>
      <c r="D66" s="80"/>
      <c r="E66" s="80"/>
      <c r="F66" s="9" t="s">
        <v>18</v>
      </c>
      <c r="G66" s="9">
        <f t="shared" ref="G66:G68" si="6">I66/H66</f>
        <v>5.8931999999999993</v>
      </c>
      <c r="H66" s="9">
        <v>2900</v>
      </c>
      <c r="I66" s="9">
        <f>34800*49.11%</f>
        <v>17090.28</v>
      </c>
      <c r="J66" s="9">
        <f t="shared" ref="J66:J68" si="7">J58</f>
        <v>638</v>
      </c>
      <c r="K66" s="19">
        <f t="shared" si="5"/>
        <v>26.787272727272725</v>
      </c>
      <c r="L66" s="20"/>
    </row>
    <row r="67" spans="1:13" ht="14.25" customHeight="1" x14ac:dyDescent="0.25">
      <c r="A67" s="80" t="s">
        <v>88</v>
      </c>
      <c r="B67" s="80"/>
      <c r="C67" s="80"/>
      <c r="D67" s="80"/>
      <c r="E67" s="80"/>
      <c r="F67" s="9" t="s">
        <v>18</v>
      </c>
      <c r="G67" s="9">
        <f t="shared" si="6"/>
        <v>5.8931999999999993</v>
      </c>
      <c r="H67" s="9">
        <v>2100</v>
      </c>
      <c r="I67" s="9">
        <f>25200*49.11%</f>
        <v>12375.72</v>
      </c>
      <c r="J67" s="9">
        <f t="shared" si="7"/>
        <v>638</v>
      </c>
      <c r="K67" s="19">
        <f t="shared" si="5"/>
        <v>19.397680250783697</v>
      </c>
      <c r="L67" s="20"/>
    </row>
    <row r="68" spans="1:13" ht="23.25" customHeight="1" thickBot="1" x14ac:dyDescent="0.3">
      <c r="A68" s="88" t="s">
        <v>89</v>
      </c>
      <c r="B68" s="89"/>
      <c r="C68" s="89"/>
      <c r="D68" s="89"/>
      <c r="E68" s="90"/>
      <c r="F68" s="9" t="s">
        <v>18</v>
      </c>
      <c r="G68" s="9">
        <f t="shared" si="6"/>
        <v>5.8931999999999993</v>
      </c>
      <c r="H68" s="9">
        <v>800</v>
      </c>
      <c r="I68" s="57">
        <f>9600*49.11%</f>
        <v>4714.5599999999995</v>
      </c>
      <c r="J68" s="9">
        <f t="shared" si="7"/>
        <v>638</v>
      </c>
      <c r="K68" s="57">
        <f t="shared" si="5"/>
        <v>7.3895924764890273</v>
      </c>
      <c r="L68" s="27"/>
    </row>
    <row r="69" spans="1:13" s="8" customFormat="1" ht="15.75" customHeight="1" thickBot="1" x14ac:dyDescent="0.3">
      <c r="A69" s="81" t="s">
        <v>19</v>
      </c>
      <c r="B69" s="82"/>
      <c r="C69" s="82"/>
      <c r="D69" s="82"/>
      <c r="E69" s="82"/>
      <c r="F69" s="82"/>
      <c r="G69" s="82"/>
      <c r="H69" s="82"/>
      <c r="I69" s="60">
        <f>SUM(I65:I68)</f>
        <v>39097.246937999997</v>
      </c>
      <c r="J69" s="61">
        <f>F35</f>
        <v>638</v>
      </c>
      <c r="K69" s="60">
        <f>SUM(K65:K68)</f>
        <v>61.280951313479619</v>
      </c>
      <c r="L69" s="27"/>
      <c r="M69" s="7">
        <f>I69+'Услуга №3'!I67</f>
        <v>79611.58</v>
      </c>
    </row>
    <row r="71" spans="1:13" x14ac:dyDescent="0.25">
      <c r="A71" s="87" t="s">
        <v>80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</row>
    <row r="72" spans="1:13" ht="45" x14ac:dyDescent="0.25">
      <c r="A72" s="112" t="s">
        <v>20</v>
      </c>
      <c r="B72" s="113"/>
      <c r="C72" s="113"/>
      <c r="D72" s="113"/>
      <c r="E72" s="114"/>
      <c r="F72" s="18" t="s">
        <v>7</v>
      </c>
      <c r="G72" s="18" t="s">
        <v>57</v>
      </c>
      <c r="H72" s="18" t="s">
        <v>56</v>
      </c>
      <c r="I72" s="18" t="s">
        <v>62</v>
      </c>
      <c r="J72" s="18" t="s">
        <v>60</v>
      </c>
      <c r="K72" s="21" t="s">
        <v>61</v>
      </c>
      <c r="L72" s="28"/>
      <c r="M72" s="31"/>
    </row>
    <row r="73" spans="1:13" ht="34.5" customHeight="1" x14ac:dyDescent="0.25">
      <c r="A73" s="80" t="s">
        <v>21</v>
      </c>
      <c r="B73" s="80"/>
      <c r="C73" s="80"/>
      <c r="D73" s="80"/>
      <c r="E73" s="80"/>
      <c r="F73" s="32" t="s">
        <v>22</v>
      </c>
      <c r="G73" s="9">
        <v>2</v>
      </c>
      <c r="H73" s="33">
        <v>400</v>
      </c>
      <c r="I73" s="9">
        <f>9600*49.11%</f>
        <v>4714.5599999999995</v>
      </c>
      <c r="J73" s="9">
        <f>J68</f>
        <v>638</v>
      </c>
      <c r="K73" s="19">
        <f>I73/J73</f>
        <v>7.3895924764890273</v>
      </c>
      <c r="L73" s="20"/>
      <c r="M73" s="27"/>
    </row>
    <row r="74" spans="1:13" ht="35.25" customHeight="1" x14ac:dyDescent="0.25">
      <c r="A74" s="91" t="s">
        <v>90</v>
      </c>
      <c r="B74" s="93"/>
      <c r="C74" s="93"/>
      <c r="D74" s="93"/>
      <c r="E74" s="94"/>
      <c r="F74" s="32" t="s">
        <v>22</v>
      </c>
      <c r="G74" s="9">
        <v>1</v>
      </c>
      <c r="H74" s="33">
        <v>350</v>
      </c>
      <c r="I74" s="9">
        <f>4200*49.11%</f>
        <v>2062.62</v>
      </c>
      <c r="J74" s="9">
        <f>J73</f>
        <v>638</v>
      </c>
      <c r="K74" s="19">
        <f>I74/J74</f>
        <v>3.2329467084639498</v>
      </c>
      <c r="L74" s="20"/>
      <c r="M74" s="27"/>
    </row>
    <row r="75" spans="1:13" ht="35.25" customHeight="1" thickBot="1" x14ac:dyDescent="0.3">
      <c r="A75" s="80" t="s">
        <v>81</v>
      </c>
      <c r="B75" s="80"/>
      <c r="C75" s="80"/>
      <c r="D75" s="80"/>
      <c r="E75" s="80"/>
      <c r="F75" s="32" t="s">
        <v>82</v>
      </c>
      <c r="G75" s="9">
        <v>9</v>
      </c>
      <c r="H75" s="33">
        <v>555.55999999999995</v>
      </c>
      <c r="I75" s="57">
        <f>60000*49.11%</f>
        <v>29466</v>
      </c>
      <c r="J75" s="9">
        <f>J73</f>
        <v>638</v>
      </c>
      <c r="K75" s="73">
        <f>I75/J75</f>
        <v>46.18495297805643</v>
      </c>
      <c r="L75" s="20"/>
      <c r="M75" s="27"/>
    </row>
    <row r="76" spans="1:13" ht="15.75" thickBot="1" x14ac:dyDescent="0.3">
      <c r="A76" s="81" t="s">
        <v>23</v>
      </c>
      <c r="B76" s="82"/>
      <c r="C76" s="82"/>
      <c r="D76" s="82"/>
      <c r="E76" s="82"/>
      <c r="F76" s="82"/>
      <c r="G76" s="82"/>
      <c r="H76" s="82"/>
      <c r="I76" s="71">
        <f>SUM(I73:I75)</f>
        <v>36243.18</v>
      </c>
      <c r="J76" s="72">
        <f>F35</f>
        <v>638</v>
      </c>
      <c r="K76" s="71">
        <f>SUM(K73:K75)</f>
        <v>56.807492163009407</v>
      </c>
      <c r="L76" s="12"/>
      <c r="M76" s="27">
        <f>I76+'Услуга №3'!I74</f>
        <v>73800</v>
      </c>
    </row>
    <row r="78" spans="1:13" x14ac:dyDescent="0.25">
      <c r="A78" s="87" t="s">
        <v>40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</row>
    <row r="79" spans="1:13" ht="57.75" customHeight="1" thickBot="1" x14ac:dyDescent="0.3">
      <c r="A79" s="112" t="s">
        <v>5</v>
      </c>
      <c r="B79" s="113"/>
      <c r="C79" s="113"/>
      <c r="D79" s="113"/>
      <c r="E79" s="114"/>
      <c r="F79" s="45" t="s">
        <v>6</v>
      </c>
      <c r="G79" s="45" t="s">
        <v>1</v>
      </c>
      <c r="H79" s="45" t="s">
        <v>58</v>
      </c>
      <c r="I79" s="45" t="s">
        <v>59</v>
      </c>
      <c r="J79" s="45" t="s">
        <v>60</v>
      </c>
      <c r="K79" s="46" t="s">
        <v>61</v>
      </c>
      <c r="L79" s="28"/>
    </row>
    <row r="80" spans="1:13" hidden="1" x14ac:dyDescent="0.25">
      <c r="A80" s="80" t="s">
        <v>3</v>
      </c>
      <c r="B80" s="80"/>
      <c r="C80" s="80"/>
      <c r="D80" s="80"/>
      <c r="E80" s="80"/>
      <c r="F80" s="23">
        <v>15898</v>
      </c>
      <c r="G80" s="9">
        <v>0.1</v>
      </c>
      <c r="H80" s="4">
        <f>F80*G80*12</f>
        <v>19077.600000000002</v>
      </c>
      <c r="I80" s="9">
        <f>H80*1.302-0.03</f>
        <v>24839.005200000003</v>
      </c>
      <c r="J80" s="9">
        <f>J73</f>
        <v>638</v>
      </c>
      <c r="K80" s="19">
        <f>I80/J80</f>
        <v>38.93261003134797</v>
      </c>
      <c r="L80" s="20"/>
    </row>
    <row r="81" spans="1:13" ht="18.75" hidden="1" customHeight="1" x14ac:dyDescent="0.25">
      <c r="A81" s="80" t="s">
        <v>45</v>
      </c>
      <c r="B81" s="80"/>
      <c r="C81" s="80"/>
      <c r="D81" s="80"/>
      <c r="E81" s="80"/>
      <c r="F81" s="23">
        <v>14309</v>
      </c>
      <c r="G81" s="9">
        <v>0.1</v>
      </c>
      <c r="H81" s="4">
        <f>F81*G81*12</f>
        <v>17170.800000000003</v>
      </c>
      <c r="I81" s="57">
        <f>H81*1.302</f>
        <v>22356.381600000004</v>
      </c>
      <c r="J81" s="9">
        <f>J80</f>
        <v>638</v>
      </c>
      <c r="K81" s="73">
        <f>I81/J81</f>
        <v>35.041350470219442</v>
      </c>
      <c r="L81" s="20"/>
    </row>
    <row r="82" spans="1:13" ht="15.75" thickBot="1" x14ac:dyDescent="0.3">
      <c r="A82" s="34" t="s">
        <v>24</v>
      </c>
      <c r="B82" s="34"/>
      <c r="C82" s="34"/>
      <c r="D82" s="34"/>
      <c r="E82" s="34"/>
      <c r="F82" s="43">
        <v>26157.98</v>
      </c>
      <c r="G82" s="43">
        <f>L33</f>
        <v>0.98219999999999996</v>
      </c>
      <c r="H82" s="74">
        <v>307617.82</v>
      </c>
      <c r="I82" s="71">
        <f>H82*1.302</f>
        <v>400518.40164</v>
      </c>
      <c r="J82" s="72">
        <f>F35</f>
        <v>638</v>
      </c>
      <c r="K82" s="71">
        <f>I82/J82</f>
        <v>627.77178940438876</v>
      </c>
      <c r="L82" s="27"/>
    </row>
    <row r="83" spans="1:13" ht="10.5" customHeight="1" x14ac:dyDescent="0.25">
      <c r="F83" s="35"/>
      <c r="G83" s="35"/>
      <c r="H83" s="35"/>
      <c r="I83" s="35"/>
      <c r="J83" s="35"/>
      <c r="K83" s="35"/>
      <c r="L83" s="35"/>
    </row>
    <row r="84" spans="1:13" s="8" customFormat="1" x14ac:dyDescent="0.25">
      <c r="A84" s="83" t="s">
        <v>65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4"/>
      <c r="M84" s="7"/>
    </row>
    <row r="85" spans="1:13" ht="49.5" customHeight="1" x14ac:dyDescent="0.25">
      <c r="A85" s="85" t="s">
        <v>67</v>
      </c>
      <c r="B85" s="85"/>
      <c r="C85" s="85"/>
      <c r="D85" s="85"/>
      <c r="E85" s="85"/>
      <c r="F85" s="18" t="s">
        <v>7</v>
      </c>
      <c r="G85" s="18" t="s">
        <v>57</v>
      </c>
      <c r="H85" s="18" t="s">
        <v>56</v>
      </c>
      <c r="I85" s="18" t="s">
        <v>62</v>
      </c>
      <c r="J85" s="18" t="s">
        <v>60</v>
      </c>
      <c r="K85" s="21" t="s">
        <v>61</v>
      </c>
      <c r="L85" s="28"/>
    </row>
    <row r="86" spans="1:13" ht="33" customHeight="1" thickBot="1" x14ac:dyDescent="0.3">
      <c r="A86" s="88" t="s">
        <v>64</v>
      </c>
      <c r="B86" s="89"/>
      <c r="C86" s="89"/>
      <c r="D86" s="89"/>
      <c r="E86" s="90"/>
      <c r="F86" s="9" t="s">
        <v>25</v>
      </c>
      <c r="G86" s="9">
        <v>11</v>
      </c>
      <c r="H86" s="4">
        <v>5870.58</v>
      </c>
      <c r="I86" s="57">
        <f>64576.39*49.11%</f>
        <v>31713.465129</v>
      </c>
      <c r="J86" s="9">
        <f>J81</f>
        <v>638</v>
      </c>
      <c r="K86" s="73">
        <f>I86/J86</f>
        <v>49.70762559404389</v>
      </c>
      <c r="L86" s="20"/>
    </row>
    <row r="87" spans="1:13" s="8" customFormat="1" ht="14.25" customHeight="1" thickBot="1" x14ac:dyDescent="0.3">
      <c r="A87" s="81" t="s">
        <v>66</v>
      </c>
      <c r="B87" s="82"/>
      <c r="C87" s="82"/>
      <c r="D87" s="82"/>
      <c r="E87" s="82"/>
      <c r="F87" s="82"/>
      <c r="G87" s="82"/>
      <c r="H87" s="82"/>
      <c r="I87" s="71">
        <f>SUM(I86:I86)</f>
        <v>31713.465129</v>
      </c>
      <c r="J87" s="72">
        <f>F35</f>
        <v>638</v>
      </c>
      <c r="K87" s="71">
        <f>SUM(K86:K86)</f>
        <v>49.70762559404389</v>
      </c>
      <c r="L87" s="27"/>
      <c r="M87" s="7">
        <f>I87+'Услуга №3'!I85</f>
        <v>64576.39</v>
      </c>
    </row>
    <row r="88" spans="1:13" s="8" customFormat="1" ht="9" hidden="1" customHeight="1" x14ac:dyDescent="0.25">
      <c r="A88" s="36"/>
      <c r="B88" s="36"/>
      <c r="C88" s="36"/>
      <c r="D88" s="36"/>
      <c r="E88" s="36"/>
      <c r="F88" s="36"/>
      <c r="G88" s="36"/>
      <c r="H88" s="36"/>
      <c r="I88" s="12"/>
      <c r="J88" s="12"/>
      <c r="K88" s="12"/>
      <c r="L88" s="27"/>
      <c r="M88" s="7"/>
    </row>
    <row r="89" spans="1:13" s="8" customFormat="1" x14ac:dyDescent="0.25">
      <c r="A89" s="37"/>
      <c r="B89" s="37"/>
      <c r="C89" s="37"/>
      <c r="D89" s="37"/>
      <c r="E89" s="37"/>
      <c r="F89" s="37"/>
      <c r="G89" s="37"/>
      <c r="H89" s="37"/>
      <c r="I89" s="13"/>
      <c r="J89" s="13"/>
      <c r="K89" s="13"/>
      <c r="L89" s="27"/>
      <c r="M89" s="7"/>
    </row>
    <row r="90" spans="1:13" s="8" customFormat="1" hidden="1" x14ac:dyDescent="0.25">
      <c r="A90" s="83" t="s">
        <v>91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4"/>
      <c r="M90" s="7"/>
    </row>
    <row r="91" spans="1:13" ht="49.5" hidden="1" customHeight="1" x14ac:dyDescent="0.25">
      <c r="A91" s="85" t="s">
        <v>67</v>
      </c>
      <c r="B91" s="85"/>
      <c r="C91" s="85"/>
      <c r="D91" s="85"/>
      <c r="E91" s="85"/>
      <c r="F91" s="18" t="s">
        <v>7</v>
      </c>
      <c r="G91" s="18" t="s">
        <v>57</v>
      </c>
      <c r="H91" s="18" t="s">
        <v>56</v>
      </c>
      <c r="I91" s="18" t="s">
        <v>62</v>
      </c>
      <c r="J91" s="18" t="s">
        <v>60</v>
      </c>
      <c r="K91" s="21" t="s">
        <v>61</v>
      </c>
      <c r="L91" s="28"/>
    </row>
    <row r="92" spans="1:13" hidden="1" x14ac:dyDescent="0.25">
      <c r="A92" s="80" t="s">
        <v>92</v>
      </c>
      <c r="B92" s="80"/>
      <c r="C92" s="80"/>
      <c r="D92" s="80"/>
      <c r="E92" s="80"/>
      <c r="F92" s="9"/>
      <c r="G92" s="9"/>
      <c r="H92" s="4"/>
      <c r="I92" s="9">
        <v>0</v>
      </c>
      <c r="J92" s="9">
        <f>J87</f>
        <v>638</v>
      </c>
      <c r="K92" s="19">
        <f>I92/J92</f>
        <v>0</v>
      </c>
      <c r="L92" s="20"/>
    </row>
    <row r="93" spans="1:13" s="8" customFormat="1" hidden="1" x14ac:dyDescent="0.25">
      <c r="A93" s="118" t="s">
        <v>93</v>
      </c>
      <c r="B93" s="118"/>
      <c r="C93" s="118"/>
      <c r="D93" s="118"/>
      <c r="E93" s="118"/>
      <c r="F93" s="118"/>
      <c r="G93" s="118"/>
      <c r="H93" s="118"/>
      <c r="I93" s="6">
        <f>SUM(I92:I92)</f>
        <v>0</v>
      </c>
      <c r="J93" s="6">
        <f>F35</f>
        <v>638</v>
      </c>
      <c r="K93" s="6">
        <f>SUM(K92:K92)</f>
        <v>0</v>
      </c>
      <c r="L93" s="20"/>
      <c r="M93" s="7"/>
    </row>
    <row r="94" spans="1:13" s="47" customFormat="1" hidden="1" x14ac:dyDescent="0.25">
      <c r="A94" s="36"/>
      <c r="B94" s="36"/>
      <c r="C94" s="36"/>
      <c r="D94" s="36"/>
      <c r="E94" s="36"/>
      <c r="F94" s="36"/>
      <c r="G94" s="36"/>
      <c r="H94" s="36"/>
      <c r="I94" s="12"/>
      <c r="J94" s="12"/>
      <c r="K94" s="12"/>
      <c r="L94" s="27"/>
      <c r="M94" s="27"/>
    </row>
    <row r="95" spans="1:13" s="47" customFormat="1" x14ac:dyDescent="0.25">
      <c r="A95" s="36"/>
      <c r="B95" s="36"/>
      <c r="C95" s="36"/>
      <c r="D95" s="36"/>
      <c r="E95" s="36"/>
      <c r="F95" s="36"/>
      <c r="G95" s="36"/>
      <c r="H95" s="36"/>
      <c r="I95" s="12"/>
      <c r="J95" s="12"/>
      <c r="K95" s="12"/>
      <c r="L95" s="27"/>
      <c r="M95" s="27"/>
    </row>
    <row r="96" spans="1:13" s="8" customFormat="1" x14ac:dyDescent="0.25">
      <c r="A96" s="83" t="s">
        <v>94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4"/>
      <c r="M96" s="7"/>
    </row>
    <row r="97" spans="1:13" ht="49.5" customHeight="1" x14ac:dyDescent="0.25">
      <c r="A97" s="85" t="s">
        <v>67</v>
      </c>
      <c r="B97" s="85"/>
      <c r="C97" s="85"/>
      <c r="D97" s="85"/>
      <c r="E97" s="85"/>
      <c r="F97" s="18" t="s">
        <v>7</v>
      </c>
      <c r="G97" s="18" t="s">
        <v>57</v>
      </c>
      <c r="H97" s="18" t="s">
        <v>56</v>
      </c>
      <c r="I97" s="18" t="s">
        <v>62</v>
      </c>
      <c r="J97" s="18" t="s">
        <v>60</v>
      </c>
      <c r="K97" s="21" t="s">
        <v>61</v>
      </c>
      <c r="L97" s="28"/>
    </row>
    <row r="98" spans="1:13" ht="15.75" thickBot="1" x14ac:dyDescent="0.3">
      <c r="A98" s="80" t="s">
        <v>95</v>
      </c>
      <c r="B98" s="80"/>
      <c r="C98" s="80"/>
      <c r="D98" s="80"/>
      <c r="E98" s="80"/>
      <c r="F98" s="9"/>
      <c r="G98" s="9"/>
      <c r="H98" s="4"/>
      <c r="I98" s="57">
        <f>45420*49.11%</f>
        <v>22305.761999999999</v>
      </c>
      <c r="J98" s="9">
        <f>J87</f>
        <v>638</v>
      </c>
      <c r="K98" s="73">
        <f>I98/J98</f>
        <v>34.962009404388716</v>
      </c>
      <c r="L98" s="20"/>
    </row>
    <row r="99" spans="1:13" s="8" customFormat="1" ht="15.75" thickBot="1" x14ac:dyDescent="0.3">
      <c r="A99" s="81" t="s">
        <v>97</v>
      </c>
      <c r="B99" s="82"/>
      <c r="C99" s="82"/>
      <c r="D99" s="82"/>
      <c r="E99" s="82"/>
      <c r="F99" s="82"/>
      <c r="G99" s="82"/>
      <c r="H99" s="82"/>
      <c r="I99" s="71">
        <f>SUM(I98:I98)</f>
        <v>22305.761999999999</v>
      </c>
      <c r="J99" s="72">
        <f>F35</f>
        <v>638</v>
      </c>
      <c r="K99" s="71">
        <f>SUM(K98:K98)</f>
        <v>34.962009404388716</v>
      </c>
      <c r="L99" s="27"/>
      <c r="M99" s="7">
        <f>I99+'Услуга №3'!I90</f>
        <v>45420</v>
      </c>
    </row>
    <row r="100" spans="1:13" s="8" customFormat="1" x14ac:dyDescent="0.25">
      <c r="A100" s="37"/>
      <c r="B100" s="37"/>
      <c r="C100" s="37"/>
      <c r="D100" s="37"/>
      <c r="E100" s="37"/>
      <c r="F100" s="37"/>
      <c r="G100" s="37"/>
      <c r="H100" s="37"/>
      <c r="I100" s="13"/>
      <c r="J100" s="13"/>
      <c r="K100" s="13"/>
      <c r="L100" s="27"/>
      <c r="M100" s="7"/>
    </row>
    <row r="101" spans="1:13" s="8" customFormat="1" x14ac:dyDescent="0.25">
      <c r="A101" s="83" t="s">
        <v>96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4"/>
      <c r="M101" s="7"/>
    </row>
    <row r="102" spans="1:13" ht="49.5" customHeight="1" x14ac:dyDescent="0.25">
      <c r="A102" s="85" t="s">
        <v>67</v>
      </c>
      <c r="B102" s="85"/>
      <c r="C102" s="85"/>
      <c r="D102" s="85"/>
      <c r="E102" s="85"/>
      <c r="F102" s="18" t="s">
        <v>7</v>
      </c>
      <c r="G102" s="18" t="s">
        <v>57</v>
      </c>
      <c r="H102" s="18" t="s">
        <v>56</v>
      </c>
      <c r="I102" s="18" t="s">
        <v>62</v>
      </c>
      <c r="J102" s="18" t="s">
        <v>60</v>
      </c>
      <c r="K102" s="21" t="s">
        <v>61</v>
      </c>
      <c r="L102" s="28"/>
    </row>
    <row r="103" spans="1:13" ht="15.75" thickBot="1" x14ac:dyDescent="0.3">
      <c r="A103" s="80" t="s">
        <v>98</v>
      </c>
      <c r="B103" s="80"/>
      <c r="C103" s="80"/>
      <c r="D103" s="80"/>
      <c r="E103" s="80"/>
      <c r="F103" s="9"/>
      <c r="G103" s="9"/>
      <c r="H103" s="4"/>
      <c r="I103" s="57">
        <f>66100*49.11%-1.96</f>
        <v>32459.75</v>
      </c>
      <c r="J103" s="9">
        <f>J99</f>
        <v>638</v>
      </c>
      <c r="K103" s="73">
        <f>I103/J103</f>
        <v>50.877351097178682</v>
      </c>
      <c r="L103" s="20"/>
    </row>
    <row r="104" spans="1:13" s="8" customFormat="1" ht="15.75" thickBot="1" x14ac:dyDescent="0.3">
      <c r="A104" s="81" t="s">
        <v>99</v>
      </c>
      <c r="B104" s="82"/>
      <c r="C104" s="82"/>
      <c r="D104" s="82"/>
      <c r="E104" s="82"/>
      <c r="F104" s="82"/>
      <c r="G104" s="82"/>
      <c r="H104" s="82"/>
      <c r="I104" s="71">
        <f>SUM(I103:I103)</f>
        <v>32459.75</v>
      </c>
      <c r="J104" s="72">
        <f>F35</f>
        <v>638</v>
      </c>
      <c r="K104" s="71">
        <f>SUM(K103:K103)</f>
        <v>50.877351097178682</v>
      </c>
      <c r="L104" s="27"/>
      <c r="M104" s="7">
        <f>I104+'Услуга №3'!I95</f>
        <v>66100</v>
      </c>
    </row>
    <row r="105" spans="1:13" s="8" customFormat="1" x14ac:dyDescent="0.25">
      <c r="A105" s="83" t="s">
        <v>111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4"/>
      <c r="M105" s="7"/>
    </row>
    <row r="106" spans="1:13" ht="49.5" customHeight="1" x14ac:dyDescent="0.25">
      <c r="A106" s="85" t="s">
        <v>67</v>
      </c>
      <c r="B106" s="85"/>
      <c r="C106" s="85"/>
      <c r="D106" s="85"/>
      <c r="E106" s="85"/>
      <c r="F106" s="78" t="s">
        <v>7</v>
      </c>
      <c r="G106" s="78" t="s">
        <v>57</v>
      </c>
      <c r="H106" s="78" t="s">
        <v>56</v>
      </c>
      <c r="I106" s="78" t="s">
        <v>62</v>
      </c>
      <c r="J106" s="78" t="s">
        <v>60</v>
      </c>
      <c r="K106" s="21" t="s">
        <v>61</v>
      </c>
      <c r="L106" s="28"/>
    </row>
    <row r="107" spans="1:13" ht="15.75" thickBot="1" x14ac:dyDescent="0.3">
      <c r="A107" s="80" t="s">
        <v>112</v>
      </c>
      <c r="B107" s="80"/>
      <c r="C107" s="80"/>
      <c r="D107" s="80"/>
      <c r="E107" s="80"/>
      <c r="F107" s="9"/>
      <c r="G107" s="9"/>
      <c r="H107" s="4"/>
      <c r="I107" s="57">
        <f>5530</f>
        <v>5530</v>
      </c>
      <c r="J107" s="9">
        <f>J103</f>
        <v>638</v>
      </c>
      <c r="K107" s="73">
        <f>I107/J107</f>
        <v>8.6677115987460809</v>
      </c>
      <c r="L107" s="20"/>
    </row>
    <row r="108" spans="1:13" s="8" customFormat="1" ht="15.75" thickBot="1" x14ac:dyDescent="0.3">
      <c r="A108" s="81" t="s">
        <v>99</v>
      </c>
      <c r="B108" s="82"/>
      <c r="C108" s="82"/>
      <c r="D108" s="82"/>
      <c r="E108" s="82"/>
      <c r="F108" s="82"/>
      <c r="G108" s="82"/>
      <c r="H108" s="82"/>
      <c r="I108" s="71">
        <f>SUM(I107:I107)</f>
        <v>5530</v>
      </c>
      <c r="J108" s="72">
        <f>J107</f>
        <v>638</v>
      </c>
      <c r="K108" s="71">
        <f>SUM(K107:K107)</f>
        <v>8.6677115987460809</v>
      </c>
      <c r="L108" s="27"/>
      <c r="M108" s="7">
        <f>I108</f>
        <v>5530</v>
      </c>
    </row>
    <row r="109" spans="1:13" x14ac:dyDescent="0.25">
      <c r="F109" s="35"/>
      <c r="G109" s="35"/>
      <c r="H109" s="35"/>
      <c r="I109" s="35"/>
      <c r="J109" s="35"/>
      <c r="K109" s="35"/>
      <c r="L109" s="35"/>
    </row>
    <row r="110" spans="1:13" x14ac:dyDescent="0.25">
      <c r="A110" s="87" t="s">
        <v>26</v>
      </c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</row>
    <row r="111" spans="1:13" hidden="1" x14ac:dyDescent="0.25"/>
    <row r="112" spans="1:13" ht="15" customHeight="1" x14ac:dyDescent="0.25">
      <c r="A112" s="117" t="s">
        <v>27</v>
      </c>
      <c r="B112" s="117"/>
      <c r="C112" s="117"/>
      <c r="D112" s="112" t="s">
        <v>28</v>
      </c>
      <c r="E112" s="113"/>
      <c r="F112" s="113"/>
      <c r="G112" s="113"/>
      <c r="H112" s="113"/>
      <c r="I112" s="113"/>
      <c r="J112" s="114"/>
      <c r="K112" s="117" t="s">
        <v>39</v>
      </c>
      <c r="L112" s="117"/>
    </row>
    <row r="113" spans="1:12" ht="30" x14ac:dyDescent="0.25">
      <c r="A113" s="9" t="s">
        <v>29</v>
      </c>
      <c r="B113" s="22" t="s">
        <v>30</v>
      </c>
      <c r="C113" s="9" t="s">
        <v>31</v>
      </c>
      <c r="D113" s="9" t="s">
        <v>32</v>
      </c>
      <c r="E113" s="9" t="s">
        <v>33</v>
      </c>
      <c r="F113" s="9" t="s">
        <v>34</v>
      </c>
      <c r="G113" s="9" t="s">
        <v>35</v>
      </c>
      <c r="H113" s="9" t="s">
        <v>36</v>
      </c>
      <c r="I113" s="9" t="s">
        <v>37</v>
      </c>
      <c r="J113" s="9" t="s">
        <v>38</v>
      </c>
      <c r="K113" s="117"/>
      <c r="L113" s="117"/>
    </row>
    <row r="114" spans="1:12" x14ac:dyDescent="0.25">
      <c r="A114" s="9">
        <f>K52</f>
        <v>6008.672838526647</v>
      </c>
      <c r="B114" s="9"/>
      <c r="C114" s="9"/>
      <c r="D114" s="9">
        <f>K61</f>
        <v>395.89014279780559</v>
      </c>
      <c r="E114" s="9">
        <f>K69</f>
        <v>61.280951313479619</v>
      </c>
      <c r="F114" s="9"/>
      <c r="G114" s="9">
        <f>K76</f>
        <v>56.807492163009407</v>
      </c>
      <c r="H114" s="9">
        <v>0</v>
      </c>
      <c r="I114" s="9">
        <f>K82</f>
        <v>627.77178940438876</v>
      </c>
      <c r="J114" s="9">
        <f>K87+K93+K99+K104+K108</f>
        <v>144.21469769435737</v>
      </c>
      <c r="K114" s="115">
        <f>SUM(A114:J114)</f>
        <v>7294.6379118996883</v>
      </c>
      <c r="L114" s="116"/>
    </row>
    <row r="116" spans="1:12" ht="15.75" thickBot="1" x14ac:dyDescent="0.3">
      <c r="A116" s="38"/>
      <c r="B116" s="39"/>
      <c r="C116" s="40"/>
      <c r="D116" s="1"/>
      <c r="E116" s="1"/>
      <c r="F116" s="1"/>
    </row>
    <row r="117" spans="1:12" ht="16.5" thickBot="1" x14ac:dyDescent="0.3">
      <c r="A117" s="14" t="s">
        <v>54</v>
      </c>
      <c r="B117" s="14"/>
      <c r="C117" s="14"/>
      <c r="D117" s="14"/>
      <c r="E117" s="14"/>
      <c r="F117" s="41"/>
      <c r="G117" s="41" t="s">
        <v>113</v>
      </c>
      <c r="H117" s="41"/>
      <c r="I117" s="75">
        <f>I87+I76+I69+I61+I52+I93+I99+I104+I82+I108</f>
        <v>4653978.9877920002</v>
      </c>
      <c r="L117" s="75">
        <f>K114*638</f>
        <v>4653978.9877920011</v>
      </c>
    </row>
    <row r="118" spans="1:12" ht="15.75" x14ac:dyDescent="0.25">
      <c r="A118" s="42"/>
      <c r="B118" s="14"/>
      <c r="C118" s="2"/>
      <c r="D118" s="2"/>
      <c r="E118" s="2"/>
      <c r="F118" s="2"/>
    </row>
    <row r="120" spans="1:12" ht="15.75" x14ac:dyDescent="0.25">
      <c r="A120" s="42" t="s">
        <v>100</v>
      </c>
      <c r="B120" s="14"/>
      <c r="C120" s="42"/>
      <c r="D120" s="14"/>
    </row>
    <row r="121" spans="1:12" ht="15.75" x14ac:dyDescent="0.25">
      <c r="A121" s="42" t="s">
        <v>55</v>
      </c>
      <c r="B121" s="14"/>
      <c r="C121" s="42"/>
      <c r="D121" s="14"/>
    </row>
  </sheetData>
  <mergeCells count="106">
    <mergeCell ref="A105:L105"/>
    <mergeCell ref="A106:E106"/>
    <mergeCell ref="A107:E107"/>
    <mergeCell ref="A108:H108"/>
    <mergeCell ref="A37:E37"/>
    <mergeCell ref="K114:L114"/>
    <mergeCell ref="A72:E72"/>
    <mergeCell ref="A73:E73"/>
    <mergeCell ref="A78:L78"/>
    <mergeCell ref="A79:E79"/>
    <mergeCell ref="A80:E80"/>
    <mergeCell ref="A81:E81"/>
    <mergeCell ref="A86:E86"/>
    <mergeCell ref="A112:C112"/>
    <mergeCell ref="K112:L113"/>
    <mergeCell ref="A85:E85"/>
    <mergeCell ref="D112:J112"/>
    <mergeCell ref="A110:L110"/>
    <mergeCell ref="A90:L90"/>
    <mergeCell ref="A91:E91"/>
    <mergeCell ref="A92:E92"/>
    <mergeCell ref="A93:H93"/>
    <mergeCell ref="A74:E74"/>
    <mergeCell ref="A103:E103"/>
    <mergeCell ref="A104:H104"/>
    <mergeCell ref="A96:L96"/>
    <mergeCell ref="A97:E97"/>
    <mergeCell ref="A98:E98"/>
    <mergeCell ref="G30:K30"/>
    <mergeCell ref="A31:E31"/>
    <mergeCell ref="A39:E39"/>
    <mergeCell ref="A4:E4"/>
    <mergeCell ref="A7:L7"/>
    <mergeCell ref="A8:L8"/>
    <mergeCell ref="A9:L9"/>
    <mergeCell ref="A29:E29"/>
    <mergeCell ref="G29:K29"/>
    <mergeCell ref="G32:K32"/>
    <mergeCell ref="A16:E16"/>
    <mergeCell ref="G16:K16"/>
    <mergeCell ref="A17:E17"/>
    <mergeCell ref="G17:K17"/>
    <mergeCell ref="A18:E18"/>
    <mergeCell ref="G18:K18"/>
    <mergeCell ref="A22:E22"/>
    <mergeCell ref="G22:K22"/>
    <mergeCell ref="A23:E23"/>
    <mergeCell ref="G23:K23"/>
    <mergeCell ref="A19:E19"/>
    <mergeCell ref="G27:K27"/>
    <mergeCell ref="A36:E36"/>
    <mergeCell ref="A41:E41"/>
    <mergeCell ref="G19:K19"/>
    <mergeCell ref="A20:E20"/>
    <mergeCell ref="G20:K20"/>
    <mergeCell ref="A21:E21"/>
    <mergeCell ref="G21:K21"/>
    <mergeCell ref="A33:E33"/>
    <mergeCell ref="G33:K33"/>
    <mergeCell ref="A24:E24"/>
    <mergeCell ref="G24:K24"/>
    <mergeCell ref="A28:E28"/>
    <mergeCell ref="G28:K28"/>
    <mergeCell ref="A25:E25"/>
    <mergeCell ref="G25:K25"/>
    <mergeCell ref="A26:E26"/>
    <mergeCell ref="G26:K26"/>
    <mergeCell ref="A27:E27"/>
    <mergeCell ref="A38:E38"/>
    <mergeCell ref="A40:E40"/>
    <mergeCell ref="G31:K31"/>
    <mergeCell ref="A32:E32"/>
    <mergeCell ref="A30:E30"/>
    <mergeCell ref="A48:E48"/>
    <mergeCell ref="A42:E42"/>
    <mergeCell ref="A68:E68"/>
    <mergeCell ref="A67:E67"/>
    <mergeCell ref="A59:E59"/>
    <mergeCell ref="A63:L63"/>
    <mergeCell ref="A64:E64"/>
    <mergeCell ref="A65:E65"/>
    <mergeCell ref="A66:E66"/>
    <mergeCell ref="A57:E57"/>
    <mergeCell ref="A58:E58"/>
    <mergeCell ref="A60:E60"/>
    <mergeCell ref="A44:E44"/>
    <mergeCell ref="A45:E45"/>
    <mergeCell ref="A54:L54"/>
    <mergeCell ref="A56:E56"/>
    <mergeCell ref="A61:H61"/>
    <mergeCell ref="A43:E43"/>
    <mergeCell ref="A46:E46"/>
    <mergeCell ref="A47:E47"/>
    <mergeCell ref="A55:E55"/>
    <mergeCell ref="A50:E50"/>
    <mergeCell ref="A75:E75"/>
    <mergeCell ref="A69:H69"/>
    <mergeCell ref="A76:H76"/>
    <mergeCell ref="A84:L84"/>
    <mergeCell ref="A99:H99"/>
    <mergeCell ref="A101:L101"/>
    <mergeCell ref="A102:E102"/>
    <mergeCell ref="A49:E49"/>
    <mergeCell ref="A71:L71"/>
    <mergeCell ref="A51:E51"/>
    <mergeCell ref="A87:H87"/>
  </mergeCells>
  <pageMargins left="0.70866141732283472" right="0.47" top="0.26" bottom="0.31" header="0.26" footer="0.2"/>
  <pageSetup paperSize="9" scale="8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topLeftCell="A28" zoomScale="90" zoomScaleNormal="90" workbookViewId="0">
      <selection activeCell="M107" sqref="M107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2.57031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4.71093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3" ht="15.75" x14ac:dyDescent="0.25">
      <c r="A1" s="14" t="s">
        <v>51</v>
      </c>
      <c r="B1" s="14"/>
      <c r="C1" s="14"/>
    </row>
    <row r="2" spans="1:13" ht="15.75" x14ac:dyDescent="0.25">
      <c r="A2" s="51" t="s">
        <v>52</v>
      </c>
      <c r="B2" s="51"/>
      <c r="C2" s="51"/>
    </row>
    <row r="3" spans="1:13" ht="12.75" customHeight="1" x14ac:dyDescent="0.25">
      <c r="A3" s="53"/>
      <c r="B3" s="53"/>
      <c r="C3" s="53"/>
    </row>
    <row r="4" spans="1:13" ht="15.75" x14ac:dyDescent="0.25">
      <c r="A4" s="108" t="s">
        <v>53</v>
      </c>
      <c r="B4" s="108"/>
      <c r="C4" s="108"/>
      <c r="D4" s="109"/>
      <c r="E4" s="109"/>
    </row>
    <row r="5" spans="1:13" ht="12.75" customHeight="1" x14ac:dyDescent="0.25">
      <c r="A5" s="51"/>
      <c r="B5" s="51"/>
      <c r="C5" s="51"/>
    </row>
    <row r="7" spans="1:13" ht="15.75" x14ac:dyDescent="0.25">
      <c r="A7" s="110" t="s">
        <v>50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3" ht="15.75" x14ac:dyDescent="0.25">
      <c r="A8" s="110" t="s">
        <v>86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3" ht="15.75" customHeight="1" x14ac:dyDescent="0.25">
      <c r="A9" s="110" t="s">
        <v>108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1" spans="1:13" x14ac:dyDescent="0.25">
      <c r="A11" s="67" t="s">
        <v>106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3" x14ac:dyDescent="0.25">
      <c r="A12" s="67" t="s">
        <v>107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3" x14ac:dyDescent="0.25">
      <c r="A13" s="67" t="s">
        <v>109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3" s="68" customFormat="1" ht="17.25" customHeight="1" x14ac:dyDescent="0.25">
      <c r="A14" s="67" t="s">
        <v>101</v>
      </c>
    </row>
    <row r="15" spans="1:13" ht="33" customHeight="1" x14ac:dyDescent="0.25">
      <c r="A15" s="111" t="s">
        <v>0</v>
      </c>
      <c r="B15" s="111"/>
      <c r="C15" s="111"/>
      <c r="D15" s="111"/>
      <c r="E15" s="111"/>
      <c r="F15" s="79" t="s">
        <v>1</v>
      </c>
      <c r="G15" s="111" t="s">
        <v>2</v>
      </c>
      <c r="H15" s="111"/>
      <c r="I15" s="111"/>
      <c r="J15" s="111"/>
      <c r="K15" s="111"/>
      <c r="L15" s="23" t="s">
        <v>1</v>
      </c>
    </row>
    <row r="16" spans="1:13" ht="30" customHeight="1" x14ac:dyDescent="0.25">
      <c r="A16" s="105" t="s">
        <v>46</v>
      </c>
      <c r="B16" s="106"/>
      <c r="C16" s="106"/>
      <c r="D16" s="106"/>
      <c r="E16" s="107"/>
      <c r="F16" s="23">
        <f>1*50.89%</f>
        <v>0.50890000000000002</v>
      </c>
      <c r="G16" s="98" t="s">
        <v>3</v>
      </c>
      <c r="H16" s="98"/>
      <c r="I16" s="98"/>
      <c r="J16" s="98"/>
      <c r="K16" s="98"/>
      <c r="L16" s="23">
        <f>1*50.89%</f>
        <v>0.50890000000000002</v>
      </c>
      <c r="M16" s="20"/>
    </row>
    <row r="17" spans="1:13" x14ac:dyDescent="0.25">
      <c r="A17" s="97" t="s">
        <v>71</v>
      </c>
      <c r="B17" s="97"/>
      <c r="C17" s="97"/>
      <c r="D17" s="97"/>
      <c r="E17" s="97"/>
      <c r="F17" s="23">
        <f>1*50.89%</f>
        <v>0.50890000000000002</v>
      </c>
      <c r="G17" s="98" t="s">
        <v>47</v>
      </c>
      <c r="H17" s="98"/>
      <c r="I17" s="98"/>
      <c r="J17" s="98"/>
      <c r="K17" s="98"/>
      <c r="L17" s="23">
        <f>1*50.89%</f>
        <v>0.50890000000000002</v>
      </c>
      <c r="M17" s="20"/>
    </row>
    <row r="18" spans="1:13" ht="15" customHeight="1" x14ac:dyDescent="0.25">
      <c r="A18" s="97" t="s">
        <v>74</v>
      </c>
      <c r="B18" s="97"/>
      <c r="C18" s="97"/>
      <c r="D18" s="97"/>
      <c r="E18" s="97"/>
      <c r="F18" s="23">
        <f>1*50.89%</f>
        <v>0.50890000000000002</v>
      </c>
      <c r="G18" s="97"/>
      <c r="H18" s="97"/>
      <c r="I18" s="97"/>
      <c r="J18" s="97"/>
      <c r="K18" s="97"/>
      <c r="L18" s="23"/>
      <c r="M18" s="20"/>
    </row>
    <row r="19" spans="1:13" ht="17.25" customHeight="1" x14ac:dyDescent="0.25">
      <c r="A19" s="97" t="s">
        <v>69</v>
      </c>
      <c r="B19" s="97"/>
      <c r="C19" s="97"/>
      <c r="D19" s="97"/>
      <c r="E19" s="97"/>
      <c r="F19" s="23">
        <f>1*50.89%</f>
        <v>0.50890000000000002</v>
      </c>
      <c r="G19" s="98"/>
      <c r="H19" s="98"/>
      <c r="I19" s="98"/>
      <c r="J19" s="98"/>
      <c r="K19" s="98"/>
      <c r="L19" s="23"/>
      <c r="M19" s="20"/>
    </row>
    <row r="20" spans="1:13" ht="14.25" customHeight="1" x14ac:dyDescent="0.25">
      <c r="A20" s="97" t="s">
        <v>72</v>
      </c>
      <c r="B20" s="97"/>
      <c r="C20" s="97"/>
      <c r="D20" s="97"/>
      <c r="E20" s="97"/>
      <c r="F20" s="23">
        <f>0.5*50.89%</f>
        <v>0.25445000000000001</v>
      </c>
      <c r="G20" s="98"/>
      <c r="H20" s="98"/>
      <c r="I20" s="98"/>
      <c r="J20" s="98"/>
      <c r="K20" s="98"/>
      <c r="L20" s="23"/>
      <c r="M20" s="20"/>
    </row>
    <row r="21" spans="1:13" ht="15" customHeight="1" x14ac:dyDescent="0.25">
      <c r="A21" s="97" t="s">
        <v>76</v>
      </c>
      <c r="B21" s="97"/>
      <c r="C21" s="97"/>
      <c r="D21" s="97"/>
      <c r="E21" s="97"/>
      <c r="F21" s="23">
        <f>1*50.89%</f>
        <v>0.50890000000000002</v>
      </c>
      <c r="G21" s="98"/>
      <c r="H21" s="98"/>
      <c r="I21" s="98"/>
      <c r="J21" s="98"/>
      <c r="K21" s="98"/>
      <c r="L21" s="23"/>
      <c r="M21" s="20"/>
    </row>
    <row r="22" spans="1:13" ht="15" customHeight="1" x14ac:dyDescent="0.25">
      <c r="A22" s="98" t="s">
        <v>41</v>
      </c>
      <c r="B22" s="98"/>
      <c r="C22" s="98"/>
      <c r="D22" s="98"/>
      <c r="E22" s="98"/>
      <c r="F22" s="23">
        <f>0.23*50.89%</f>
        <v>0.11704700000000001</v>
      </c>
      <c r="G22" s="98"/>
      <c r="H22" s="98"/>
      <c r="I22" s="98"/>
      <c r="J22" s="98"/>
      <c r="K22" s="98"/>
      <c r="L22" s="23"/>
      <c r="M22" s="20"/>
    </row>
    <row r="23" spans="1:13" x14ac:dyDescent="0.25">
      <c r="A23" s="102" t="s">
        <v>77</v>
      </c>
      <c r="B23" s="103"/>
      <c r="C23" s="103"/>
      <c r="D23" s="103"/>
      <c r="E23" s="104"/>
      <c r="F23" s="23">
        <f>1*50.89%</f>
        <v>0.50890000000000002</v>
      </c>
      <c r="G23" s="98"/>
      <c r="H23" s="98"/>
      <c r="I23" s="98"/>
      <c r="J23" s="98"/>
      <c r="K23" s="98"/>
      <c r="L23" s="65"/>
      <c r="M23" s="20"/>
    </row>
    <row r="24" spans="1:13" x14ac:dyDescent="0.25">
      <c r="A24" s="97" t="s">
        <v>68</v>
      </c>
      <c r="B24" s="97"/>
      <c r="C24" s="97"/>
      <c r="D24" s="97"/>
      <c r="E24" s="97"/>
      <c r="F24" s="23">
        <f>1*50.89%</f>
        <v>0.50890000000000002</v>
      </c>
      <c r="G24" s="97"/>
      <c r="H24" s="97"/>
      <c r="I24" s="97"/>
      <c r="J24" s="97"/>
      <c r="K24" s="97"/>
      <c r="L24" s="23"/>
      <c r="M24" s="20"/>
    </row>
    <row r="25" spans="1:13" ht="15" customHeight="1" x14ac:dyDescent="0.25">
      <c r="A25" s="97" t="s">
        <v>78</v>
      </c>
      <c r="B25" s="97"/>
      <c r="C25" s="97"/>
      <c r="D25" s="97"/>
      <c r="E25" s="97"/>
      <c r="F25" s="23">
        <f>1*50.89%</f>
        <v>0.50890000000000002</v>
      </c>
      <c r="G25" s="97"/>
      <c r="H25" s="97"/>
      <c r="I25" s="97"/>
      <c r="J25" s="97"/>
      <c r="K25" s="97"/>
      <c r="L25" s="23"/>
      <c r="M25" s="20"/>
    </row>
    <row r="26" spans="1:13" ht="15" customHeight="1" x14ac:dyDescent="0.25">
      <c r="A26" s="98" t="s">
        <v>48</v>
      </c>
      <c r="B26" s="98"/>
      <c r="C26" s="98"/>
      <c r="D26" s="98"/>
      <c r="E26" s="98"/>
      <c r="F26" s="23">
        <f>3*50.89%</f>
        <v>1.5266999999999999</v>
      </c>
      <c r="G26" s="97"/>
      <c r="H26" s="97"/>
      <c r="I26" s="97"/>
      <c r="J26" s="97"/>
      <c r="K26" s="97"/>
      <c r="L26" s="23"/>
      <c r="M26" s="20"/>
    </row>
    <row r="27" spans="1:13" x14ac:dyDescent="0.25">
      <c r="A27" s="98" t="s">
        <v>75</v>
      </c>
      <c r="B27" s="98"/>
      <c r="C27" s="98"/>
      <c r="D27" s="98"/>
      <c r="E27" s="98"/>
      <c r="F27" s="23">
        <f>1*50.89%</f>
        <v>0.50890000000000002</v>
      </c>
      <c r="G27" s="98"/>
      <c r="H27" s="98"/>
      <c r="I27" s="98"/>
      <c r="J27" s="98"/>
      <c r="K27" s="98"/>
      <c r="L27" s="65"/>
      <c r="M27" s="20"/>
    </row>
    <row r="28" spans="1:13" x14ac:dyDescent="0.25">
      <c r="A28" s="98" t="s">
        <v>70</v>
      </c>
      <c r="B28" s="98"/>
      <c r="C28" s="98"/>
      <c r="D28" s="98"/>
      <c r="E28" s="98"/>
      <c r="F28" s="23">
        <f>1*50.89%</f>
        <v>0.50890000000000002</v>
      </c>
      <c r="G28" s="97"/>
      <c r="H28" s="97"/>
      <c r="I28" s="97"/>
      <c r="J28" s="97"/>
      <c r="K28" s="97"/>
      <c r="L28" s="23"/>
      <c r="M28" s="20"/>
    </row>
    <row r="29" spans="1:13" ht="15" customHeight="1" x14ac:dyDescent="0.25">
      <c r="A29" s="98" t="s">
        <v>73</v>
      </c>
      <c r="B29" s="98"/>
      <c r="C29" s="98"/>
      <c r="D29" s="98"/>
      <c r="E29" s="98"/>
      <c r="F29" s="23">
        <f>2.87*50.89%</f>
        <v>1.4605430000000001</v>
      </c>
      <c r="G29" s="97"/>
      <c r="H29" s="97"/>
      <c r="I29" s="97"/>
      <c r="J29" s="97"/>
      <c r="K29" s="97"/>
      <c r="L29" s="23"/>
      <c r="M29" s="20"/>
    </row>
    <row r="30" spans="1:13" x14ac:dyDescent="0.25">
      <c r="A30" s="98" t="s">
        <v>49</v>
      </c>
      <c r="B30" s="98"/>
      <c r="C30" s="98"/>
      <c r="D30" s="98"/>
      <c r="E30" s="98"/>
      <c r="F30" s="23">
        <f>1.5*50.89%</f>
        <v>0.76334999999999997</v>
      </c>
      <c r="G30" s="97"/>
      <c r="H30" s="97"/>
      <c r="I30" s="97"/>
      <c r="J30" s="97"/>
      <c r="K30" s="97"/>
      <c r="L30" s="23"/>
      <c r="M30" s="20"/>
    </row>
    <row r="31" spans="1:13" ht="15.75" thickBot="1" x14ac:dyDescent="0.3">
      <c r="A31" s="98" t="s">
        <v>110</v>
      </c>
      <c r="B31" s="98"/>
      <c r="C31" s="98"/>
      <c r="D31" s="98"/>
      <c r="E31" s="98"/>
      <c r="F31" s="23">
        <f>1*50.89%</f>
        <v>0.50890000000000002</v>
      </c>
      <c r="G31" s="97"/>
      <c r="H31" s="97"/>
      <c r="I31" s="97"/>
      <c r="J31" s="97"/>
      <c r="K31" s="97"/>
      <c r="L31" s="23"/>
    </row>
    <row r="32" spans="1:13" ht="15.75" thickBot="1" x14ac:dyDescent="0.3">
      <c r="A32" s="99" t="s">
        <v>4</v>
      </c>
      <c r="B32" s="99"/>
      <c r="C32" s="99"/>
      <c r="D32" s="99"/>
      <c r="E32" s="100"/>
      <c r="F32" s="64">
        <f>SUM(F16:F31)</f>
        <v>9.7199899999999992</v>
      </c>
      <c r="G32" s="101" t="s">
        <v>4</v>
      </c>
      <c r="H32" s="99"/>
      <c r="I32" s="99"/>
      <c r="J32" s="99"/>
      <c r="K32" s="100"/>
      <c r="L32" s="64">
        <f>SUM(L16:L31)</f>
        <v>1.0178</v>
      </c>
      <c r="M32" s="76"/>
    </row>
    <row r="33" spans="1:12" ht="15.75" thickBot="1" x14ac:dyDescent="0.3"/>
    <row r="34" spans="1:12" ht="15.75" thickBot="1" x14ac:dyDescent="0.3">
      <c r="A34" s="17" t="s">
        <v>63</v>
      </c>
      <c r="F34" s="58">
        <v>661</v>
      </c>
    </row>
    <row r="35" spans="1:12" ht="60.75" thickBot="1" x14ac:dyDescent="0.3">
      <c r="A35" s="112" t="s">
        <v>5</v>
      </c>
      <c r="B35" s="113"/>
      <c r="C35" s="113"/>
      <c r="D35" s="113"/>
      <c r="E35" s="114"/>
      <c r="F35" s="62" t="s">
        <v>6</v>
      </c>
      <c r="G35" s="54" t="s">
        <v>1</v>
      </c>
      <c r="H35" s="54" t="s">
        <v>58</v>
      </c>
      <c r="I35" s="54" t="s">
        <v>59</v>
      </c>
      <c r="J35" s="54" t="s">
        <v>60</v>
      </c>
      <c r="K35" s="44" t="s">
        <v>61</v>
      </c>
      <c r="L35" s="31"/>
    </row>
    <row r="36" spans="1:12" ht="30.75" hidden="1" customHeight="1" x14ac:dyDescent="0.25">
      <c r="A36" s="88" t="s">
        <v>46</v>
      </c>
      <c r="B36" s="89"/>
      <c r="C36" s="89"/>
      <c r="D36" s="89"/>
      <c r="E36" s="90"/>
      <c r="F36" s="23">
        <f>'Услуга №1 '!F37</f>
        <v>11538</v>
      </c>
      <c r="G36" s="9">
        <v>0.89</v>
      </c>
      <c r="H36" s="4">
        <f>G36*F36*12</f>
        <v>123225.84</v>
      </c>
      <c r="I36" s="4">
        <f>H36*1.302</f>
        <v>160440.04368</v>
      </c>
      <c r="J36" s="9">
        <f>F34</f>
        <v>661</v>
      </c>
      <c r="K36" s="9">
        <f>I36/J36</f>
        <v>242.7232128290469</v>
      </c>
      <c r="L36" s="27"/>
    </row>
    <row r="37" spans="1:12" ht="14.25" hidden="1" customHeight="1" x14ac:dyDescent="0.25">
      <c r="A37" s="80" t="s">
        <v>71</v>
      </c>
      <c r="B37" s="80"/>
      <c r="C37" s="80"/>
      <c r="D37" s="80"/>
      <c r="E37" s="80"/>
      <c r="F37" s="23">
        <f>'Услуга №1 '!F38</f>
        <v>11538</v>
      </c>
      <c r="G37" s="9">
        <v>0.89</v>
      </c>
      <c r="H37" s="4">
        <f t="shared" ref="H37:H50" si="0">G37*F37*12</f>
        <v>123225.84</v>
      </c>
      <c r="I37" s="4">
        <f t="shared" ref="I37:I50" si="1">H37*1.302</f>
        <v>160440.04368</v>
      </c>
      <c r="J37" s="9">
        <f>J41</f>
        <v>661</v>
      </c>
      <c r="K37" s="9">
        <f t="shared" ref="K37:K50" si="2">I37/J37</f>
        <v>242.7232128290469</v>
      </c>
      <c r="L37" s="27"/>
    </row>
    <row r="38" spans="1:12" ht="14.25" hidden="1" customHeight="1" x14ac:dyDescent="0.25">
      <c r="A38" s="80" t="s">
        <v>74</v>
      </c>
      <c r="B38" s="80"/>
      <c r="C38" s="80"/>
      <c r="D38" s="80"/>
      <c r="E38" s="80"/>
      <c r="F38" s="23">
        <f>'Услуга №1 '!F39</f>
        <v>11538</v>
      </c>
      <c r="G38" s="9">
        <v>0.89</v>
      </c>
      <c r="H38" s="4">
        <f t="shared" si="0"/>
        <v>123225.84</v>
      </c>
      <c r="I38" s="4">
        <f t="shared" si="1"/>
        <v>160440.04368</v>
      </c>
      <c r="J38" s="9">
        <f>J36</f>
        <v>661</v>
      </c>
      <c r="K38" s="9">
        <f t="shared" si="2"/>
        <v>242.7232128290469</v>
      </c>
      <c r="L38" s="27"/>
    </row>
    <row r="39" spans="1:12" ht="13.5" hidden="1" customHeight="1" x14ac:dyDescent="0.25">
      <c r="A39" s="80" t="s">
        <v>69</v>
      </c>
      <c r="B39" s="80"/>
      <c r="C39" s="80"/>
      <c r="D39" s="80"/>
      <c r="E39" s="80"/>
      <c r="F39" s="23">
        <f>'Услуга №1 '!F40</f>
        <v>8837</v>
      </c>
      <c r="G39" s="9">
        <v>0.89</v>
      </c>
      <c r="H39" s="4">
        <f t="shared" si="0"/>
        <v>94379.16</v>
      </c>
      <c r="I39" s="4">
        <f t="shared" si="1"/>
        <v>122881.66632</v>
      </c>
      <c r="J39" s="9">
        <f>J36</f>
        <v>661</v>
      </c>
      <c r="K39" s="9">
        <f t="shared" si="2"/>
        <v>185.902672193646</v>
      </c>
      <c r="L39" s="27"/>
    </row>
    <row r="40" spans="1:12" ht="15.75" hidden="1" thickBot="1" x14ac:dyDescent="0.3">
      <c r="A40" s="80" t="s">
        <v>72</v>
      </c>
      <c r="B40" s="80"/>
      <c r="C40" s="80"/>
      <c r="D40" s="80"/>
      <c r="E40" s="80"/>
      <c r="F40" s="23">
        <f>'Услуга №1 '!F41</f>
        <v>4418.5</v>
      </c>
      <c r="G40" s="9">
        <v>0.44</v>
      </c>
      <c r="H40" s="4">
        <f t="shared" si="0"/>
        <v>23329.68</v>
      </c>
      <c r="I40" s="4">
        <f t="shared" si="1"/>
        <v>30375.24336</v>
      </c>
      <c r="J40" s="9">
        <f>J38</f>
        <v>661</v>
      </c>
      <c r="K40" s="9">
        <f t="shared" si="2"/>
        <v>45.953469531013617</v>
      </c>
      <c r="L40" s="27"/>
    </row>
    <row r="41" spans="1:12" ht="15.75" hidden="1" thickBot="1" x14ac:dyDescent="0.3">
      <c r="A41" s="80" t="s">
        <v>76</v>
      </c>
      <c r="B41" s="80"/>
      <c r="C41" s="80"/>
      <c r="D41" s="80"/>
      <c r="E41" s="80"/>
      <c r="F41" s="23">
        <f>'Услуга №1 '!F42</f>
        <v>8837</v>
      </c>
      <c r="G41" s="9">
        <v>0.89</v>
      </c>
      <c r="H41" s="4">
        <f t="shared" si="0"/>
        <v>94379.16</v>
      </c>
      <c r="I41" s="4">
        <f t="shared" si="1"/>
        <v>122881.66632</v>
      </c>
      <c r="J41" s="9">
        <f>J38</f>
        <v>661</v>
      </c>
      <c r="K41" s="9">
        <f t="shared" si="2"/>
        <v>185.902672193646</v>
      </c>
      <c r="L41" s="27"/>
    </row>
    <row r="42" spans="1:12" ht="15" hidden="1" customHeight="1" x14ac:dyDescent="0.25">
      <c r="A42" s="86" t="s">
        <v>41</v>
      </c>
      <c r="B42" s="86"/>
      <c r="C42" s="86"/>
      <c r="D42" s="86"/>
      <c r="E42" s="86"/>
      <c r="F42" s="9">
        <f>'Услуга №1 '!F43</f>
        <v>6556</v>
      </c>
      <c r="G42" s="9">
        <v>1.44</v>
      </c>
      <c r="H42" s="4">
        <f t="shared" si="0"/>
        <v>113287.67999999999</v>
      </c>
      <c r="I42" s="4">
        <f t="shared" si="1"/>
        <v>147500.55935999998</v>
      </c>
      <c r="J42" s="9">
        <f>J40</f>
        <v>661</v>
      </c>
      <c r="K42" s="9">
        <f t="shared" si="2"/>
        <v>223.14759358547653</v>
      </c>
      <c r="L42" s="27"/>
    </row>
    <row r="43" spans="1:12" ht="15.75" hidden="1" thickBot="1" x14ac:dyDescent="0.3">
      <c r="A43" s="91" t="s">
        <v>77</v>
      </c>
      <c r="B43" s="93"/>
      <c r="C43" s="93"/>
      <c r="D43" s="93"/>
      <c r="E43" s="94"/>
      <c r="F43" s="9">
        <f>'Услуга №1 '!F44</f>
        <v>3933</v>
      </c>
      <c r="G43" s="9">
        <v>0.89</v>
      </c>
      <c r="H43" s="4">
        <f t="shared" si="0"/>
        <v>42004.44</v>
      </c>
      <c r="I43" s="4">
        <f t="shared" si="1"/>
        <v>54689.780880000006</v>
      </c>
      <c r="J43" s="9">
        <f>J40</f>
        <v>661</v>
      </c>
      <c r="K43" s="9">
        <f t="shared" si="2"/>
        <v>82.737943842662645</v>
      </c>
      <c r="L43" s="27"/>
    </row>
    <row r="44" spans="1:12" ht="15.75" hidden="1" customHeight="1" x14ac:dyDescent="0.25">
      <c r="A44" s="80" t="s">
        <v>68</v>
      </c>
      <c r="B44" s="80"/>
      <c r="C44" s="80"/>
      <c r="D44" s="80"/>
      <c r="E44" s="80"/>
      <c r="F44" s="9">
        <f>'Услуга №1 '!F45</f>
        <v>4496</v>
      </c>
      <c r="G44" s="9">
        <v>0.89</v>
      </c>
      <c r="H44" s="4">
        <f t="shared" si="0"/>
        <v>48017.279999999999</v>
      </c>
      <c r="I44" s="4">
        <f t="shared" si="1"/>
        <v>62518.49856</v>
      </c>
      <c r="J44" s="9">
        <f>J41</f>
        <v>661</v>
      </c>
      <c r="K44" s="9">
        <f t="shared" si="2"/>
        <v>94.581692223903175</v>
      </c>
      <c r="L44" s="27"/>
    </row>
    <row r="45" spans="1:12" ht="15.75" hidden="1" thickBot="1" x14ac:dyDescent="0.3">
      <c r="A45" s="80" t="s">
        <v>78</v>
      </c>
      <c r="B45" s="80"/>
      <c r="C45" s="80"/>
      <c r="D45" s="80"/>
      <c r="E45" s="80"/>
      <c r="F45" s="9">
        <f>'Услуга №1 '!F46</f>
        <v>11538</v>
      </c>
      <c r="G45" s="9">
        <v>0.89</v>
      </c>
      <c r="H45" s="4">
        <f t="shared" si="0"/>
        <v>123225.84</v>
      </c>
      <c r="I45" s="4">
        <f t="shared" si="1"/>
        <v>160440.04368</v>
      </c>
      <c r="J45" s="9">
        <f>J42</f>
        <v>661</v>
      </c>
      <c r="K45" s="9">
        <f t="shared" si="2"/>
        <v>242.7232128290469</v>
      </c>
      <c r="L45" s="27"/>
    </row>
    <row r="46" spans="1:12" ht="15" hidden="1" customHeight="1" x14ac:dyDescent="0.25">
      <c r="A46" s="86" t="s">
        <v>48</v>
      </c>
      <c r="B46" s="86"/>
      <c r="C46" s="86"/>
      <c r="D46" s="86"/>
      <c r="E46" s="86"/>
      <c r="F46" s="9">
        <f>'Услуга №1 '!F47</f>
        <v>11538</v>
      </c>
      <c r="G46" s="9">
        <v>2.66</v>
      </c>
      <c r="H46" s="4">
        <f t="shared" si="0"/>
        <v>368292.96</v>
      </c>
      <c r="I46" s="4">
        <f t="shared" si="1"/>
        <v>479517.43392000004</v>
      </c>
      <c r="J46" s="9">
        <f>J42</f>
        <v>661</v>
      </c>
      <c r="K46" s="9">
        <f t="shared" si="2"/>
        <v>725.44241137670201</v>
      </c>
      <c r="L46" s="27"/>
    </row>
    <row r="47" spans="1:12" ht="15" hidden="1" customHeight="1" x14ac:dyDescent="0.25">
      <c r="A47" s="86" t="s">
        <v>75</v>
      </c>
      <c r="B47" s="86"/>
      <c r="C47" s="86"/>
      <c r="D47" s="86"/>
      <c r="E47" s="86"/>
      <c r="F47" s="9">
        <f>'Услуга №1 '!F48</f>
        <v>6556</v>
      </c>
      <c r="G47" s="9">
        <v>0.89</v>
      </c>
      <c r="H47" s="4">
        <f t="shared" si="0"/>
        <v>70018.080000000002</v>
      </c>
      <c r="I47" s="4">
        <f t="shared" si="1"/>
        <v>91163.540160000004</v>
      </c>
      <c r="J47" s="9">
        <f>J45</f>
        <v>661</v>
      </c>
      <c r="K47" s="9">
        <f t="shared" si="2"/>
        <v>137.91760992435704</v>
      </c>
      <c r="L47" s="27"/>
    </row>
    <row r="48" spans="1:12" ht="17.25" hidden="1" customHeight="1" x14ac:dyDescent="0.25">
      <c r="A48" s="86" t="s">
        <v>70</v>
      </c>
      <c r="B48" s="86"/>
      <c r="C48" s="86"/>
      <c r="D48" s="86"/>
      <c r="E48" s="86"/>
      <c r="F48" s="23">
        <f>'Услуга №1 '!F49</f>
        <v>11538</v>
      </c>
      <c r="G48" s="9">
        <v>0.89</v>
      </c>
      <c r="H48" s="4">
        <f t="shared" si="0"/>
        <v>123225.84</v>
      </c>
      <c r="I48" s="4">
        <f t="shared" si="1"/>
        <v>160440.04368</v>
      </c>
      <c r="J48" s="9">
        <f>J46</f>
        <v>661</v>
      </c>
      <c r="K48" s="9">
        <f t="shared" si="2"/>
        <v>242.7232128290469</v>
      </c>
      <c r="L48" s="27"/>
    </row>
    <row r="49" spans="1:13" ht="15" hidden="1" customHeight="1" x14ac:dyDescent="0.25">
      <c r="A49" s="86" t="s">
        <v>73</v>
      </c>
      <c r="B49" s="86"/>
      <c r="C49" s="86"/>
      <c r="D49" s="86"/>
      <c r="E49" s="86"/>
      <c r="F49" s="23">
        <f>'Услуга №1 '!F50</f>
        <v>8837</v>
      </c>
      <c r="G49" s="9">
        <v>2.1</v>
      </c>
      <c r="H49" s="4">
        <f t="shared" si="0"/>
        <v>222692.40000000002</v>
      </c>
      <c r="I49" s="4">
        <f t="shared" si="1"/>
        <v>289945.50480000005</v>
      </c>
      <c r="J49" s="9">
        <f>J48</f>
        <v>661</v>
      </c>
      <c r="K49" s="9">
        <f t="shared" si="2"/>
        <v>438.64675461422098</v>
      </c>
      <c r="L49" s="27"/>
    </row>
    <row r="50" spans="1:13" ht="15" hidden="1" customHeight="1" x14ac:dyDescent="0.25">
      <c r="A50" s="86" t="s">
        <v>49</v>
      </c>
      <c r="B50" s="86"/>
      <c r="C50" s="86"/>
      <c r="D50" s="86"/>
      <c r="E50" s="86"/>
      <c r="F50" s="23">
        <f>'Услуга №1 '!F51</f>
        <v>11538</v>
      </c>
      <c r="G50" s="9">
        <v>0.89</v>
      </c>
      <c r="H50" s="4">
        <f t="shared" si="0"/>
        <v>123225.84</v>
      </c>
      <c r="I50" s="59">
        <f t="shared" si="1"/>
        <v>160440.04368</v>
      </c>
      <c r="J50" s="9">
        <f>J49</f>
        <v>661</v>
      </c>
      <c r="K50" s="57">
        <f t="shared" si="2"/>
        <v>242.7232128290469</v>
      </c>
      <c r="L50" s="27"/>
    </row>
    <row r="51" spans="1:13" s="8" customFormat="1" ht="14.25" customHeight="1" thickBot="1" x14ac:dyDescent="0.3">
      <c r="A51" s="48" t="s">
        <v>79</v>
      </c>
      <c r="B51" s="49"/>
      <c r="C51" s="49"/>
      <c r="D51" s="49"/>
      <c r="E51" s="49"/>
      <c r="F51" s="3">
        <v>26157.98</v>
      </c>
      <c r="G51" s="3">
        <f>F32</f>
        <v>9.7199899999999992</v>
      </c>
      <c r="H51" s="5">
        <v>3051066.54</v>
      </c>
      <c r="I51" s="60">
        <f>(H51*1.302)</f>
        <v>3972488.6350800004</v>
      </c>
      <c r="J51" s="63">
        <f>J50</f>
        <v>661</v>
      </c>
      <c r="K51" s="60">
        <f>I51/F34</f>
        <v>6009.8163919515891</v>
      </c>
      <c r="L51" s="27"/>
      <c r="M51" s="7"/>
    </row>
    <row r="52" spans="1:13" ht="18" customHeight="1" x14ac:dyDescent="0.25">
      <c r="A52" s="87" t="s">
        <v>8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</row>
    <row r="53" spans="1:13" ht="45" x14ac:dyDescent="0.25">
      <c r="A53" s="85" t="s">
        <v>9</v>
      </c>
      <c r="B53" s="85"/>
      <c r="C53" s="85"/>
      <c r="D53" s="85"/>
      <c r="E53" s="85"/>
      <c r="F53" s="78" t="s">
        <v>7</v>
      </c>
      <c r="G53" s="78" t="s">
        <v>57</v>
      </c>
      <c r="H53" s="78" t="s">
        <v>56</v>
      </c>
      <c r="I53" s="78" t="s">
        <v>62</v>
      </c>
      <c r="J53" s="78" t="s">
        <v>60</v>
      </c>
      <c r="K53" s="21" t="s">
        <v>61</v>
      </c>
      <c r="L53" s="28"/>
    </row>
    <row r="54" spans="1:13" x14ac:dyDescent="0.25">
      <c r="A54" s="91" t="s">
        <v>42</v>
      </c>
      <c r="B54" s="93"/>
      <c r="C54" s="93"/>
      <c r="D54" s="93"/>
      <c r="E54" s="94"/>
      <c r="F54" s="22" t="s">
        <v>43</v>
      </c>
      <c r="G54" s="22">
        <f>I54/H54</f>
        <v>11.148382271468144</v>
      </c>
      <c r="H54" s="22">
        <v>7873.41</v>
      </c>
      <c r="I54" s="29">
        <f>172481.4*50.89%</f>
        <v>87775.784459999995</v>
      </c>
      <c r="J54" s="9">
        <f>J49</f>
        <v>661</v>
      </c>
      <c r="K54" s="30">
        <f>I54/J54</f>
        <v>132.79241219364599</v>
      </c>
      <c r="L54" s="28"/>
    </row>
    <row r="55" spans="1:13" x14ac:dyDescent="0.25">
      <c r="A55" s="80" t="s">
        <v>10</v>
      </c>
      <c r="B55" s="80"/>
      <c r="C55" s="80"/>
      <c r="D55" s="80"/>
      <c r="E55" s="80"/>
      <c r="F55" s="9" t="s">
        <v>13</v>
      </c>
      <c r="G55" s="22">
        <f t="shared" ref="G55:G58" si="3">I55/H55</f>
        <v>83.808203234326001</v>
      </c>
      <c r="H55" s="9">
        <v>1798.52</v>
      </c>
      <c r="I55" s="29">
        <f>296189.29*50.89%</f>
        <v>150730.729681</v>
      </c>
      <c r="J55" s="9">
        <f>J54</f>
        <v>661</v>
      </c>
      <c r="K55" s="30">
        <f t="shared" ref="K55:K58" si="4">I55/J55</f>
        <v>228.03438680937973</v>
      </c>
      <c r="L55" s="20"/>
    </row>
    <row r="56" spans="1:13" x14ac:dyDescent="0.25">
      <c r="A56" s="80" t="s">
        <v>11</v>
      </c>
      <c r="B56" s="80"/>
      <c r="C56" s="80"/>
      <c r="D56" s="80"/>
      <c r="E56" s="80"/>
      <c r="F56" s="9" t="s">
        <v>14</v>
      </c>
      <c r="G56" s="22">
        <f t="shared" si="3"/>
        <v>107.70131981599434</v>
      </c>
      <c r="H56" s="9">
        <v>42.39</v>
      </c>
      <c r="I56" s="29">
        <f>8971.23*50.89%</f>
        <v>4565.4589470000001</v>
      </c>
      <c r="J56" s="9">
        <f>J55</f>
        <v>661</v>
      </c>
      <c r="K56" s="30">
        <f t="shared" si="4"/>
        <v>6.9068970453857794</v>
      </c>
      <c r="L56" s="20"/>
    </row>
    <row r="57" spans="1:13" x14ac:dyDescent="0.25">
      <c r="A57" s="80" t="s">
        <v>12</v>
      </c>
      <c r="B57" s="80"/>
      <c r="C57" s="80"/>
      <c r="D57" s="80"/>
      <c r="E57" s="80"/>
      <c r="F57" s="9" t="s">
        <v>14</v>
      </c>
      <c r="G57" s="22">
        <f t="shared" si="3"/>
        <v>106.56622122134959</v>
      </c>
      <c r="H57" s="9">
        <v>62.39</v>
      </c>
      <c r="I57" s="29">
        <f>13064.78*50.89%</f>
        <v>6648.6665420000008</v>
      </c>
      <c r="J57" s="9">
        <f>J55</f>
        <v>661</v>
      </c>
      <c r="K57" s="30">
        <f t="shared" si="4"/>
        <v>10.058497037821484</v>
      </c>
      <c r="L57" s="20"/>
    </row>
    <row r="58" spans="1:13" ht="15.75" thickBot="1" x14ac:dyDescent="0.3">
      <c r="A58" s="91" t="s">
        <v>17</v>
      </c>
      <c r="B58" s="92"/>
      <c r="C58" s="92"/>
      <c r="D58" s="92"/>
      <c r="E58" s="92"/>
      <c r="F58" s="9" t="s">
        <v>14</v>
      </c>
      <c r="G58" s="22">
        <f t="shared" si="3"/>
        <v>6.1067611921708185</v>
      </c>
      <c r="H58" s="9">
        <v>1967</v>
      </c>
      <c r="I58" s="69">
        <f>23603.85*50.89%</f>
        <v>12011.999265</v>
      </c>
      <c r="J58" s="9">
        <f>J56</f>
        <v>661</v>
      </c>
      <c r="K58" s="70">
        <f t="shared" si="4"/>
        <v>18.172464848714071</v>
      </c>
      <c r="L58" s="20"/>
    </row>
    <row r="59" spans="1:13" s="8" customFormat="1" ht="15" customHeight="1" thickBot="1" x14ac:dyDescent="0.3">
      <c r="A59" s="95" t="s">
        <v>15</v>
      </c>
      <c r="B59" s="96"/>
      <c r="C59" s="96"/>
      <c r="D59" s="96"/>
      <c r="E59" s="96"/>
      <c r="F59" s="96"/>
      <c r="G59" s="96"/>
      <c r="H59" s="96"/>
      <c r="I59" s="60">
        <f>SUM(I54:I58)</f>
        <v>261732.63889499998</v>
      </c>
      <c r="J59" s="61">
        <f>J58</f>
        <v>661</v>
      </c>
      <c r="K59" s="60">
        <f>I59/J59</f>
        <v>395.96465793494701</v>
      </c>
      <c r="L59" s="27"/>
      <c r="M59" s="7"/>
    </row>
    <row r="61" spans="1:13" x14ac:dyDescent="0.25">
      <c r="A61" s="87" t="s">
        <v>16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</row>
    <row r="62" spans="1:13" ht="45" x14ac:dyDescent="0.25">
      <c r="A62" s="85" t="s">
        <v>20</v>
      </c>
      <c r="B62" s="85"/>
      <c r="C62" s="85"/>
      <c r="D62" s="85"/>
      <c r="E62" s="85"/>
      <c r="F62" s="22" t="s">
        <v>7</v>
      </c>
      <c r="G62" s="22" t="s">
        <v>57</v>
      </c>
      <c r="H62" s="22" t="s">
        <v>56</v>
      </c>
      <c r="I62" s="22" t="s">
        <v>62</v>
      </c>
      <c r="J62" s="22" t="s">
        <v>60</v>
      </c>
      <c r="K62" s="30" t="s">
        <v>61</v>
      </c>
      <c r="L62" s="28"/>
    </row>
    <row r="63" spans="1:13" ht="14.25" customHeight="1" x14ac:dyDescent="0.25">
      <c r="A63" s="80" t="s">
        <v>44</v>
      </c>
      <c r="B63" s="80"/>
      <c r="C63" s="80"/>
      <c r="D63" s="80"/>
      <c r="E63" s="80"/>
      <c r="F63" s="9" t="s">
        <v>18</v>
      </c>
      <c r="G63" s="9">
        <f>I63/H63</f>
        <v>6.1067878005513609</v>
      </c>
      <c r="H63" s="9">
        <v>834.3</v>
      </c>
      <c r="I63" s="9">
        <f>10011.58*50.89%</f>
        <v>5094.8930620000001</v>
      </c>
      <c r="J63" s="9">
        <f>J55</f>
        <v>661</v>
      </c>
      <c r="K63" s="77">
        <f t="shared" ref="K63:K66" si="5">I63/J63</f>
        <v>7.7078563721633886</v>
      </c>
      <c r="L63" s="20"/>
    </row>
    <row r="64" spans="1:13" ht="14.25" customHeight="1" x14ac:dyDescent="0.25">
      <c r="A64" s="80" t="s">
        <v>87</v>
      </c>
      <c r="B64" s="80"/>
      <c r="C64" s="80"/>
      <c r="D64" s="80"/>
      <c r="E64" s="80"/>
      <c r="F64" s="9" t="s">
        <v>18</v>
      </c>
      <c r="G64" s="9">
        <f t="shared" ref="G64:G66" si="6">I64/H64</f>
        <v>6.1068000000000007</v>
      </c>
      <c r="H64" s="9">
        <v>2900</v>
      </c>
      <c r="I64" s="9">
        <f>34800*50.89%</f>
        <v>17709.72</v>
      </c>
      <c r="J64" s="9">
        <f t="shared" ref="J64:J66" si="7">J56</f>
        <v>661</v>
      </c>
      <c r="K64" s="77">
        <f t="shared" si="5"/>
        <v>26.792314674735252</v>
      </c>
      <c r="L64" s="20"/>
    </row>
    <row r="65" spans="1:13" ht="14.25" customHeight="1" x14ac:dyDescent="0.25">
      <c r="A65" s="80" t="s">
        <v>88</v>
      </c>
      <c r="B65" s="80"/>
      <c r="C65" s="80"/>
      <c r="D65" s="80"/>
      <c r="E65" s="80"/>
      <c r="F65" s="9" t="s">
        <v>18</v>
      </c>
      <c r="G65" s="9">
        <f t="shared" si="6"/>
        <v>6.1068000000000007</v>
      </c>
      <c r="H65" s="9">
        <v>2100</v>
      </c>
      <c r="I65" s="9">
        <f>25200*50.89%</f>
        <v>12824.28</v>
      </c>
      <c r="J65" s="9">
        <f t="shared" si="7"/>
        <v>661</v>
      </c>
      <c r="K65" s="77">
        <f t="shared" si="5"/>
        <v>19.401331316187594</v>
      </c>
      <c r="L65" s="20"/>
    </row>
    <row r="66" spans="1:13" ht="23.25" customHeight="1" thickBot="1" x14ac:dyDescent="0.3">
      <c r="A66" s="88" t="s">
        <v>89</v>
      </c>
      <c r="B66" s="89"/>
      <c r="C66" s="89"/>
      <c r="D66" s="89"/>
      <c r="E66" s="90"/>
      <c r="F66" s="9" t="s">
        <v>18</v>
      </c>
      <c r="G66" s="9">
        <f t="shared" si="6"/>
        <v>6.1068000000000007</v>
      </c>
      <c r="H66" s="9">
        <v>800</v>
      </c>
      <c r="I66" s="57">
        <f>9600*50.89%</f>
        <v>4885.4400000000005</v>
      </c>
      <c r="J66" s="9">
        <f t="shared" si="7"/>
        <v>661</v>
      </c>
      <c r="K66" s="57">
        <f t="shared" si="5"/>
        <v>7.3909833585476559</v>
      </c>
      <c r="L66" s="27"/>
    </row>
    <row r="67" spans="1:13" s="8" customFormat="1" ht="15.75" customHeight="1" thickBot="1" x14ac:dyDescent="0.3">
      <c r="A67" s="81" t="s">
        <v>19</v>
      </c>
      <c r="B67" s="82"/>
      <c r="C67" s="82"/>
      <c r="D67" s="82"/>
      <c r="E67" s="82"/>
      <c r="F67" s="82"/>
      <c r="G67" s="82"/>
      <c r="H67" s="82"/>
      <c r="I67" s="60">
        <f>SUM(I63:I66)</f>
        <v>40514.333062000005</v>
      </c>
      <c r="J67" s="61">
        <f>J66</f>
        <v>661</v>
      </c>
      <c r="K67" s="60">
        <f>SUM(K63:K66)</f>
        <v>61.292485721633895</v>
      </c>
      <c r="L67" s="27"/>
      <c r="M67" s="7"/>
    </row>
    <row r="69" spans="1:13" x14ac:dyDescent="0.25">
      <c r="A69" s="87" t="s">
        <v>80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</row>
    <row r="70" spans="1:13" ht="45" x14ac:dyDescent="0.25">
      <c r="A70" s="112" t="s">
        <v>20</v>
      </c>
      <c r="B70" s="113"/>
      <c r="C70" s="113"/>
      <c r="D70" s="113"/>
      <c r="E70" s="114"/>
      <c r="F70" s="78" t="s">
        <v>7</v>
      </c>
      <c r="G70" s="78" t="s">
        <v>57</v>
      </c>
      <c r="H70" s="78" t="s">
        <v>56</v>
      </c>
      <c r="I70" s="78" t="s">
        <v>62</v>
      </c>
      <c r="J70" s="78" t="s">
        <v>60</v>
      </c>
      <c r="K70" s="21" t="s">
        <v>61</v>
      </c>
      <c r="L70" s="28"/>
      <c r="M70" s="31"/>
    </row>
    <row r="71" spans="1:13" ht="34.5" customHeight="1" x14ac:dyDescent="0.25">
      <c r="A71" s="80" t="s">
        <v>21</v>
      </c>
      <c r="B71" s="80"/>
      <c r="C71" s="80"/>
      <c r="D71" s="80"/>
      <c r="E71" s="80"/>
      <c r="F71" s="32" t="s">
        <v>22</v>
      </c>
      <c r="G71" s="9">
        <v>2</v>
      </c>
      <c r="H71" s="33">
        <v>400</v>
      </c>
      <c r="I71" s="9">
        <f>9600*50.89%</f>
        <v>4885.4400000000005</v>
      </c>
      <c r="J71" s="9">
        <f>J66</f>
        <v>661</v>
      </c>
      <c r="K71" s="77">
        <f>I71/J71</f>
        <v>7.3909833585476559</v>
      </c>
      <c r="L71" s="20"/>
      <c r="M71" s="27"/>
    </row>
    <row r="72" spans="1:13" ht="35.25" customHeight="1" x14ac:dyDescent="0.25">
      <c r="A72" s="91" t="s">
        <v>90</v>
      </c>
      <c r="B72" s="93"/>
      <c r="C72" s="93"/>
      <c r="D72" s="93"/>
      <c r="E72" s="94"/>
      <c r="F72" s="32" t="s">
        <v>22</v>
      </c>
      <c r="G72" s="9">
        <v>1</v>
      </c>
      <c r="H72" s="33">
        <v>350</v>
      </c>
      <c r="I72" s="9">
        <f>4200*50.89%</f>
        <v>2137.38</v>
      </c>
      <c r="J72" s="9">
        <f>J71</f>
        <v>661</v>
      </c>
      <c r="K72" s="77">
        <f>I72/J72</f>
        <v>3.2335552193645993</v>
      </c>
      <c r="L72" s="20"/>
      <c r="M72" s="27"/>
    </row>
    <row r="73" spans="1:13" ht="35.25" customHeight="1" thickBot="1" x14ac:dyDescent="0.3">
      <c r="A73" s="80" t="s">
        <v>81</v>
      </c>
      <c r="B73" s="80"/>
      <c r="C73" s="80"/>
      <c r="D73" s="80"/>
      <c r="E73" s="80"/>
      <c r="F73" s="32" t="s">
        <v>82</v>
      </c>
      <c r="G73" s="9">
        <v>9</v>
      </c>
      <c r="H73" s="33">
        <v>555.55999999999995</v>
      </c>
      <c r="I73" s="57">
        <f>60000*50.89%</f>
        <v>30534</v>
      </c>
      <c r="J73" s="9">
        <f>J71</f>
        <v>661</v>
      </c>
      <c r="K73" s="73">
        <f>I73/J73</f>
        <v>46.193645990922846</v>
      </c>
      <c r="L73" s="20"/>
      <c r="M73" s="27"/>
    </row>
    <row r="74" spans="1:13" ht="15.75" thickBot="1" x14ac:dyDescent="0.3">
      <c r="A74" s="81" t="s">
        <v>23</v>
      </c>
      <c r="B74" s="82"/>
      <c r="C74" s="82"/>
      <c r="D74" s="82"/>
      <c r="E74" s="82"/>
      <c r="F74" s="82"/>
      <c r="G74" s="82"/>
      <c r="H74" s="82"/>
      <c r="I74" s="71">
        <f>SUM(I71:I73)</f>
        <v>37556.82</v>
      </c>
      <c r="J74" s="72">
        <f>J73</f>
        <v>661</v>
      </c>
      <c r="K74" s="71">
        <f>SUM(K71:K73)</f>
        <v>56.8181845688351</v>
      </c>
      <c r="L74" s="12"/>
      <c r="M74" s="27"/>
    </row>
    <row r="75" spans="1:13" x14ac:dyDescent="0.25">
      <c r="A75" s="26"/>
      <c r="B75" s="26"/>
      <c r="C75" s="26"/>
      <c r="D75" s="26"/>
      <c r="E75" s="26"/>
      <c r="F75" s="27"/>
      <c r="G75" s="27"/>
      <c r="H75" s="27"/>
      <c r="I75" s="27"/>
      <c r="J75" s="27"/>
      <c r="K75" s="27"/>
      <c r="L75" s="27"/>
    </row>
    <row r="76" spans="1:13" x14ac:dyDescent="0.25">
      <c r="A76" s="87" t="s">
        <v>40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</row>
    <row r="77" spans="1:13" ht="57" customHeight="1" thickBot="1" x14ac:dyDescent="0.3">
      <c r="A77" s="112" t="s">
        <v>5</v>
      </c>
      <c r="B77" s="113"/>
      <c r="C77" s="113"/>
      <c r="D77" s="113"/>
      <c r="E77" s="114"/>
      <c r="F77" s="54" t="s">
        <v>6</v>
      </c>
      <c r="G77" s="54" t="s">
        <v>1</v>
      </c>
      <c r="H77" s="54" t="s">
        <v>58</v>
      </c>
      <c r="I77" s="54" t="s">
        <v>59</v>
      </c>
      <c r="J77" s="54" t="s">
        <v>60</v>
      </c>
      <c r="K77" s="21" t="s">
        <v>61</v>
      </c>
      <c r="L77" s="28"/>
    </row>
    <row r="78" spans="1:13" hidden="1" x14ac:dyDescent="0.25">
      <c r="A78" s="80" t="s">
        <v>3</v>
      </c>
      <c r="B78" s="80"/>
      <c r="C78" s="80"/>
      <c r="D78" s="80"/>
      <c r="E78" s="80"/>
      <c r="F78" s="23">
        <f>'Услуга №1 '!F80</f>
        <v>15898</v>
      </c>
      <c r="G78" s="9">
        <v>0.87</v>
      </c>
      <c r="H78" s="4">
        <f>F78*G78*12</f>
        <v>165975.12</v>
      </c>
      <c r="I78" s="9">
        <f>H78*1.302</f>
        <v>216099.60623999999</v>
      </c>
      <c r="J78" s="9">
        <v>31232</v>
      </c>
      <c r="K78" s="55">
        <f>I78/J78</f>
        <v>6.9191728432377051</v>
      </c>
      <c r="L78" s="20"/>
    </row>
    <row r="79" spans="1:13" ht="20.25" hidden="1" customHeight="1" x14ac:dyDescent="0.25">
      <c r="A79" s="80" t="s">
        <v>45</v>
      </c>
      <c r="B79" s="80"/>
      <c r="C79" s="80"/>
      <c r="D79" s="80"/>
      <c r="E79" s="80"/>
      <c r="F79" s="23">
        <f>'Услуга №1 '!F81</f>
        <v>14309</v>
      </c>
      <c r="G79" s="9">
        <v>0.87</v>
      </c>
      <c r="H79" s="4">
        <f>F79*G79*12</f>
        <v>149385.96</v>
      </c>
      <c r="I79" s="57">
        <f>H79*1.302</f>
        <v>194500.51991999999</v>
      </c>
      <c r="J79" s="9">
        <f>J78</f>
        <v>31232</v>
      </c>
      <c r="K79" s="73">
        <f>I79/J79</f>
        <v>6.2276037371926227</v>
      </c>
      <c r="L79" s="20"/>
    </row>
    <row r="80" spans="1:13" ht="15.75" thickBot="1" x14ac:dyDescent="0.3">
      <c r="A80" s="56" t="s">
        <v>24</v>
      </c>
      <c r="B80" s="56"/>
      <c r="C80" s="56"/>
      <c r="D80" s="56"/>
      <c r="E80" s="56"/>
      <c r="F80" s="43">
        <v>26157.98</v>
      </c>
      <c r="G80" s="43">
        <f>L32</f>
        <v>1.0178</v>
      </c>
      <c r="H80" s="74">
        <v>320173.65000000002</v>
      </c>
      <c r="I80" s="71">
        <f>H80*1.302</f>
        <v>416866.09230000002</v>
      </c>
      <c r="J80" s="72">
        <f>F34</f>
        <v>661</v>
      </c>
      <c r="K80" s="71">
        <f>I80/J80</f>
        <v>630.65974629349478</v>
      </c>
      <c r="L80" s="27"/>
    </row>
    <row r="81" spans="1:13" ht="10.5" customHeight="1" x14ac:dyDescent="0.25">
      <c r="F81" s="50"/>
      <c r="G81" s="50"/>
      <c r="H81" s="50"/>
      <c r="I81" s="50"/>
      <c r="J81" s="50"/>
      <c r="K81" s="50"/>
      <c r="L81" s="50"/>
    </row>
    <row r="82" spans="1:13" s="8" customFormat="1" x14ac:dyDescent="0.25">
      <c r="A82" s="83" t="s">
        <v>65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4"/>
      <c r="M82" s="7"/>
    </row>
    <row r="83" spans="1:13" ht="49.5" customHeight="1" x14ac:dyDescent="0.25">
      <c r="A83" s="85" t="s">
        <v>67</v>
      </c>
      <c r="B83" s="85"/>
      <c r="C83" s="85"/>
      <c r="D83" s="85"/>
      <c r="E83" s="85"/>
      <c r="F83" s="78" t="s">
        <v>7</v>
      </c>
      <c r="G83" s="78" t="s">
        <v>57</v>
      </c>
      <c r="H83" s="78" t="s">
        <v>56</v>
      </c>
      <c r="I83" s="78" t="s">
        <v>62</v>
      </c>
      <c r="J83" s="78" t="s">
        <v>60</v>
      </c>
      <c r="K83" s="21" t="s">
        <v>61</v>
      </c>
      <c r="L83" s="28"/>
    </row>
    <row r="84" spans="1:13" ht="33" customHeight="1" thickBot="1" x14ac:dyDescent="0.3">
      <c r="A84" s="88" t="s">
        <v>64</v>
      </c>
      <c r="B84" s="89"/>
      <c r="C84" s="89"/>
      <c r="D84" s="89"/>
      <c r="E84" s="90"/>
      <c r="F84" s="9" t="s">
        <v>25</v>
      </c>
      <c r="G84" s="9">
        <v>11</v>
      </c>
      <c r="H84" s="4">
        <v>5870.58</v>
      </c>
      <c r="I84" s="57">
        <f>64576.39*50.89%</f>
        <v>32862.924871000003</v>
      </c>
      <c r="J84" s="9">
        <v>661</v>
      </c>
      <c r="K84" s="73">
        <f>I84/J84</f>
        <v>49.716981650529505</v>
      </c>
      <c r="L84" s="20"/>
    </row>
    <row r="85" spans="1:13" s="8" customFormat="1" ht="14.25" customHeight="1" thickBot="1" x14ac:dyDescent="0.3">
      <c r="A85" s="81" t="s">
        <v>66</v>
      </c>
      <c r="B85" s="82"/>
      <c r="C85" s="82"/>
      <c r="D85" s="82"/>
      <c r="E85" s="82"/>
      <c r="F85" s="82"/>
      <c r="G85" s="82"/>
      <c r="H85" s="82"/>
      <c r="I85" s="71">
        <f>SUM(I84:I84)</f>
        <v>32862.924871000003</v>
      </c>
      <c r="J85" s="72">
        <v>661</v>
      </c>
      <c r="K85" s="71">
        <f>SUM(K84:K84)</f>
        <v>49.716981650529505</v>
      </c>
      <c r="L85" s="27"/>
      <c r="M85" s="7"/>
    </row>
    <row r="86" spans="1:13" s="8" customFormat="1" ht="9" hidden="1" customHeight="1" x14ac:dyDescent="0.25">
      <c r="A86" s="36"/>
      <c r="B86" s="36"/>
      <c r="C86" s="36"/>
      <c r="D86" s="36"/>
      <c r="E86" s="36"/>
      <c r="F86" s="36"/>
      <c r="G86" s="36"/>
      <c r="H86" s="36"/>
      <c r="I86" s="12"/>
      <c r="J86" s="12"/>
      <c r="K86" s="12"/>
      <c r="L86" s="27"/>
      <c r="M86" s="7"/>
    </row>
    <row r="87" spans="1:13" s="8" customFormat="1" x14ac:dyDescent="0.25">
      <c r="A87" s="83" t="s">
        <v>94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4"/>
      <c r="M87" s="7"/>
    </row>
    <row r="88" spans="1:13" ht="49.5" customHeight="1" x14ac:dyDescent="0.25">
      <c r="A88" s="85" t="s">
        <v>67</v>
      </c>
      <c r="B88" s="85"/>
      <c r="C88" s="85"/>
      <c r="D88" s="85"/>
      <c r="E88" s="85"/>
      <c r="F88" s="78" t="s">
        <v>7</v>
      </c>
      <c r="G88" s="78" t="s">
        <v>57</v>
      </c>
      <c r="H88" s="78" t="s">
        <v>56</v>
      </c>
      <c r="I88" s="78" t="s">
        <v>62</v>
      </c>
      <c r="J88" s="78" t="s">
        <v>60</v>
      </c>
      <c r="K88" s="21" t="s">
        <v>61</v>
      </c>
      <c r="L88" s="28"/>
    </row>
    <row r="89" spans="1:13" ht="15.75" thickBot="1" x14ac:dyDescent="0.3">
      <c r="A89" s="80" t="s">
        <v>95</v>
      </c>
      <c r="B89" s="80"/>
      <c r="C89" s="80"/>
      <c r="D89" s="80"/>
      <c r="E89" s="80"/>
      <c r="F89" s="9"/>
      <c r="G89" s="9"/>
      <c r="H89" s="4"/>
      <c r="I89" s="57">
        <f>45420*50.89%</f>
        <v>23114.238000000001</v>
      </c>
      <c r="J89" s="9">
        <f>J85</f>
        <v>661</v>
      </c>
      <c r="K89" s="73">
        <f>I89/J89</f>
        <v>34.968590015128598</v>
      </c>
      <c r="L89" s="20"/>
    </row>
    <row r="90" spans="1:13" s="8" customFormat="1" ht="15.75" thickBot="1" x14ac:dyDescent="0.3">
      <c r="A90" s="81" t="s">
        <v>97</v>
      </c>
      <c r="B90" s="82"/>
      <c r="C90" s="82"/>
      <c r="D90" s="82"/>
      <c r="E90" s="82"/>
      <c r="F90" s="82"/>
      <c r="G90" s="82"/>
      <c r="H90" s="82"/>
      <c r="I90" s="71">
        <f>SUM(I89:I89)</f>
        <v>23114.238000000001</v>
      </c>
      <c r="J90" s="72">
        <f>J89</f>
        <v>661</v>
      </c>
      <c r="K90" s="71">
        <f>SUM(K89:K89)</f>
        <v>34.968590015128598</v>
      </c>
      <c r="L90" s="27"/>
      <c r="M90" s="7"/>
    </row>
    <row r="91" spans="1:13" s="8" customFormat="1" x14ac:dyDescent="0.25">
      <c r="A91" s="37"/>
      <c r="B91" s="37"/>
      <c r="C91" s="37"/>
      <c r="D91" s="37"/>
      <c r="E91" s="37"/>
      <c r="F91" s="37"/>
      <c r="G91" s="37"/>
      <c r="H91" s="37"/>
      <c r="I91" s="13"/>
      <c r="J91" s="13"/>
      <c r="K91" s="13"/>
      <c r="L91" s="27"/>
      <c r="M91" s="7"/>
    </row>
    <row r="92" spans="1:13" s="8" customFormat="1" x14ac:dyDescent="0.25">
      <c r="A92" s="83" t="s">
        <v>96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4"/>
      <c r="M92" s="7"/>
    </row>
    <row r="93" spans="1:13" ht="49.5" customHeight="1" x14ac:dyDescent="0.25">
      <c r="A93" s="85" t="s">
        <v>67</v>
      </c>
      <c r="B93" s="85"/>
      <c r="C93" s="85"/>
      <c r="D93" s="85"/>
      <c r="E93" s="85"/>
      <c r="F93" s="78" t="s">
        <v>7</v>
      </c>
      <c r="G93" s="78" t="s">
        <v>57</v>
      </c>
      <c r="H93" s="78" t="s">
        <v>56</v>
      </c>
      <c r="I93" s="78" t="s">
        <v>62</v>
      </c>
      <c r="J93" s="78" t="s">
        <v>60</v>
      </c>
      <c r="K93" s="21" t="s">
        <v>61</v>
      </c>
      <c r="L93" s="28"/>
    </row>
    <row r="94" spans="1:13" ht="15.75" thickBot="1" x14ac:dyDescent="0.3">
      <c r="A94" s="80" t="s">
        <v>98</v>
      </c>
      <c r="B94" s="80"/>
      <c r="C94" s="80"/>
      <c r="D94" s="80"/>
      <c r="E94" s="80"/>
      <c r="F94" s="9"/>
      <c r="G94" s="9"/>
      <c r="H94" s="4"/>
      <c r="I94" s="57">
        <f>66100*50.89%+1.96</f>
        <v>33640.25</v>
      </c>
      <c r="J94" s="9">
        <f>J90</f>
        <v>661</v>
      </c>
      <c r="K94" s="73">
        <f>I94/J94</f>
        <v>50.892965204236006</v>
      </c>
      <c r="L94" s="20"/>
    </row>
    <row r="95" spans="1:13" s="8" customFormat="1" ht="15.75" thickBot="1" x14ac:dyDescent="0.3">
      <c r="A95" s="81" t="s">
        <v>99</v>
      </c>
      <c r="B95" s="82"/>
      <c r="C95" s="82"/>
      <c r="D95" s="82"/>
      <c r="E95" s="82"/>
      <c r="F95" s="82"/>
      <c r="G95" s="82"/>
      <c r="H95" s="82"/>
      <c r="I95" s="71">
        <f>SUM(I94:I94)</f>
        <v>33640.25</v>
      </c>
      <c r="J95" s="72">
        <f>J94</f>
        <v>661</v>
      </c>
      <c r="K95" s="71">
        <f>SUM(K94:K94)</f>
        <v>50.892965204236006</v>
      </c>
      <c r="L95" s="27"/>
      <c r="M95" s="7"/>
    </row>
    <row r="96" spans="1:13" s="8" customFormat="1" x14ac:dyDescent="0.25">
      <c r="A96" s="36"/>
      <c r="B96" s="36"/>
      <c r="C96" s="36"/>
      <c r="D96" s="36"/>
      <c r="E96" s="36"/>
      <c r="F96" s="36"/>
      <c r="G96" s="36"/>
      <c r="H96" s="36"/>
      <c r="I96" s="12"/>
      <c r="J96" s="12"/>
      <c r="K96" s="12"/>
      <c r="L96" s="27"/>
      <c r="M96" s="7"/>
    </row>
    <row r="97" spans="1:12" x14ac:dyDescent="0.25">
      <c r="A97" s="87" t="s">
        <v>26</v>
      </c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</row>
    <row r="98" spans="1:12" hidden="1" x14ac:dyDescent="0.25"/>
    <row r="99" spans="1:12" ht="15" customHeight="1" x14ac:dyDescent="0.25">
      <c r="A99" s="117" t="s">
        <v>27</v>
      </c>
      <c r="B99" s="117"/>
      <c r="C99" s="117"/>
      <c r="D99" s="85" t="s">
        <v>28</v>
      </c>
      <c r="E99" s="85"/>
      <c r="F99" s="85"/>
      <c r="G99" s="85"/>
      <c r="H99" s="85"/>
      <c r="I99" s="85"/>
      <c r="J99" s="85"/>
      <c r="K99" s="119" t="s">
        <v>39</v>
      </c>
      <c r="L99" s="120"/>
    </row>
    <row r="100" spans="1:12" ht="30" x14ac:dyDescent="0.25">
      <c r="A100" s="9" t="s">
        <v>29</v>
      </c>
      <c r="B100" s="22" t="s">
        <v>30</v>
      </c>
      <c r="C100" s="9" t="s">
        <v>31</v>
      </c>
      <c r="D100" s="9" t="s">
        <v>32</v>
      </c>
      <c r="E100" s="9" t="s">
        <v>33</v>
      </c>
      <c r="F100" s="9" t="s">
        <v>34</v>
      </c>
      <c r="G100" s="9" t="s">
        <v>35</v>
      </c>
      <c r="H100" s="9" t="s">
        <v>36</v>
      </c>
      <c r="I100" s="9" t="s">
        <v>37</v>
      </c>
      <c r="J100" s="9" t="s">
        <v>38</v>
      </c>
      <c r="K100" s="121"/>
      <c r="L100" s="122"/>
    </row>
    <row r="101" spans="1:12" x14ac:dyDescent="0.25">
      <c r="A101" s="9">
        <f>K51</f>
        <v>6009.8163919515891</v>
      </c>
      <c r="B101" s="9"/>
      <c r="C101" s="9">
        <v>0</v>
      </c>
      <c r="D101" s="9">
        <f>K59</f>
        <v>395.96465793494701</v>
      </c>
      <c r="E101" s="9">
        <f>K67</f>
        <v>61.292485721633895</v>
      </c>
      <c r="F101" s="9"/>
      <c r="G101" s="9">
        <f>K74</f>
        <v>56.8181845688351</v>
      </c>
      <c r="H101" s="9">
        <v>0</v>
      </c>
      <c r="I101" s="9">
        <f>K80</f>
        <v>630.65974629349478</v>
      </c>
      <c r="J101" s="9">
        <f>K85+K90+K95</f>
        <v>135.57853686989409</v>
      </c>
      <c r="K101" s="115">
        <f>SUM(A101:J101)</f>
        <v>7290.130003340395</v>
      </c>
      <c r="L101" s="116"/>
    </row>
    <row r="103" spans="1:12" ht="15.75" thickBot="1" x14ac:dyDescent="0.3">
      <c r="A103" s="38"/>
      <c r="B103" s="39"/>
      <c r="C103" s="40"/>
      <c r="D103" s="1"/>
      <c r="E103" s="1"/>
      <c r="F103" s="1"/>
    </row>
    <row r="104" spans="1:12" ht="16.5" thickBot="1" x14ac:dyDescent="0.3">
      <c r="A104" s="14" t="s">
        <v>54</v>
      </c>
      <c r="B104" s="14"/>
      <c r="C104" s="14"/>
      <c r="D104" s="14"/>
      <c r="E104" s="14"/>
      <c r="F104" s="52"/>
      <c r="G104" s="52" t="s">
        <v>113</v>
      </c>
      <c r="H104" s="52"/>
      <c r="I104" s="75">
        <f>I51+I59+I67+I74+I80+I85+I90+I95</f>
        <v>4818775.9322080007</v>
      </c>
      <c r="L104" s="75">
        <f>K101*661</f>
        <v>4818775.9322080007</v>
      </c>
    </row>
    <row r="105" spans="1:12" ht="15.75" x14ac:dyDescent="0.25">
      <c r="A105" s="42"/>
      <c r="B105" s="14"/>
      <c r="C105" s="2"/>
      <c r="D105" s="2"/>
      <c r="E105" s="2"/>
      <c r="F105" s="2"/>
    </row>
    <row r="107" spans="1:12" ht="15.75" x14ac:dyDescent="0.25">
      <c r="A107" s="42" t="s">
        <v>100</v>
      </c>
      <c r="B107" s="14"/>
      <c r="C107" s="42"/>
      <c r="D107" s="14"/>
    </row>
    <row r="108" spans="1:12" ht="15.75" x14ac:dyDescent="0.25">
      <c r="A108" s="42" t="s">
        <v>55</v>
      </c>
      <c r="B108" s="14"/>
      <c r="C108" s="42"/>
      <c r="D108" s="14"/>
    </row>
  </sheetData>
  <mergeCells count="98">
    <mergeCell ref="A87:L87"/>
    <mergeCell ref="A88:E88"/>
    <mergeCell ref="A89:E89"/>
    <mergeCell ref="A90:H90"/>
    <mergeCell ref="A92:L92"/>
    <mergeCell ref="A93:E93"/>
    <mergeCell ref="A94:E94"/>
    <mergeCell ref="A95:H95"/>
    <mergeCell ref="A62:E62"/>
    <mergeCell ref="A63:E63"/>
    <mergeCell ref="A67:H67"/>
    <mergeCell ref="A69:L69"/>
    <mergeCell ref="A70:E70"/>
    <mergeCell ref="A71:E71"/>
    <mergeCell ref="A74:H74"/>
    <mergeCell ref="A15:E15"/>
    <mergeCell ref="G15:K15"/>
    <mergeCell ref="A19:E19"/>
    <mergeCell ref="G19:K19"/>
    <mergeCell ref="A52:L52"/>
    <mergeCell ref="A53:E53"/>
    <mergeCell ref="A54:E54"/>
    <mergeCell ref="A59:H59"/>
    <mergeCell ref="A61:L61"/>
    <mergeCell ref="A4:E4"/>
    <mergeCell ref="A7:L7"/>
    <mergeCell ref="A8:L8"/>
    <mergeCell ref="A9:L9"/>
    <mergeCell ref="A20:E20"/>
    <mergeCell ref="G20:K20"/>
    <mergeCell ref="A21:E21"/>
    <mergeCell ref="G21:K21"/>
    <mergeCell ref="A16:E16"/>
    <mergeCell ref="G16:K16"/>
    <mergeCell ref="A17:E17"/>
    <mergeCell ref="G17:K17"/>
    <mergeCell ref="A18:E18"/>
    <mergeCell ref="G18:K18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31:E31"/>
    <mergeCell ref="G31:K31"/>
    <mergeCell ref="A32:E32"/>
    <mergeCell ref="G32:K32"/>
    <mergeCell ref="A28:E28"/>
    <mergeCell ref="G28:K28"/>
    <mergeCell ref="A29:E29"/>
    <mergeCell ref="G29:K29"/>
    <mergeCell ref="A30:E30"/>
    <mergeCell ref="G30:K30"/>
    <mergeCell ref="A41:E41"/>
    <mergeCell ref="A42:E42"/>
    <mergeCell ref="A43:E43"/>
    <mergeCell ref="A44:E44"/>
    <mergeCell ref="A45:E45"/>
    <mergeCell ref="A46:E46"/>
    <mergeCell ref="A35:E35"/>
    <mergeCell ref="A36:E36"/>
    <mergeCell ref="A37:E37"/>
    <mergeCell ref="A38:E38"/>
    <mergeCell ref="A39:E39"/>
    <mergeCell ref="A40:E40"/>
    <mergeCell ref="A56:E56"/>
    <mergeCell ref="A57:E57"/>
    <mergeCell ref="A58:E58"/>
    <mergeCell ref="A47:E47"/>
    <mergeCell ref="A48:E48"/>
    <mergeCell ref="A49:E49"/>
    <mergeCell ref="A50:E50"/>
    <mergeCell ref="A55:E55"/>
    <mergeCell ref="A72:E72"/>
    <mergeCell ref="A73:E73"/>
    <mergeCell ref="A64:E64"/>
    <mergeCell ref="A65:E65"/>
    <mergeCell ref="A66:E66"/>
    <mergeCell ref="A83:E83"/>
    <mergeCell ref="A84:E84"/>
    <mergeCell ref="A85:H85"/>
    <mergeCell ref="A76:L76"/>
    <mergeCell ref="A77:E77"/>
    <mergeCell ref="A78:E78"/>
    <mergeCell ref="A79:E79"/>
    <mergeCell ref="A82:L82"/>
    <mergeCell ref="K101:L101"/>
    <mergeCell ref="A97:L97"/>
    <mergeCell ref="A99:C99"/>
    <mergeCell ref="D99:J99"/>
    <mergeCell ref="K99:L100"/>
  </mergeCells>
  <pageMargins left="0.65" right="0.53" top="0.45" bottom="0.37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Услуга №1 </vt:lpstr>
      <vt:lpstr>Услуга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2021-12-23T10:31:24Z</dcterms:modified>
</cp:coreProperties>
</file>