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59" activeTab="2"/>
  </bookViews>
  <sheets>
    <sheet name="СВОД" sheetId="12" r:id="rId1"/>
    <sheet name="Услуга №1" sheetId="8" r:id="rId2"/>
    <sheet name="Услуга №3" sheetId="14" r:id="rId3"/>
  </sheets>
  <calcPr calcId="162913"/>
</workbook>
</file>

<file path=xl/calcChain.xml><?xml version="1.0" encoding="utf-8"?>
<calcChain xmlns="http://schemas.openxmlformats.org/spreadsheetml/2006/main">
  <c r="K121" i="8" l="1"/>
  <c r="I121" i="8"/>
  <c r="I105" i="8"/>
  <c r="I111" i="8"/>
  <c r="I121" i="14"/>
  <c r="I123" i="14" s="1"/>
  <c r="G99" i="14"/>
  <c r="I115" i="14"/>
  <c r="I104" i="14"/>
  <c r="I103" i="14"/>
  <c r="I86" i="14"/>
  <c r="I85" i="14"/>
  <c r="I84" i="14"/>
  <c r="I83" i="14"/>
  <c r="I78" i="14"/>
  <c r="I77" i="14"/>
  <c r="I76" i="14"/>
  <c r="I75" i="14"/>
  <c r="I74" i="14"/>
  <c r="I73" i="14"/>
  <c r="I72" i="14"/>
  <c r="I66" i="14"/>
  <c r="G66" i="14" s="1"/>
  <c r="I65" i="14"/>
  <c r="G65" i="14" s="1"/>
  <c r="I64" i="14"/>
  <c r="I63" i="14"/>
  <c r="J123" i="14"/>
  <c r="J121" i="14"/>
  <c r="J117" i="14"/>
  <c r="J115" i="14"/>
  <c r="J105" i="14"/>
  <c r="J104" i="14"/>
  <c r="J103" i="14"/>
  <c r="J99" i="14"/>
  <c r="J83" i="14"/>
  <c r="H118" i="8"/>
  <c r="I122" i="14"/>
  <c r="I116" i="14"/>
  <c r="I110" i="14"/>
  <c r="I111" i="14" s="1"/>
  <c r="M111" i="14" s="1"/>
  <c r="I99" i="14"/>
  <c r="G98" i="14"/>
  <c r="H98" i="14" s="1"/>
  <c r="I98" i="14" s="1"/>
  <c r="I97" i="14"/>
  <c r="H97" i="14"/>
  <c r="G97" i="14"/>
  <c r="G96" i="14"/>
  <c r="H96" i="14" s="1"/>
  <c r="I96" i="14" s="1"/>
  <c r="H95" i="14"/>
  <c r="I95" i="14" s="1"/>
  <c r="G95" i="14"/>
  <c r="H94" i="14"/>
  <c r="I94" i="14" s="1"/>
  <c r="G94" i="14"/>
  <c r="H93" i="14"/>
  <c r="I93" i="14" s="1"/>
  <c r="G93" i="14"/>
  <c r="G92" i="14"/>
  <c r="H92" i="14" s="1"/>
  <c r="I92" i="14" s="1"/>
  <c r="K67" i="14"/>
  <c r="G64" i="14"/>
  <c r="J63" i="14"/>
  <c r="J64" i="14" s="1"/>
  <c r="G63" i="14"/>
  <c r="I94" i="8"/>
  <c r="I93" i="8"/>
  <c r="I76" i="8"/>
  <c r="I75" i="8"/>
  <c r="I74" i="8"/>
  <c r="I73" i="8"/>
  <c r="I68" i="8"/>
  <c r="I67" i="8"/>
  <c r="I66" i="8"/>
  <c r="I65" i="8"/>
  <c r="I64" i="8"/>
  <c r="I63" i="8"/>
  <c r="I62" i="8"/>
  <c r="I56" i="8"/>
  <c r="G56" i="8" s="1"/>
  <c r="I55" i="8"/>
  <c r="G54" i="8"/>
  <c r="G55" i="8"/>
  <c r="G53" i="8"/>
  <c r="I54" i="8"/>
  <c r="I53" i="8"/>
  <c r="G89" i="8"/>
  <c r="I49" i="8"/>
  <c r="G49" i="8"/>
  <c r="L31" i="8"/>
  <c r="F31" i="8"/>
  <c r="F25" i="14"/>
  <c r="L21" i="14"/>
  <c r="L20" i="14"/>
  <c r="L19" i="14"/>
  <c r="L37" i="14" s="1"/>
  <c r="F36" i="14"/>
  <c r="F35" i="14"/>
  <c r="F34" i="14"/>
  <c r="F33" i="14"/>
  <c r="F32" i="14"/>
  <c r="F31" i="14"/>
  <c r="F30" i="14"/>
  <c r="F29" i="14"/>
  <c r="F28" i="14"/>
  <c r="F27" i="14"/>
  <c r="F26" i="14"/>
  <c r="F24" i="14"/>
  <c r="F23" i="14"/>
  <c r="F22" i="14"/>
  <c r="F21" i="14"/>
  <c r="F20" i="14"/>
  <c r="F19" i="14"/>
  <c r="L24" i="8"/>
  <c r="L23" i="8"/>
  <c r="L22" i="8"/>
  <c r="L21" i="8"/>
  <c r="L20" i="8"/>
  <c r="L19" i="8"/>
  <c r="L18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I117" i="14" l="1"/>
  <c r="K66" i="14"/>
  <c r="J66" i="14"/>
  <c r="J65" i="14"/>
  <c r="K64" i="14"/>
  <c r="I79" i="14"/>
  <c r="I87" i="14"/>
  <c r="K63" i="14"/>
  <c r="K65" i="14"/>
  <c r="I105" i="14"/>
  <c r="I68" i="14"/>
  <c r="F37" i="14"/>
  <c r="G59" i="14" s="1"/>
  <c r="J72" i="14" l="1"/>
  <c r="J68" i="14"/>
  <c r="K68" i="14" s="1"/>
  <c r="D128" i="14" s="1"/>
  <c r="J73" i="14" l="1"/>
  <c r="K72" i="14"/>
  <c r="J74" i="14" l="1"/>
  <c r="K73" i="14"/>
  <c r="J75" i="14" l="1"/>
  <c r="J77" i="14"/>
  <c r="K77" i="14" s="1"/>
  <c r="K74" i="14"/>
  <c r="J76" i="14"/>
  <c r="J78" i="14" l="1"/>
  <c r="K78" i="14" s="1"/>
  <c r="K75" i="14"/>
  <c r="J79" i="14"/>
  <c r="K79" i="14" s="1"/>
  <c r="E128" i="14" s="1"/>
  <c r="K76" i="14"/>
  <c r="A133" i="14" l="1"/>
  <c r="F130" i="14"/>
  <c r="I59" i="14"/>
  <c r="I131" i="14" s="1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J41" i="14"/>
  <c r="J42" i="14" s="1"/>
  <c r="J43" i="14" s="1"/>
  <c r="J44" i="14" s="1"/>
  <c r="J45" i="14" s="1"/>
  <c r="J46" i="14" s="1"/>
  <c r="J47" i="14" s="1"/>
  <c r="J48" i="14" s="1"/>
  <c r="J49" i="14" s="1"/>
  <c r="J50" i="14" s="1"/>
  <c r="J51" i="14" s="1"/>
  <c r="J52" i="14" s="1"/>
  <c r="J53" i="14" s="1"/>
  <c r="J54" i="14" s="1"/>
  <c r="J55" i="14" s="1"/>
  <c r="J56" i="14" s="1"/>
  <c r="J57" i="14" s="1"/>
  <c r="J58" i="14" s="1"/>
  <c r="F41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J84" i="14" l="1"/>
  <c r="K83" i="14"/>
  <c r="H41" i="14"/>
  <c r="I41" i="14" s="1"/>
  <c r="K41" i="14" s="1"/>
  <c r="J59" i="14"/>
  <c r="K59" i="14" s="1"/>
  <c r="A128" i="14" s="1"/>
  <c r="H42" i="14"/>
  <c r="I42" i="14" s="1"/>
  <c r="K42" i="14" s="1"/>
  <c r="H43" i="14"/>
  <c r="I43" i="14" s="1"/>
  <c r="K43" i="14" s="1"/>
  <c r="H44" i="14"/>
  <c r="I44" i="14" s="1"/>
  <c r="K44" i="14" s="1"/>
  <c r="H45" i="14"/>
  <c r="I45" i="14" s="1"/>
  <c r="K45" i="14" s="1"/>
  <c r="H46" i="14"/>
  <c r="I46" i="14" s="1"/>
  <c r="K46" i="14" s="1"/>
  <c r="H47" i="14"/>
  <c r="I47" i="14" s="1"/>
  <c r="K47" i="14" s="1"/>
  <c r="H48" i="14"/>
  <c r="I48" i="14" s="1"/>
  <c r="K48" i="14" s="1"/>
  <c r="H49" i="14"/>
  <c r="I49" i="14" s="1"/>
  <c r="K49" i="14" s="1"/>
  <c r="H50" i="14"/>
  <c r="I50" i="14" s="1"/>
  <c r="K50" i="14" s="1"/>
  <c r="H51" i="14"/>
  <c r="I51" i="14" s="1"/>
  <c r="K51" i="14" s="1"/>
  <c r="H52" i="14"/>
  <c r="I52" i="14" s="1"/>
  <c r="K52" i="14" s="1"/>
  <c r="H53" i="14"/>
  <c r="I53" i="14" s="1"/>
  <c r="K53" i="14" s="1"/>
  <c r="H54" i="14"/>
  <c r="I54" i="14" s="1"/>
  <c r="K54" i="14" s="1"/>
  <c r="H55" i="14"/>
  <c r="I55" i="14" s="1"/>
  <c r="K55" i="14" s="1"/>
  <c r="H56" i="14"/>
  <c r="I56" i="14" s="1"/>
  <c r="K56" i="14" s="1"/>
  <c r="H57" i="14"/>
  <c r="I57" i="14" s="1"/>
  <c r="K57" i="14" s="1"/>
  <c r="H58" i="14"/>
  <c r="I58" i="14" s="1"/>
  <c r="K58" i="14" s="1"/>
  <c r="I89" i="8"/>
  <c r="M49" i="8" s="1"/>
  <c r="N49" i="8" s="1"/>
  <c r="J85" i="14" l="1"/>
  <c r="K84" i="14"/>
  <c r="J86" i="14" l="1"/>
  <c r="K85" i="14"/>
  <c r="K86" i="14" l="1"/>
  <c r="J92" i="14"/>
  <c r="J87" i="14"/>
  <c r="K87" i="14" s="1"/>
  <c r="G128" i="14" s="1"/>
  <c r="I58" i="8"/>
  <c r="J93" i="14" l="1"/>
  <c r="K92" i="14"/>
  <c r="M58" i="8"/>
  <c r="I112" i="8"/>
  <c r="I106" i="8"/>
  <c r="I107" i="8" s="1"/>
  <c r="I100" i="8"/>
  <c r="I101" i="8" s="1"/>
  <c r="M107" i="8" l="1"/>
  <c r="J95" i="14"/>
  <c r="J94" i="14"/>
  <c r="K93" i="14"/>
  <c r="M101" i="8"/>
  <c r="I113" i="8"/>
  <c r="J73" i="8"/>
  <c r="J74" i="8" s="1"/>
  <c r="J75" i="8" s="1"/>
  <c r="G83" i="8"/>
  <c r="G84" i="8"/>
  <c r="G85" i="8"/>
  <c r="G86" i="8"/>
  <c r="G87" i="8"/>
  <c r="G88" i="8"/>
  <c r="G82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35" i="8"/>
  <c r="M113" i="8" l="1"/>
  <c r="J96" i="14"/>
  <c r="K94" i="14"/>
  <c r="J97" i="14"/>
  <c r="K95" i="14"/>
  <c r="H83" i="8"/>
  <c r="K75" i="8"/>
  <c r="J76" i="8"/>
  <c r="J77" i="8" s="1"/>
  <c r="K74" i="8"/>
  <c r="I77" i="8"/>
  <c r="M77" i="8" s="1"/>
  <c r="K99" i="14" l="1"/>
  <c r="I128" i="14" s="1"/>
  <c r="K97" i="14"/>
  <c r="J98" i="14"/>
  <c r="K96" i="14"/>
  <c r="K77" i="8"/>
  <c r="K98" i="14" l="1"/>
  <c r="H48" i="8"/>
  <c r="J35" i="8"/>
  <c r="J36" i="8" s="1"/>
  <c r="J109" i="14" l="1"/>
  <c r="K103" i="14"/>
  <c r="I69" i="8"/>
  <c r="M69" i="8" s="1"/>
  <c r="K104" i="14" l="1"/>
  <c r="K105" i="14" s="1"/>
  <c r="H128" i="14" s="1"/>
  <c r="K109" i="14"/>
  <c r="J110" i="14"/>
  <c r="K110" i="14" s="1"/>
  <c r="K111" i="14" l="1"/>
  <c r="K115" i="14"/>
  <c r="J116" i="14"/>
  <c r="K116" i="14" s="1"/>
  <c r="J122" i="14" l="1"/>
  <c r="K122" i="14" s="1"/>
  <c r="K121" i="14"/>
  <c r="K123" i="14" s="1"/>
  <c r="K117" i="14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J37" i="8"/>
  <c r="J38" i="8" s="1"/>
  <c r="J39" i="8" s="1"/>
  <c r="J40" i="8" s="1"/>
  <c r="J41" i="8" s="1"/>
  <c r="J42" i="8" s="1"/>
  <c r="H35" i="8"/>
  <c r="I35" i="8" s="1"/>
  <c r="J128" i="14" l="1"/>
  <c r="K128" i="14" s="1"/>
  <c r="K131" i="14" s="1"/>
  <c r="K38" i="8"/>
  <c r="K36" i="8"/>
  <c r="K42" i="8"/>
  <c r="K35" i="8"/>
  <c r="K40" i="8"/>
  <c r="J43" i="8"/>
  <c r="J45" i="8" s="1"/>
  <c r="J44" i="8"/>
  <c r="K37" i="8"/>
  <c r="K39" i="8"/>
  <c r="K41" i="8"/>
  <c r="I95" i="8"/>
  <c r="M95" i="8" s="1"/>
  <c r="H88" i="8"/>
  <c r="I88" i="8" s="1"/>
  <c r="H87" i="8"/>
  <c r="I87" i="8" s="1"/>
  <c r="H86" i="8"/>
  <c r="I86" i="8" s="1"/>
  <c r="H85" i="8"/>
  <c r="I85" i="8" s="1"/>
  <c r="H84" i="8"/>
  <c r="I84" i="8" s="1"/>
  <c r="I83" i="8"/>
  <c r="H82" i="8"/>
  <c r="I48" i="8"/>
  <c r="H47" i="8"/>
  <c r="I47" i="8" s="1"/>
  <c r="J46" i="8"/>
  <c r="J47" i="8" s="1"/>
  <c r="J48" i="8" s="1"/>
  <c r="H46" i="8"/>
  <c r="I46" i="8" s="1"/>
  <c r="A2" i="12" l="1"/>
  <c r="B4" i="12" s="1"/>
  <c r="I82" i="8"/>
  <c r="J53" i="8"/>
  <c r="J54" i="8" s="1"/>
  <c r="J49" i="8"/>
  <c r="K49" i="8" s="1"/>
  <c r="K45" i="8"/>
  <c r="K43" i="8"/>
  <c r="K44" i="8"/>
  <c r="K48" i="8"/>
  <c r="K47" i="8"/>
  <c r="K46" i="8"/>
  <c r="K53" i="8" l="1"/>
  <c r="A118" i="8"/>
  <c r="J55" i="8"/>
  <c r="K54" i="8"/>
  <c r="J56" i="8"/>
  <c r="J58" i="8" s="1"/>
  <c r="K58" i="8" s="1"/>
  <c r="K55" i="8" l="1"/>
  <c r="K57" i="8"/>
  <c r="J62" i="8"/>
  <c r="K56" i="8"/>
  <c r="D118" i="8" s="1"/>
  <c r="J63" i="8" l="1"/>
  <c r="K62" i="8"/>
  <c r="J64" i="8" l="1"/>
  <c r="K63" i="8"/>
  <c r="J67" i="8" l="1"/>
  <c r="J66" i="8"/>
  <c r="J69" i="8" s="1"/>
  <c r="K69" i="8" s="1"/>
  <c r="J65" i="8"/>
  <c r="K64" i="8"/>
  <c r="K65" i="8" l="1"/>
  <c r="J68" i="8"/>
  <c r="K68" i="8" s="1"/>
  <c r="K67" i="8"/>
  <c r="K66" i="8"/>
  <c r="E118" i="8" l="1"/>
  <c r="K73" i="8" l="1"/>
  <c r="K76" i="8" l="1"/>
  <c r="G118" i="8" s="1"/>
  <c r="J82" i="8"/>
  <c r="J83" i="8" l="1"/>
  <c r="K82" i="8"/>
  <c r="J85" i="8" l="1"/>
  <c r="J84" i="8"/>
  <c r="K83" i="8"/>
  <c r="J87" i="8" l="1"/>
  <c r="J89" i="8" s="1"/>
  <c r="K89" i="8" s="1"/>
  <c r="K85" i="8"/>
  <c r="J86" i="8"/>
  <c r="K84" i="8"/>
  <c r="K87" i="8" l="1"/>
  <c r="J88" i="8"/>
  <c r="J93" i="8" s="1"/>
  <c r="K93" i="8" s="1"/>
  <c r="K86" i="8"/>
  <c r="J94" i="8" l="1"/>
  <c r="J99" i="8"/>
  <c r="J105" i="8" s="1"/>
  <c r="J107" i="8" s="1"/>
  <c r="K88" i="8"/>
  <c r="I118" i="8" s="1"/>
  <c r="K94" i="8" l="1"/>
  <c r="K95" i="8" s="1"/>
  <c r="J95" i="8"/>
  <c r="J106" i="8"/>
  <c r="K106" i="8" s="1"/>
  <c r="J111" i="8"/>
  <c r="J113" i="8" s="1"/>
  <c r="K105" i="8"/>
  <c r="K107" i="8" s="1"/>
  <c r="J100" i="8"/>
  <c r="K100" i="8" s="1"/>
  <c r="K99" i="8"/>
  <c r="J112" i="8" l="1"/>
  <c r="K112" i="8" s="1"/>
  <c r="K111" i="8"/>
  <c r="K101" i="8"/>
  <c r="K113" i="8" l="1"/>
  <c r="J118" i="8" l="1"/>
  <c r="K118" i="8" s="1"/>
  <c r="B2" i="12" l="1"/>
</calcChain>
</file>

<file path=xl/sharedStrings.xml><?xml version="1.0" encoding="utf-8"?>
<sst xmlns="http://schemas.openxmlformats.org/spreadsheetml/2006/main" count="408" uniqueCount="126">
  <si>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</si>
  <si>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</si>
  <si>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</si>
  <si>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</si>
  <si>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</si>
  <si>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</si>
  <si>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</si>
  <si>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</si>
  <si>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</si>
  <si>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</si>
  <si>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</si>
  <si>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</si>
  <si>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</si>
  <si>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</si>
  <si>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</si>
  <si>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</si>
  <si>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</si>
  <si>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</si>
  <si>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</si>
  <si>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</si>
  <si>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</si>
  <si>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</si>
  <si>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</si>
  <si>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</si>
  <si>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</si>
  <si>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</si>
  <si>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</si>
  <si>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</si>
  <si>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</si>
  <si>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</si>
  <si>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</si>
  <si>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</si>
  <si>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</si>
  <si>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</si>
  <si>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</si>
  <si>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</si>
  <si>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</si>
  <si>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</si>
  <si>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</si>
  <si>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</si>
  <si>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</si>
  <si>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</si>
  <si>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</si>
  <si>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Администратор</t>
  </si>
  <si>
    <t>Руководитель кружка</t>
  </si>
  <si>
    <t>Художник-декоратор</t>
  </si>
  <si>
    <t>Художник по свету</t>
  </si>
  <si>
    <t>Звукооператор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</si>
  <si>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</si>
  <si>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</si>
  <si>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</si>
  <si>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</si>
  <si>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</si>
  <si>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Зам.директора по основной деятельности</t>
  </si>
  <si>
    <t>Режиссер</t>
  </si>
  <si>
    <t>Механик по обслуживанию звуковой техники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</si>
  <si>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</si>
  <si>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ТО узла тепловой энергии</t>
  </si>
  <si>
    <t>Вывоз мусора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</si>
  <si>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</si>
  <si>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</si>
  <si>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</si>
  <si>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</si>
  <si>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</si>
  <si>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 xml:space="preserve">Директор МБУК "КДО "Энергетик"                                                                             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</si>
  <si>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</si>
  <si>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</si>
  <si>
    <t>Балетмейстер-постановщик</t>
  </si>
  <si>
    <t xml:space="preserve">Нормативный объем </t>
  </si>
  <si>
    <t xml:space="preserve">Тариф (цена), рублей </t>
  </si>
  <si>
    <t xml:space="preserve">БАЗОВОГО НОРМАТИВА ЗАТРАТ НА ОКАЗАНИЕ МУНИЦИПАЛЬНЫХ УСЛУГ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</si>
  <si>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</si>
  <si>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</si>
  <si>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</si>
  <si>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</si>
  <si>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Кассир билетный</t>
  </si>
  <si>
    <t>Контролер билетов</t>
  </si>
  <si>
    <t>Заведующий художественно-постановочной частью</t>
  </si>
  <si>
    <t>Итого работники,  связанные с оказанием услуг</t>
  </si>
  <si>
    <t>Сумма в год</t>
  </si>
  <si>
    <t>кВт час</t>
  </si>
  <si>
    <t>ТО установок пожарной сигнализации</t>
  </si>
  <si>
    <t>Затраты на услуги связи</t>
  </si>
  <si>
    <t>Интернет</t>
  </si>
  <si>
    <t>кол-во точек, ед.</t>
  </si>
  <si>
    <t>Затраты на прочие расходы</t>
  </si>
  <si>
    <t>Прочие затраты</t>
  </si>
  <si>
    <t>Итого прочие расходы</t>
  </si>
  <si>
    <t>Заведующий отделом по досуго-массовой работе</t>
  </si>
  <si>
    <t>Заведующий отделом  (по финансово-хозяйственной деятельности)</t>
  </si>
  <si>
    <t>Заведующий отделом по работе с детьми</t>
  </si>
  <si>
    <t>Охрана клуба по месту жительства "Мир"</t>
  </si>
  <si>
    <t>ТО и ремонт автоматическй установки водяного пожаротушения</t>
  </si>
  <si>
    <t>Бензин АИ-8</t>
  </si>
  <si>
    <t>СВОД (рубли)</t>
  </si>
  <si>
    <t>СВОД (норматив)</t>
  </si>
  <si>
    <t>Абонентская связь (дополнительно)</t>
  </si>
  <si>
    <t>Услуги междугородней связи</t>
  </si>
  <si>
    <t>ТО видеонаблюдения</t>
  </si>
  <si>
    <t>ТО дымоудаления</t>
  </si>
  <si>
    <t xml:space="preserve">ТО внутреннего пожарного водопровода </t>
  </si>
  <si>
    <t>Реагирование на срабатывание средств тревожной сигнализации</t>
  </si>
  <si>
    <t>Социальные пособия и компенсация персоналу в денежной форме</t>
  </si>
  <si>
    <t xml:space="preserve">Итого соц.пособия </t>
  </si>
  <si>
    <t>Компенс.выпл.раб.по уходу за ребенком до 3-х лет</t>
  </si>
  <si>
    <t xml:space="preserve">Увеличение стоимости прочих оборотных активов </t>
  </si>
  <si>
    <t>Мероприятия</t>
  </si>
  <si>
    <t xml:space="preserve">Увеличение стоимости материальных запасов однократного применеия </t>
  </si>
  <si>
    <t xml:space="preserve">Призовая продукция </t>
  </si>
  <si>
    <t>Итого активов</t>
  </si>
  <si>
    <t>Итого запасов</t>
  </si>
  <si>
    <t>Лонская Клавдия Алексеевна</t>
  </si>
  <si>
    <t xml:space="preserve">          О.Е. Федичкина</t>
  </si>
  <si>
    <t>Содержание услуги: Культурно-массовых (иной деятельности, в результате которой сохраняются, создаются, распространяются и осваиваются культурные ценности)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</si>
  <si>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</si>
  <si>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</si>
  <si>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r>
      <t xml:space="preserve">Содержание услуги: </t>
    </r>
    <r>
      <rPr>
        <sz val="11"/>
        <rFont val="Times New Roman"/>
        <family val="1"/>
        <charset val="204"/>
      </rPr>
      <t>Жанры (формы) спектаклей (театральных постановок)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</si>
  <si>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</t>
    </r>
  </si>
  <si>
    <r>
      <t xml:space="preserve">Штатное расписание: 29,5 </t>
    </r>
    <r>
      <rPr>
        <sz val="11"/>
        <rFont val="Times New Roman"/>
        <family val="1"/>
        <charset val="204"/>
      </rPr>
      <t>человек</t>
    </r>
  </si>
  <si>
    <r>
      <t xml:space="preserve">Услуга: </t>
    </r>
    <r>
      <rPr>
        <sz val="11"/>
        <rFont val="Times New Roman"/>
        <family val="1"/>
        <charset val="204"/>
      </rPr>
      <t>Организация и проведение мероприятий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</si>
  <si>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Стационар, на выезде, на гастролях</t>
    </r>
  </si>
  <si>
    <r>
      <t>Наименование показателя объема: 1300</t>
    </r>
    <r>
      <rPr>
        <sz val="11"/>
        <rFont val="Times New Roman"/>
        <family val="1"/>
        <charset val="204"/>
      </rPr>
      <t xml:space="preserve"> человек.</t>
    </r>
  </si>
  <si>
    <t>ПР</t>
  </si>
  <si>
    <t xml:space="preserve"> НА 2022 г. </t>
  </si>
  <si>
    <t xml:space="preserve"> НА 2022г. </t>
  </si>
  <si>
    <r>
      <t xml:space="preserve">Наименование показателя объема: 1516 </t>
    </r>
    <r>
      <rPr>
        <sz val="11"/>
        <rFont val="Times New Roman"/>
        <family val="1"/>
        <charset val="204"/>
      </rPr>
      <t>человек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</si>
</sst>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2" fontId="3" fillId="0" borderId="1" xfId="0" applyNumberFormat="1" applyFont="1" applyBorder="1"/>
    <xf numFmtId="0" fontId="8" fillId="0" borderId="0" xfId="0" applyFont="1"/>
    <xf numFmtId="0" fontId="3" fillId="0" borderId="1" xfId="0" applyFont="1" applyBorder="1" applyAlignment="1">
      <alignment horizontal="center" wrapText="1"/>
    </xf>
    <xf numFmtId="0" fontId="0" fillId="0" borderId="0" xfId="0" applyFont="1"/>
    <xf numFmtId="0" fontId="4" fillId="0" borderId="0" xfId="0" applyFont="1" applyAlignment="1"/>
    <xf numFmtId="0" fontId="4" fillId="0" borderId="0" xfId="0" applyFont="1"/>
    <xf numFmtId="0" fontId="0" fillId="0" borderId="0" xfId="0" applyFont="1" applyBorder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4" fontId="3" fillId="0" borderId="1" xfId="0" applyNumberFormat="1" applyFont="1" applyBorder="1"/>
    <xf numFmtId="4" fontId="3" fillId="0" borderId="0" xfId="0" applyNumberFormat="1" applyFont="1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3" fillId="0" borderId="1" xfId="0" applyNumberFormat="1" applyFont="1" applyFill="1" applyBorder="1"/>
    <xf numFmtId="0" fontId="1" fillId="0" borderId="0" xfId="0" applyFont="1"/>
    <xf numFmtId="4" fontId="2" fillId="0" borderId="0" xfId="0" applyNumberFormat="1" applyFont="1"/>
    <xf numFmtId="0" fontId="3" fillId="0" borderId="0" xfId="0" applyFont="1" applyFill="1"/>
    <xf numFmtId="164" fontId="2" fillId="0" borderId="0" xfId="0" applyNumberFormat="1" applyFont="1"/>
    <xf numFmtId="4" fontId="2" fillId="0" borderId="6" xfId="0" applyNumberFormat="1" applyFont="1" applyBorder="1" applyAlignment="1"/>
    <xf numFmtId="4" fontId="3" fillId="0" borderId="0" xfId="0" applyNumberFormat="1" applyFont="1" applyBorder="1"/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5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4" fontId="3" fillId="0" borderId="5" xfId="0" applyNumberFormat="1" applyFont="1" applyBorder="1"/>
    <xf numFmtId="4" fontId="3" fillId="0" borderId="2" xfId="0" applyNumberFormat="1" applyFont="1" applyBorder="1"/>
    <xf numFmtId="4" fontId="3" fillId="0" borderId="1" xfId="0" applyNumberFormat="1" applyFont="1" applyFill="1" applyBorder="1"/>
    <xf numFmtId="4" fontId="3" fillId="0" borderId="2" xfId="0" applyNumberFormat="1" applyFont="1" applyFill="1" applyBorder="1"/>
    <xf numFmtId="4" fontId="3" fillId="0" borderId="5" xfId="0" applyNumberFormat="1" applyFont="1" applyFill="1" applyBorder="1"/>
    <xf numFmtId="4" fontId="3" fillId="0" borderId="0" xfId="0" applyNumberFormat="1" applyFont="1" applyFill="1"/>
    <xf numFmtId="4" fontId="2" fillId="0" borderId="0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2" fillId="0" borderId="0" xfId="0" applyNumberFormat="1" applyFont="1" applyBorder="1"/>
    <xf numFmtId="4" fontId="4" fillId="0" borderId="1" xfId="0" applyNumberFormat="1" applyFont="1" applyBorder="1"/>
    <xf numFmtId="4" fontId="2" fillId="0" borderId="0" xfId="0" applyNumberFormat="1" applyFont="1" applyAlignment="1">
      <alignment horizontal="center"/>
    </xf>
    <xf numFmtId="4" fontId="2" fillId="0" borderId="6" xfId="0" applyNumberFormat="1" applyFont="1" applyBorder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4" fontId="2" fillId="0" borderId="1" xfId="0" applyNumberFormat="1" applyFont="1" applyBorder="1"/>
    <xf numFmtId="4" fontId="8" fillId="0" borderId="0" xfId="0" applyNumberFormat="1" applyFont="1"/>
    <xf numFmtId="4" fontId="2" fillId="0" borderId="2" xfId="0" applyNumberFormat="1" applyFont="1" applyBorder="1"/>
    <xf numFmtId="0" fontId="11" fillId="0" borderId="0" xfId="0" applyFont="1"/>
    <xf numFmtId="0" fontId="9" fillId="0" borderId="0" xfId="0" applyFont="1"/>
    <xf numFmtId="2" fontId="4" fillId="0" borderId="1" xfId="0" applyNumberFormat="1" applyFont="1" applyBorder="1"/>
    <xf numFmtId="4" fontId="2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0" fontId="4" fillId="0" borderId="0" xfId="0" applyFont="1" applyAlignment="1"/>
    <xf numFmtId="2" fontId="10" fillId="0" borderId="0" xfId="0" applyNumberFormat="1" applyFont="1"/>
    <xf numFmtId="4" fontId="3" fillId="0" borderId="2" xfId="0" applyNumberFormat="1" applyFont="1" applyBorder="1"/>
    <xf numFmtId="4" fontId="2" fillId="3" borderId="0" xfId="0" applyNumberFormat="1" applyFont="1" applyFill="1"/>
    <xf numFmtId="4" fontId="4" fillId="0" borderId="1" xfId="0" applyNumberFormat="1" applyFont="1" applyBorder="1" applyAlignment="1">
      <alignment wrapText="1"/>
    </xf>
    <xf numFmtId="4" fontId="4" fillId="0" borderId="3" xfId="0" applyNumberFormat="1" applyFont="1" applyBorder="1"/>
    <xf numFmtId="4" fontId="2" fillId="0" borderId="2" xfId="0" applyNumberFormat="1" applyFont="1" applyBorder="1" applyAlignment="1">
      <alignment horizontal="right"/>
    </xf>
    <xf numFmtId="4" fontId="3" fillId="0" borderId="8" xfId="0" applyNumberFormat="1" applyFont="1" applyBorder="1"/>
    <xf numFmtId="4" fontId="2" fillId="0" borderId="7" xfId="0" applyNumberFormat="1" applyFont="1" applyBorder="1" applyAlignment="1">
      <alignment horizontal="right"/>
    </xf>
    <xf numFmtId="4" fontId="2" fillId="0" borderId="3" xfId="0" applyNumberFormat="1" applyFont="1" applyBorder="1"/>
    <xf numFmtId="4" fontId="3" fillId="0" borderId="9" xfId="0" applyNumberFormat="1" applyFont="1" applyBorder="1" applyAlignment="1">
      <alignment horizontal="center" wrapText="1"/>
    </xf>
    <xf numFmtId="0" fontId="2" fillId="0" borderId="7" xfId="0" applyFont="1" applyBorder="1"/>
    <xf numFmtId="4" fontId="3" fillId="0" borderId="8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4" fontId="3" fillId="0" borderId="10" xfId="0" applyNumberFormat="1" applyFont="1" applyBorder="1"/>
    <xf numFmtId="4" fontId="2" fillId="0" borderId="7" xfId="0" applyNumberFormat="1" applyFont="1" applyBorder="1" applyAlignment="1"/>
    <xf numFmtId="4" fontId="2" fillId="0" borderId="3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2" fillId="0" borderId="3" xfId="0" applyNumberFormat="1" applyFont="1" applyBorder="1" applyAlignment="1"/>
    <xf numFmtId="4" fontId="2" fillId="2" borderId="7" xfId="0" applyNumberFormat="1" applyFont="1" applyFill="1" applyBorder="1" applyAlignment="1"/>
    <xf numFmtId="2" fontId="4" fillId="0" borderId="8" xfId="0" applyNumberFormat="1" applyFont="1" applyBorder="1"/>
    <xf numFmtId="2" fontId="2" fillId="0" borderId="7" xfId="0" applyNumberFormat="1" applyFont="1" applyBorder="1"/>
    <xf numFmtId="2" fontId="3" fillId="0" borderId="8" xfId="0" applyNumberFormat="1" applyFont="1" applyFill="1" applyBorder="1"/>
    <xf numFmtId="4" fontId="3" fillId="0" borderId="1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 applyAlignment="1">
      <alignment horizontal="center"/>
    </xf>
    <xf numFmtId="4" fontId="2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4" fontId="0" fillId="0" borderId="3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3" fillId="0" borderId="11" xfId="0" applyNumberFormat="1" applyFont="1" applyBorder="1"/>
    <xf numFmtId="4" fontId="3" fillId="0" borderId="12" xfId="0" applyNumberFormat="1" applyFont="1" applyBorder="1"/>
    <xf numFmtId="4" fontId="6" fillId="0" borderId="0" xfId="0" applyNumberFormat="1" applyFont="1" applyAlignment="1"/>
    <xf numFmtId="4" fontId="0" fillId="0" borderId="0" xfId="0" applyNumberFormat="1" applyAlignment="1"/>
    <xf numFmtId="0" fontId="9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5" sqref="B5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8" t="s">
        <v>94</v>
      </c>
      <c r="B1" s="18" t="s">
        <v>95</v>
      </c>
    </row>
    <row r="2" spans="1:2" ht="42" customHeight="1" x14ac:dyDescent="0.25">
      <c r="A2" s="19">
        <f>'Услуга №1'!I121+'Услуга №3'!I131</f>
        <v>13139290.85</v>
      </c>
      <c r="B2" s="19">
        <f>'Услуга №1'!K121+'Услуга №3'!K131</f>
        <v>13139290.849999998</v>
      </c>
    </row>
    <row r="3" spans="1:2" x14ac:dyDescent="0.25">
      <c r="A3" s="17">
        <v>13139290.85</v>
      </c>
      <c r="B3" s="17"/>
    </row>
    <row r="4" spans="1:2" x14ac:dyDescent="0.25">
      <c r="A4" s="17"/>
      <c r="B4" s="17">
        <f>A2-A3</f>
        <v>0</v>
      </c>
    </row>
    <row r="5" spans="1:2" x14ac:dyDescent="0.25">
      <c r="A5" s="17"/>
    </row>
    <row r="7" spans="1:2" x14ac:dyDescent="0.25">
      <c r="A7" s="17"/>
    </row>
    <row r="8" spans="1:2" x14ac:dyDescent="0.25">
      <c r="B8" s="17"/>
    </row>
    <row r="9" spans="1:2" x14ac:dyDescent="0.25">
      <c r="A9" s="17"/>
    </row>
    <row r="11" spans="1:2" x14ac:dyDescent="0.25">
      <c r="A11" s="17"/>
    </row>
    <row r="13" spans="1:2" x14ac:dyDescent="0.25">
      <c r="A13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opLeftCell="A2" zoomScale="90" zoomScaleNormal="90" workbookViewId="0">
      <selection activeCell="P126" sqref="P126"/>
    </sheetView>
  </sheetViews>
  <sheetFormatPr defaultRowHeight="15" x14ac:dyDescent="0.25"/>
  <cols>
    <col min="1" max="1" width="9.140625" style="7"/>
    <col min="2" max="2" width="11" style="7" customWidth="1"/>
    <col min="3" max="4" width="9.140625" style="7"/>
    <col min="5" max="5" width="8.85546875" style="7" customWidth="1"/>
    <col min="6" max="6" width="11.5703125" style="7" customWidth="1"/>
    <col min="7" max="7" width="13.7109375" style="7" customWidth="1"/>
    <col min="8" max="8" width="12.85546875" style="7" customWidth="1"/>
    <col min="9" max="11" width="13.7109375" style="7" customWidth="1"/>
    <col min="12" max="12" width="11" style="7" customWidth="1"/>
    <col min="13" max="13" width="13.85546875" style="7" hidden="1" customWidth="1"/>
    <col min="14" max="14" width="0" style="7" hidden="1" customWidth="1"/>
    <col min="15" max="16384" width="9.140625" style="7"/>
  </cols>
  <sheetData>
    <row r="1" spans="1:13" hidden="1" x14ac:dyDescent="0.25"/>
    <row r="2" spans="1:13" x14ac:dyDescent="0.25">
      <c r="A2" s="123" t="s">
        <v>61</v>
      </c>
      <c r="B2" s="123"/>
      <c r="C2" s="123"/>
      <c r="D2" s="123"/>
    </row>
    <row r="3" spans="1:13" x14ac:dyDescent="0.25">
      <c r="A3" s="123" t="s">
        <v>62</v>
      </c>
      <c r="B3" s="123"/>
      <c r="C3" s="125"/>
      <c r="D3" s="125"/>
      <c r="E3" s="125"/>
      <c r="F3" s="125"/>
    </row>
    <row r="4" spans="1:13" x14ac:dyDescent="0.25">
      <c r="A4" s="124" t="s">
        <v>63</v>
      </c>
      <c r="B4" s="124"/>
      <c r="C4" s="124"/>
      <c r="D4" s="125"/>
      <c r="E4" s="125"/>
      <c r="F4" s="125"/>
    </row>
    <row r="5" spans="1:13" x14ac:dyDescent="0.25">
      <c r="A5" s="8"/>
      <c r="B5" s="8"/>
      <c r="C5" s="8"/>
      <c r="D5" s="9"/>
    </row>
    <row r="6" spans="1:13" ht="7.5" customHeight="1" x14ac:dyDescent="0.25"/>
    <row r="7" spans="1:13" x14ac:dyDescent="0.25">
      <c r="A7" s="115" t="s">
        <v>60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x14ac:dyDescent="0.25">
      <c r="A8" s="115" t="s">
        <v>70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</row>
    <row r="9" spans="1:13" x14ac:dyDescent="0.25">
      <c r="A9" s="115" t="s">
        <v>123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</row>
    <row r="10" spans="1:13" ht="12" customHeight="1" x14ac:dyDescent="0.25"/>
    <row r="11" spans="1:13" s="2" customFormat="1" x14ac:dyDescent="0.25">
      <c r="A11" s="55" t="s">
        <v>114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54"/>
    </row>
    <row r="12" spans="1:13" s="2" customFormat="1" x14ac:dyDescent="0.25">
      <c r="A12" s="55" t="s">
        <v>115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54"/>
    </row>
    <row r="13" spans="1:13" s="2" customFormat="1" hidden="1" x14ac:dyDescent="0.25">
      <c r="A13" s="55" t="s">
        <v>116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54"/>
    </row>
    <row r="14" spans="1:13" s="2" customFormat="1" x14ac:dyDescent="0.25">
      <c r="A14" s="55" t="s">
        <v>117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54"/>
    </row>
    <row r="15" spans="1:13" s="2" customFormat="1" x14ac:dyDescent="0.25">
      <c r="A15" s="55" t="s">
        <v>125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54"/>
    </row>
    <row r="16" spans="1:13" s="2" customFormat="1" x14ac:dyDescent="0.25">
      <c r="A16" s="55" t="s">
        <v>118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54"/>
    </row>
    <row r="17" spans="1:14" s="2" customFormat="1" ht="33" customHeight="1" x14ac:dyDescent="0.25">
      <c r="A17" s="106" t="s">
        <v>0</v>
      </c>
      <c r="B17" s="106"/>
      <c r="C17" s="106"/>
      <c r="D17" s="106"/>
      <c r="E17" s="106"/>
      <c r="F17" s="6" t="s">
        <v>1</v>
      </c>
      <c r="G17" s="106" t="s">
        <v>2</v>
      </c>
      <c r="H17" s="106"/>
      <c r="I17" s="106"/>
      <c r="J17" s="106"/>
      <c r="K17" s="106"/>
      <c r="L17" s="6" t="s">
        <v>1</v>
      </c>
    </row>
    <row r="18" spans="1:14" s="2" customFormat="1" x14ac:dyDescent="0.25">
      <c r="A18" s="121" t="s">
        <v>53</v>
      </c>
      <c r="B18" s="121"/>
      <c r="C18" s="121"/>
      <c r="D18" s="121"/>
      <c r="E18" s="121"/>
      <c r="F18" s="56">
        <f>1*53.84%</f>
        <v>0.53839999999999999</v>
      </c>
      <c r="G18" s="121" t="s">
        <v>3</v>
      </c>
      <c r="H18" s="121"/>
      <c r="I18" s="121"/>
      <c r="J18" s="121"/>
      <c r="K18" s="121"/>
      <c r="L18" s="4">
        <f>1*53.84%</f>
        <v>0.53839999999999999</v>
      </c>
    </row>
    <row r="19" spans="1:14" s="2" customFormat="1" x14ac:dyDescent="0.25">
      <c r="A19" s="118" t="s">
        <v>88</v>
      </c>
      <c r="B19" s="119"/>
      <c r="C19" s="119"/>
      <c r="D19" s="119"/>
      <c r="E19" s="120"/>
      <c r="F19" s="56">
        <f>1*53.84%</f>
        <v>0.53839999999999999</v>
      </c>
      <c r="G19" s="121" t="s">
        <v>89</v>
      </c>
      <c r="H19" s="121"/>
      <c r="I19" s="121"/>
      <c r="J19" s="121"/>
      <c r="K19" s="121"/>
      <c r="L19" s="4">
        <f>1*53.84%</f>
        <v>0.53839999999999999</v>
      </c>
    </row>
    <row r="20" spans="1:14" s="2" customFormat="1" x14ac:dyDescent="0.25">
      <c r="A20" s="121" t="s">
        <v>43</v>
      </c>
      <c r="B20" s="121"/>
      <c r="C20" s="121"/>
      <c r="D20" s="121"/>
      <c r="E20" s="121"/>
      <c r="F20" s="56">
        <f>1*53.84%</f>
        <v>0.53839999999999999</v>
      </c>
      <c r="G20" s="121" t="s">
        <v>90</v>
      </c>
      <c r="H20" s="121"/>
      <c r="I20" s="121"/>
      <c r="J20" s="121"/>
      <c r="K20" s="121"/>
      <c r="L20" s="4">
        <f>1*53.84%</f>
        <v>0.53839999999999999</v>
      </c>
    </row>
    <row r="21" spans="1:14" s="2" customFormat="1" ht="15" customHeight="1" x14ac:dyDescent="0.25">
      <c r="A21" s="121" t="s">
        <v>45</v>
      </c>
      <c r="B21" s="121"/>
      <c r="C21" s="121"/>
      <c r="D21" s="121"/>
      <c r="E21" s="121"/>
      <c r="F21" s="56">
        <f>1.5*53.84%</f>
        <v>0.80759999999999998</v>
      </c>
      <c r="G21" s="121" t="s">
        <v>67</v>
      </c>
      <c r="H21" s="121"/>
      <c r="I21" s="121"/>
      <c r="J21" s="121"/>
      <c r="K21" s="121"/>
      <c r="L21" s="4">
        <f>1*53.84%</f>
        <v>0.53839999999999999</v>
      </c>
    </row>
    <row r="22" spans="1:14" s="2" customFormat="1" ht="14.25" customHeight="1" x14ac:dyDescent="0.25">
      <c r="A22" s="121" t="s">
        <v>44</v>
      </c>
      <c r="B22" s="121"/>
      <c r="C22" s="121"/>
      <c r="D22" s="121"/>
      <c r="E22" s="121"/>
      <c r="F22" s="56">
        <f>6.5*53.84%</f>
        <v>3.4996</v>
      </c>
      <c r="G22" s="121" t="s">
        <v>50</v>
      </c>
      <c r="H22" s="121"/>
      <c r="I22" s="121"/>
      <c r="J22" s="121"/>
      <c r="K22" s="121"/>
      <c r="L22" s="4">
        <f>2*53.84%</f>
        <v>1.0768</v>
      </c>
    </row>
    <row r="23" spans="1:14" s="2" customFormat="1" x14ac:dyDescent="0.25">
      <c r="A23" s="121" t="s">
        <v>76</v>
      </c>
      <c r="B23" s="121"/>
      <c r="C23" s="121"/>
      <c r="D23" s="121"/>
      <c r="E23" s="121"/>
      <c r="F23" s="56">
        <f>0.5*53.84%</f>
        <v>0.26919999999999999</v>
      </c>
      <c r="G23" s="121" t="s">
        <v>48</v>
      </c>
      <c r="H23" s="121"/>
      <c r="I23" s="121"/>
      <c r="J23" s="121"/>
      <c r="K23" s="121"/>
      <c r="L23" s="4">
        <f>3*53.84%</f>
        <v>1.6152</v>
      </c>
    </row>
    <row r="24" spans="1:14" s="2" customFormat="1" ht="15" customHeight="1" x14ac:dyDescent="0.25">
      <c r="A24" s="121" t="s">
        <v>75</v>
      </c>
      <c r="B24" s="121"/>
      <c r="C24" s="121"/>
      <c r="D24" s="121"/>
      <c r="E24" s="121"/>
      <c r="F24" s="56">
        <f>1*53.84%</f>
        <v>0.53839999999999999</v>
      </c>
      <c r="G24" s="118" t="s">
        <v>55</v>
      </c>
      <c r="H24" s="119"/>
      <c r="I24" s="119"/>
      <c r="J24" s="119"/>
      <c r="K24" s="120"/>
      <c r="L24" s="4">
        <f>1*53.84%</f>
        <v>0.53839999999999999</v>
      </c>
    </row>
    <row r="25" spans="1:14" s="2" customFormat="1" x14ac:dyDescent="0.25">
      <c r="A25" s="108" t="s">
        <v>52</v>
      </c>
      <c r="B25" s="108"/>
      <c r="C25" s="108"/>
      <c r="D25" s="108"/>
      <c r="E25" s="108"/>
      <c r="F25" s="56">
        <f>1*53.84%</f>
        <v>0.53839999999999999</v>
      </c>
      <c r="G25" s="121" t="s">
        <v>46</v>
      </c>
      <c r="H25" s="121"/>
      <c r="I25" s="121"/>
      <c r="J25" s="121"/>
      <c r="K25" s="121"/>
      <c r="L25" s="20"/>
    </row>
    <row r="26" spans="1:14" s="2" customFormat="1" ht="19.5" customHeight="1" x14ac:dyDescent="0.25">
      <c r="A26" s="121" t="s">
        <v>47</v>
      </c>
      <c r="B26" s="121"/>
      <c r="C26" s="121"/>
      <c r="D26" s="121"/>
      <c r="E26" s="121"/>
      <c r="F26" s="56">
        <f>1*53.84%</f>
        <v>0.53839999999999999</v>
      </c>
      <c r="G26" s="118"/>
      <c r="H26" s="119"/>
      <c r="I26" s="119"/>
      <c r="J26" s="119"/>
      <c r="K26" s="120"/>
      <c r="L26" s="20"/>
    </row>
    <row r="27" spans="1:14" s="2" customFormat="1" x14ac:dyDescent="0.25">
      <c r="A27" s="121" t="s">
        <v>51</v>
      </c>
      <c r="B27" s="121"/>
      <c r="C27" s="121"/>
      <c r="D27" s="121"/>
      <c r="E27" s="121"/>
      <c r="F27" s="56">
        <f>1*53.84%</f>
        <v>0.53839999999999999</v>
      </c>
      <c r="G27" s="108"/>
      <c r="H27" s="108"/>
      <c r="I27" s="108"/>
      <c r="J27" s="108"/>
      <c r="K27" s="108"/>
      <c r="L27" s="20"/>
    </row>
    <row r="28" spans="1:14" s="2" customFormat="1" ht="15" customHeight="1" x14ac:dyDescent="0.25">
      <c r="A28" s="108" t="s">
        <v>49</v>
      </c>
      <c r="B28" s="108"/>
      <c r="C28" s="108"/>
      <c r="D28" s="108"/>
      <c r="E28" s="108"/>
      <c r="F28" s="56">
        <f>1*53.84%</f>
        <v>0.53839999999999999</v>
      </c>
      <c r="G28" s="118"/>
      <c r="H28" s="119"/>
      <c r="I28" s="119"/>
      <c r="J28" s="119"/>
      <c r="K28" s="120"/>
      <c r="L28" s="20"/>
    </row>
    <row r="29" spans="1:14" s="2" customFormat="1" x14ac:dyDescent="0.25">
      <c r="A29" s="121" t="s">
        <v>54</v>
      </c>
      <c r="B29" s="121"/>
      <c r="C29" s="121"/>
      <c r="D29" s="121"/>
      <c r="E29" s="121"/>
      <c r="F29" s="56">
        <f>1*53.84%</f>
        <v>0.53839999999999999</v>
      </c>
      <c r="G29" s="108"/>
      <c r="H29" s="108"/>
      <c r="I29" s="108"/>
      <c r="J29" s="108"/>
      <c r="K29" s="108"/>
      <c r="L29" s="20"/>
    </row>
    <row r="30" spans="1:14" s="2" customFormat="1" ht="15.75" thickBot="1" x14ac:dyDescent="0.3">
      <c r="A30" s="121" t="s">
        <v>77</v>
      </c>
      <c r="B30" s="121"/>
      <c r="C30" s="121"/>
      <c r="D30" s="121"/>
      <c r="E30" s="121"/>
      <c r="F30" s="79">
        <f>1*53.84%</f>
        <v>0.53839999999999999</v>
      </c>
      <c r="G30" s="108"/>
      <c r="H30" s="108"/>
      <c r="I30" s="108"/>
      <c r="J30" s="108"/>
      <c r="K30" s="108"/>
      <c r="L30" s="81"/>
    </row>
    <row r="31" spans="1:14" s="1" customFormat="1" thickBot="1" x14ac:dyDescent="0.25">
      <c r="A31" s="109" t="s">
        <v>4</v>
      </c>
      <c r="B31" s="109"/>
      <c r="C31" s="109"/>
      <c r="D31" s="109"/>
      <c r="E31" s="110"/>
      <c r="F31" s="80">
        <f>SUM(F18:F30)</f>
        <v>9.9603999999999981</v>
      </c>
      <c r="G31" s="122" t="s">
        <v>4</v>
      </c>
      <c r="H31" s="109"/>
      <c r="I31" s="109"/>
      <c r="J31" s="109"/>
      <c r="K31" s="110"/>
      <c r="L31" s="80">
        <f>SUM(L18:L30)</f>
        <v>5.3840000000000003</v>
      </c>
      <c r="M31" s="60"/>
      <c r="N31" s="24"/>
    </row>
    <row r="32" spans="1:14" ht="12" customHeight="1" thickBot="1" x14ac:dyDescent="0.3"/>
    <row r="33" spans="1:13" s="2" customFormat="1" ht="15.75" thickBot="1" x14ac:dyDescent="0.3">
      <c r="A33" s="1" t="s">
        <v>56</v>
      </c>
      <c r="F33" s="70">
        <v>1516</v>
      </c>
    </row>
    <row r="34" spans="1:13" s="2" customFormat="1" ht="75.75" thickBot="1" x14ac:dyDescent="0.3">
      <c r="A34" s="99" t="s">
        <v>5</v>
      </c>
      <c r="B34" s="100"/>
      <c r="C34" s="100"/>
      <c r="D34" s="100"/>
      <c r="E34" s="101"/>
      <c r="F34" s="69" t="s">
        <v>6</v>
      </c>
      <c r="G34" s="27" t="s">
        <v>1</v>
      </c>
      <c r="H34" s="27" t="s">
        <v>71</v>
      </c>
      <c r="I34" s="27" t="s">
        <v>72</v>
      </c>
      <c r="J34" s="27" t="s">
        <v>73</v>
      </c>
      <c r="K34" s="28" t="s">
        <v>74</v>
      </c>
      <c r="L34" s="43"/>
      <c r="M34" s="16"/>
    </row>
    <row r="35" spans="1:13" s="2" customFormat="1" ht="15" hidden="1" customHeight="1" x14ac:dyDescent="0.25">
      <c r="A35" s="89" t="s">
        <v>53</v>
      </c>
      <c r="B35" s="89"/>
      <c r="C35" s="89"/>
      <c r="D35" s="89"/>
      <c r="E35" s="89"/>
      <c r="F35" s="15">
        <v>13850</v>
      </c>
      <c r="G35" s="15">
        <f t="shared" ref="G35:G44" si="0">F18</f>
        <v>0.53839999999999999</v>
      </c>
      <c r="H35" s="15">
        <f>F35*G35*12</f>
        <v>89482.08</v>
      </c>
      <c r="I35" s="15">
        <f>H35*1.302</f>
        <v>116505.66816</v>
      </c>
      <c r="J35" s="15">
        <f>F33</f>
        <v>1516</v>
      </c>
      <c r="K35" s="15">
        <f>I35/J35</f>
        <v>76.850704591029029</v>
      </c>
      <c r="L35" s="26"/>
      <c r="M35" s="16"/>
    </row>
    <row r="36" spans="1:13" s="2" customFormat="1" ht="15" hidden="1" customHeight="1" x14ac:dyDescent="0.25">
      <c r="A36" s="89" t="s">
        <v>88</v>
      </c>
      <c r="B36" s="89"/>
      <c r="C36" s="89"/>
      <c r="D36" s="89"/>
      <c r="E36" s="89"/>
      <c r="F36" s="15">
        <v>11538</v>
      </c>
      <c r="G36" s="15">
        <f t="shared" si="0"/>
        <v>0.53839999999999999</v>
      </c>
      <c r="H36" s="15">
        <f t="shared" ref="H36:H45" si="1">F36*G36*12</f>
        <v>74544.710399999996</v>
      </c>
      <c r="I36" s="15">
        <f t="shared" ref="I36:I45" si="2">H36*1.302</f>
        <v>97057.212940800004</v>
      </c>
      <c r="J36" s="15">
        <f>J35</f>
        <v>1516</v>
      </c>
      <c r="K36" s="15">
        <f t="shared" ref="K36:K45" si="3">I36/J36</f>
        <v>64.021908272295519</v>
      </c>
      <c r="L36" s="26"/>
      <c r="M36" s="16"/>
    </row>
    <row r="37" spans="1:13" s="2" customFormat="1" ht="15" hidden="1" customHeight="1" x14ac:dyDescent="0.25">
      <c r="A37" s="89" t="s">
        <v>43</v>
      </c>
      <c r="B37" s="89"/>
      <c r="C37" s="89"/>
      <c r="D37" s="89"/>
      <c r="E37" s="89"/>
      <c r="F37" s="15">
        <v>8837</v>
      </c>
      <c r="G37" s="15">
        <f t="shared" si="0"/>
        <v>0.53839999999999999</v>
      </c>
      <c r="H37" s="15">
        <f t="shared" si="1"/>
        <v>57094.089599999999</v>
      </c>
      <c r="I37" s="15">
        <f t="shared" si="2"/>
        <v>74336.5046592</v>
      </c>
      <c r="J37" s="15">
        <f t="shared" ref="J37:J43" si="4">J36</f>
        <v>1516</v>
      </c>
      <c r="K37" s="15">
        <f t="shared" si="3"/>
        <v>49.03463368021108</v>
      </c>
      <c r="L37" s="26"/>
      <c r="M37" s="16"/>
    </row>
    <row r="38" spans="1:13" s="2" customFormat="1" ht="15" hidden="1" customHeight="1" x14ac:dyDescent="0.25">
      <c r="A38" s="89" t="s">
        <v>45</v>
      </c>
      <c r="B38" s="89"/>
      <c r="C38" s="89"/>
      <c r="D38" s="89"/>
      <c r="E38" s="89"/>
      <c r="F38" s="15">
        <v>8837</v>
      </c>
      <c r="G38" s="15">
        <f t="shared" si="0"/>
        <v>0.80759999999999998</v>
      </c>
      <c r="H38" s="15">
        <f t="shared" si="1"/>
        <v>85641.134399999995</v>
      </c>
      <c r="I38" s="15">
        <f t="shared" si="2"/>
        <v>111504.7569888</v>
      </c>
      <c r="J38" s="15">
        <f t="shared" si="4"/>
        <v>1516</v>
      </c>
      <c r="K38" s="15">
        <f t="shared" si="3"/>
        <v>73.551950520316623</v>
      </c>
      <c r="L38" s="26"/>
      <c r="M38" s="16"/>
    </row>
    <row r="39" spans="1:13" s="2" customFormat="1" ht="15" hidden="1" customHeight="1" x14ac:dyDescent="0.25">
      <c r="A39" s="89" t="s">
        <v>44</v>
      </c>
      <c r="B39" s="89"/>
      <c r="C39" s="89"/>
      <c r="D39" s="89"/>
      <c r="E39" s="89"/>
      <c r="F39" s="15">
        <v>6556</v>
      </c>
      <c r="G39" s="15">
        <f t="shared" si="0"/>
        <v>3.4996</v>
      </c>
      <c r="H39" s="15">
        <f t="shared" si="1"/>
        <v>275320.53119999997</v>
      </c>
      <c r="I39" s="15">
        <f t="shared" si="2"/>
        <v>358467.33162239997</v>
      </c>
      <c r="J39" s="15">
        <f t="shared" si="4"/>
        <v>1516</v>
      </c>
      <c r="K39" s="15">
        <f t="shared" si="3"/>
        <v>236.45602349762532</v>
      </c>
      <c r="L39" s="26"/>
      <c r="M39" s="16"/>
    </row>
    <row r="40" spans="1:13" s="2" customFormat="1" ht="15" hidden="1" customHeight="1" x14ac:dyDescent="0.25">
      <c r="A40" s="89" t="s">
        <v>76</v>
      </c>
      <c r="B40" s="89"/>
      <c r="C40" s="89"/>
      <c r="D40" s="89"/>
      <c r="E40" s="89"/>
      <c r="F40" s="15">
        <v>2248</v>
      </c>
      <c r="G40" s="15">
        <f t="shared" si="0"/>
        <v>0.26919999999999999</v>
      </c>
      <c r="H40" s="15">
        <f t="shared" si="1"/>
        <v>7261.9392000000007</v>
      </c>
      <c r="I40" s="15">
        <f t="shared" si="2"/>
        <v>9455.044838400001</v>
      </c>
      <c r="J40" s="15">
        <f t="shared" si="4"/>
        <v>1516</v>
      </c>
      <c r="K40" s="15">
        <f t="shared" si="3"/>
        <v>6.2368369646437998</v>
      </c>
      <c r="L40" s="26"/>
      <c r="M40" s="16"/>
    </row>
    <row r="41" spans="1:13" s="2" customFormat="1" ht="15" hidden="1" customHeight="1" x14ac:dyDescent="0.25">
      <c r="A41" s="89" t="s">
        <v>75</v>
      </c>
      <c r="B41" s="89"/>
      <c r="C41" s="89"/>
      <c r="D41" s="89"/>
      <c r="E41" s="89"/>
      <c r="F41" s="15">
        <v>3993</v>
      </c>
      <c r="G41" s="15">
        <f t="shared" si="0"/>
        <v>0.53839999999999999</v>
      </c>
      <c r="H41" s="15">
        <f t="shared" si="1"/>
        <v>25797.974399999999</v>
      </c>
      <c r="I41" s="15">
        <f t="shared" si="2"/>
        <v>33588.962668799999</v>
      </c>
      <c r="J41" s="15">
        <f t="shared" si="4"/>
        <v>1516</v>
      </c>
      <c r="K41" s="15">
        <f t="shared" si="3"/>
        <v>22.156307829023746</v>
      </c>
      <c r="L41" s="26"/>
      <c r="M41" s="16"/>
    </row>
    <row r="42" spans="1:13" s="2" customFormat="1" ht="15" hidden="1" customHeight="1" x14ac:dyDescent="0.25">
      <c r="A42" s="89" t="s">
        <v>52</v>
      </c>
      <c r="B42" s="89"/>
      <c r="C42" s="89"/>
      <c r="D42" s="89"/>
      <c r="E42" s="89"/>
      <c r="F42" s="15">
        <v>8837</v>
      </c>
      <c r="G42" s="15">
        <f t="shared" si="0"/>
        <v>0.53839999999999999</v>
      </c>
      <c r="H42" s="15">
        <f t="shared" si="1"/>
        <v>57094.089599999999</v>
      </c>
      <c r="I42" s="15">
        <f t="shared" si="2"/>
        <v>74336.5046592</v>
      </c>
      <c r="J42" s="15">
        <f t="shared" si="4"/>
        <v>1516</v>
      </c>
      <c r="K42" s="15">
        <f t="shared" si="3"/>
        <v>49.03463368021108</v>
      </c>
      <c r="L42" s="26"/>
      <c r="M42" s="16"/>
    </row>
    <row r="43" spans="1:13" s="2" customFormat="1" ht="15" hidden="1" customHeight="1" x14ac:dyDescent="0.25">
      <c r="A43" s="89" t="s">
        <v>47</v>
      </c>
      <c r="B43" s="89"/>
      <c r="C43" s="89"/>
      <c r="D43" s="89"/>
      <c r="E43" s="89"/>
      <c r="F43" s="15">
        <v>8837</v>
      </c>
      <c r="G43" s="15">
        <f t="shared" si="0"/>
        <v>0.53839999999999999</v>
      </c>
      <c r="H43" s="15">
        <f t="shared" si="1"/>
        <v>57094.089599999999</v>
      </c>
      <c r="I43" s="15">
        <f t="shared" si="2"/>
        <v>74336.5046592</v>
      </c>
      <c r="J43" s="15">
        <f t="shared" si="4"/>
        <v>1516</v>
      </c>
      <c r="K43" s="15">
        <f t="shared" si="3"/>
        <v>49.03463368021108</v>
      </c>
      <c r="L43" s="26"/>
      <c r="M43" s="16"/>
    </row>
    <row r="44" spans="1:13" s="2" customFormat="1" ht="15" hidden="1" customHeight="1" x14ac:dyDescent="0.25">
      <c r="A44" s="89" t="s">
        <v>51</v>
      </c>
      <c r="B44" s="89"/>
      <c r="C44" s="89"/>
      <c r="D44" s="89"/>
      <c r="E44" s="89"/>
      <c r="F44" s="15">
        <v>4565</v>
      </c>
      <c r="G44" s="15">
        <f t="shared" si="0"/>
        <v>0.53839999999999999</v>
      </c>
      <c r="H44" s="15">
        <f t="shared" si="1"/>
        <v>29493.551999999996</v>
      </c>
      <c r="I44" s="15">
        <f t="shared" si="2"/>
        <v>38400.604703999998</v>
      </c>
      <c r="J44" s="15">
        <f>J42</f>
        <v>1516</v>
      </c>
      <c r="K44" s="15">
        <f t="shared" si="3"/>
        <v>25.330214184696569</v>
      </c>
      <c r="L44" s="26"/>
      <c r="M44" s="16"/>
    </row>
    <row r="45" spans="1:13" s="2" customFormat="1" ht="15" hidden="1" customHeight="1" x14ac:dyDescent="0.25">
      <c r="A45" s="89" t="s">
        <v>46</v>
      </c>
      <c r="B45" s="89"/>
      <c r="C45" s="89"/>
      <c r="D45" s="89"/>
      <c r="E45" s="89"/>
      <c r="F45" s="15">
        <v>8837</v>
      </c>
      <c r="G45" s="15" t="e">
        <f>#REF!</f>
        <v>#REF!</v>
      </c>
      <c r="H45" s="15" t="e">
        <f t="shared" si="1"/>
        <v>#REF!</v>
      </c>
      <c r="I45" s="15" t="e">
        <f t="shared" si="2"/>
        <v>#REF!</v>
      </c>
      <c r="J45" s="15">
        <f>J43</f>
        <v>1516</v>
      </c>
      <c r="K45" s="15" t="e">
        <f t="shared" si="3"/>
        <v>#REF!</v>
      </c>
      <c r="L45" s="26"/>
      <c r="M45" s="16"/>
    </row>
    <row r="46" spans="1:13" s="2" customFormat="1" ht="15" hidden="1" customHeight="1" x14ac:dyDescent="0.25">
      <c r="A46" s="89" t="s">
        <v>49</v>
      </c>
      <c r="B46" s="89"/>
      <c r="C46" s="89"/>
      <c r="D46" s="89"/>
      <c r="E46" s="89"/>
      <c r="F46" s="15">
        <v>8837</v>
      </c>
      <c r="G46" s="15">
        <f t="shared" ref="G46:G48" si="5">F28</f>
        <v>0.53839999999999999</v>
      </c>
      <c r="H46" s="15">
        <f>F46*G46*12</f>
        <v>57094.089599999999</v>
      </c>
      <c r="I46" s="15">
        <f>H46*1.302</f>
        <v>74336.5046592</v>
      </c>
      <c r="J46" s="15">
        <f>F33</f>
        <v>1516</v>
      </c>
      <c r="K46" s="15">
        <f>I46/J46</f>
        <v>49.03463368021108</v>
      </c>
      <c r="L46" s="26"/>
      <c r="M46" s="16"/>
    </row>
    <row r="47" spans="1:13" s="2" customFormat="1" ht="15" hidden="1" customHeight="1" x14ac:dyDescent="0.25">
      <c r="A47" s="89" t="s">
        <v>54</v>
      </c>
      <c r="B47" s="89"/>
      <c r="C47" s="89"/>
      <c r="D47" s="89"/>
      <c r="E47" s="89"/>
      <c r="F47" s="15">
        <v>11538</v>
      </c>
      <c r="G47" s="15">
        <f t="shared" si="5"/>
        <v>0.53839999999999999</v>
      </c>
      <c r="H47" s="15">
        <f t="shared" ref="H47" si="6">F47*G47*12</f>
        <v>74544.710399999996</v>
      </c>
      <c r="I47" s="15">
        <f t="shared" ref="I47:I48" si="7">H47*1.302</f>
        <v>97057.212940800004</v>
      </c>
      <c r="J47" s="15">
        <f t="shared" ref="J47:J49" si="8">J46</f>
        <v>1516</v>
      </c>
      <c r="K47" s="15">
        <f t="shared" ref="K47:K48" si="9">I47/J47</f>
        <v>64.021908272295519</v>
      </c>
      <c r="L47" s="26"/>
      <c r="M47" s="16"/>
    </row>
    <row r="48" spans="1:13" s="2" customFormat="1" ht="15" hidden="1" customHeight="1" x14ac:dyDescent="0.25">
      <c r="A48" s="89" t="s">
        <v>77</v>
      </c>
      <c r="B48" s="89"/>
      <c r="C48" s="89"/>
      <c r="D48" s="89"/>
      <c r="E48" s="89"/>
      <c r="F48" s="15">
        <v>11538</v>
      </c>
      <c r="G48" s="15">
        <f t="shared" si="5"/>
        <v>0.53839999999999999</v>
      </c>
      <c r="H48" s="15">
        <f>F48*G48*12</f>
        <v>74544.710399999996</v>
      </c>
      <c r="I48" s="66">
        <f t="shared" si="7"/>
        <v>97057.212940800004</v>
      </c>
      <c r="J48" s="15">
        <f t="shared" si="8"/>
        <v>1516</v>
      </c>
      <c r="K48" s="66">
        <f t="shared" si="9"/>
        <v>64.021908272295519</v>
      </c>
      <c r="L48" s="26"/>
      <c r="M48" s="16"/>
    </row>
    <row r="49" spans="1:14" customFormat="1" ht="15.75" customHeight="1" thickBot="1" x14ac:dyDescent="0.3">
      <c r="A49" s="30" t="s">
        <v>78</v>
      </c>
      <c r="B49" s="31"/>
      <c r="C49" s="31"/>
      <c r="D49" s="31"/>
      <c r="E49" s="31"/>
      <c r="F49" s="11">
        <v>23687.01</v>
      </c>
      <c r="G49" s="11">
        <f>F31</f>
        <v>9.9603999999999981</v>
      </c>
      <c r="H49" s="65">
        <v>2831070.92</v>
      </c>
      <c r="I49" s="67">
        <f>(H49*1.302)</f>
        <v>3686054.3378400002</v>
      </c>
      <c r="J49" s="68">
        <f t="shared" si="8"/>
        <v>1516</v>
      </c>
      <c r="K49" s="67">
        <f>I49/J49</f>
        <v>2431.4342597889181</v>
      </c>
      <c r="L49" s="26"/>
      <c r="M49" s="62" t="e">
        <f>I49+I89+#REF!+#REF!+'Услуга №3'!I59+'Услуга №3'!#REF!</f>
        <v>#REF!</v>
      </c>
      <c r="N49" s="17" t="e">
        <f>M49-10259363.87</f>
        <v>#REF!</v>
      </c>
    </row>
    <row r="50" spans="1:14" s="2" customFormat="1" ht="13.5" customHeight="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4" s="2" customFormat="1" ht="14.25" customHeight="1" x14ac:dyDescent="0.25">
      <c r="A51" s="93" t="s">
        <v>9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16"/>
    </row>
    <row r="52" spans="1:14" s="2" customFormat="1" ht="45" x14ac:dyDescent="0.25">
      <c r="A52" s="88" t="s">
        <v>10</v>
      </c>
      <c r="B52" s="88"/>
      <c r="C52" s="88"/>
      <c r="D52" s="88"/>
      <c r="E52" s="88"/>
      <c r="F52" s="27" t="s">
        <v>8</v>
      </c>
      <c r="G52" s="27" t="s">
        <v>68</v>
      </c>
      <c r="H52" s="27" t="s">
        <v>69</v>
      </c>
      <c r="I52" s="27" t="s">
        <v>79</v>
      </c>
      <c r="J52" s="27" t="s">
        <v>73</v>
      </c>
      <c r="K52" s="32" t="s">
        <v>74</v>
      </c>
      <c r="L52" s="33"/>
      <c r="M52" s="16"/>
    </row>
    <row r="53" spans="1:14" s="2" customFormat="1" x14ac:dyDescent="0.25">
      <c r="A53" s="95" t="s">
        <v>11</v>
      </c>
      <c r="B53" s="96"/>
      <c r="C53" s="96"/>
      <c r="D53" s="96"/>
      <c r="E53" s="97"/>
      <c r="F53" s="29" t="s">
        <v>80</v>
      </c>
      <c r="G53" s="29">
        <f>I53/H53</f>
        <v>27.924450412210209</v>
      </c>
      <c r="H53" s="63">
        <v>7873.41</v>
      </c>
      <c r="I53" s="29">
        <f>408359.3*53.84%</f>
        <v>219860.64711999998</v>
      </c>
      <c r="J53" s="15">
        <f>J48</f>
        <v>1516</v>
      </c>
      <c r="K53" s="34">
        <f>I53/J53</f>
        <v>145.02681208443269</v>
      </c>
      <c r="L53" s="33"/>
      <c r="M53" s="16"/>
    </row>
    <row r="54" spans="1:14" s="2" customFormat="1" x14ac:dyDescent="0.25">
      <c r="A54" s="89" t="s">
        <v>12</v>
      </c>
      <c r="B54" s="89"/>
      <c r="C54" s="89"/>
      <c r="D54" s="89"/>
      <c r="E54" s="89"/>
      <c r="F54" s="15" t="s">
        <v>15</v>
      </c>
      <c r="G54" s="29">
        <f t="shared" ref="G54:G56" si="10">I54/H54</f>
        <v>428.47783815136893</v>
      </c>
      <c r="H54" s="46">
        <v>1798.52</v>
      </c>
      <c r="I54" s="29">
        <f>1431326.08*53.84%</f>
        <v>770625.961472</v>
      </c>
      <c r="J54" s="15">
        <f>J53</f>
        <v>1516</v>
      </c>
      <c r="K54" s="34">
        <f t="shared" ref="K54:K57" si="11">I54/J54</f>
        <v>508.32847062796833</v>
      </c>
      <c r="L54" s="35"/>
      <c r="M54" s="16"/>
    </row>
    <row r="55" spans="1:14" s="2" customFormat="1" x14ac:dyDescent="0.25">
      <c r="A55" s="89" t="s">
        <v>13</v>
      </c>
      <c r="B55" s="89"/>
      <c r="C55" s="89"/>
      <c r="D55" s="89"/>
      <c r="E55" s="89"/>
      <c r="F55" s="15" t="s">
        <v>16</v>
      </c>
      <c r="G55" s="29">
        <f t="shared" si="10"/>
        <v>392.11204481792709</v>
      </c>
      <c r="H55" s="46">
        <v>42.84</v>
      </c>
      <c r="I55" s="29">
        <f>31200*53.84%</f>
        <v>16798.079999999998</v>
      </c>
      <c r="J55" s="15">
        <f>J54</f>
        <v>1516</v>
      </c>
      <c r="K55" s="34">
        <f t="shared" si="11"/>
        <v>11.080527704485487</v>
      </c>
      <c r="L55" s="35"/>
      <c r="M55" s="16"/>
    </row>
    <row r="56" spans="1:14" s="2" customFormat="1" ht="15.75" thickBot="1" x14ac:dyDescent="0.3">
      <c r="A56" s="89" t="s">
        <v>14</v>
      </c>
      <c r="B56" s="89"/>
      <c r="C56" s="89"/>
      <c r="D56" s="89"/>
      <c r="E56" s="89"/>
      <c r="F56" s="15" t="s">
        <v>16</v>
      </c>
      <c r="G56" s="29">
        <f t="shared" si="10"/>
        <v>325.39648161564349</v>
      </c>
      <c r="H56" s="46">
        <v>62.39</v>
      </c>
      <c r="I56" s="29">
        <f>37707.07*53.84%</f>
        <v>20301.486487999999</v>
      </c>
      <c r="J56" s="15">
        <f>J54</f>
        <v>1516</v>
      </c>
      <c r="K56" s="34">
        <f t="shared" si="11"/>
        <v>13.391481852242743</v>
      </c>
      <c r="L56" s="35"/>
      <c r="M56" s="16"/>
    </row>
    <row r="57" spans="1:14" s="2" customFormat="1" ht="15.75" hidden="1" thickBot="1" x14ac:dyDescent="0.3">
      <c r="A57" s="95" t="s">
        <v>58</v>
      </c>
      <c r="B57" s="107"/>
      <c r="C57" s="107"/>
      <c r="D57" s="107"/>
      <c r="E57" s="107"/>
      <c r="F57" s="15" t="s">
        <v>16</v>
      </c>
      <c r="G57" s="15">
        <v>12</v>
      </c>
      <c r="H57" s="64"/>
      <c r="I57" s="71">
        <v>0</v>
      </c>
      <c r="J57" s="15">
        <v>0</v>
      </c>
      <c r="K57" s="72" t="e">
        <f t="shared" si="11"/>
        <v>#DIV/0!</v>
      </c>
      <c r="L57" s="35"/>
      <c r="M57" s="16"/>
    </row>
    <row r="58" spans="1:14" s="2" customFormat="1" ht="15.75" thickBot="1" x14ac:dyDescent="0.3">
      <c r="A58" s="86" t="s">
        <v>17</v>
      </c>
      <c r="B58" s="87"/>
      <c r="C58" s="87"/>
      <c r="D58" s="87"/>
      <c r="E58" s="87"/>
      <c r="F58" s="87"/>
      <c r="G58" s="87"/>
      <c r="H58" s="87"/>
      <c r="I58" s="67">
        <f>SUM(I53:I57)</f>
        <v>1027586.17508</v>
      </c>
      <c r="J58" s="68">
        <f t="shared" ref="J57:J58" si="12">J56</f>
        <v>1516</v>
      </c>
      <c r="K58" s="67">
        <f>I58/J58</f>
        <v>677.82729226912932</v>
      </c>
      <c r="L58" s="26"/>
      <c r="M58" s="22" t="e">
        <f>I58+#REF!+'Услуга №3'!#REF!</f>
        <v>#REF!</v>
      </c>
    </row>
    <row r="59" spans="1:14" s="2" customFormat="1" ht="12" customHeight="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</row>
    <row r="60" spans="1:14" s="2" customFormat="1" x14ac:dyDescent="0.25">
      <c r="A60" s="93" t="s">
        <v>18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16"/>
    </row>
    <row r="61" spans="1:14" s="2" customFormat="1" ht="45" x14ac:dyDescent="0.25">
      <c r="A61" s="99" t="s">
        <v>22</v>
      </c>
      <c r="B61" s="100"/>
      <c r="C61" s="100"/>
      <c r="D61" s="100"/>
      <c r="E61" s="101"/>
      <c r="F61" s="27" t="s">
        <v>8</v>
      </c>
      <c r="G61" s="27" t="s">
        <v>68</v>
      </c>
      <c r="H61" s="27" t="s">
        <v>69</v>
      </c>
      <c r="I61" s="27" t="s">
        <v>79</v>
      </c>
      <c r="J61" s="27" t="s">
        <v>73</v>
      </c>
      <c r="K61" s="32" t="s">
        <v>74</v>
      </c>
      <c r="L61" s="33"/>
      <c r="M61" s="16"/>
    </row>
    <row r="62" spans="1:14" s="2" customFormat="1" x14ac:dyDescent="0.25">
      <c r="A62" s="89" t="s">
        <v>81</v>
      </c>
      <c r="B62" s="89"/>
      <c r="C62" s="89"/>
      <c r="D62" s="89"/>
      <c r="E62" s="89"/>
      <c r="F62" s="15" t="s">
        <v>20</v>
      </c>
      <c r="G62" s="15">
        <v>12</v>
      </c>
      <c r="H62" s="15">
        <v>4568.17</v>
      </c>
      <c r="I62" s="15">
        <f>54818*53.84%</f>
        <v>29514.011200000001</v>
      </c>
      <c r="J62" s="15">
        <f>J56</f>
        <v>1516</v>
      </c>
      <c r="K62" s="36">
        <f>I62/J62</f>
        <v>19.468345118733509</v>
      </c>
      <c r="L62" s="35"/>
      <c r="M62" s="16"/>
    </row>
    <row r="63" spans="1:14" s="2" customFormat="1" x14ac:dyDescent="0.25">
      <c r="A63" s="89" t="s">
        <v>19</v>
      </c>
      <c r="B63" s="89"/>
      <c r="C63" s="89"/>
      <c r="D63" s="89"/>
      <c r="E63" s="89"/>
      <c r="F63" s="15" t="s">
        <v>20</v>
      </c>
      <c r="G63" s="15">
        <v>12</v>
      </c>
      <c r="H63" s="15">
        <v>620</v>
      </c>
      <c r="I63" s="15">
        <f>7440*53.84%</f>
        <v>4005.6959999999999</v>
      </c>
      <c r="J63" s="15">
        <f>J62</f>
        <v>1516</v>
      </c>
      <c r="K63" s="36">
        <f t="shared" ref="K63:K67" si="13">I63/J63</f>
        <v>2.6422796833773088</v>
      </c>
      <c r="L63" s="35"/>
      <c r="M63" s="16"/>
    </row>
    <row r="64" spans="1:14" s="23" customFormat="1" ht="16.5" customHeight="1" x14ac:dyDescent="0.25">
      <c r="A64" s="105" t="s">
        <v>57</v>
      </c>
      <c r="B64" s="105"/>
      <c r="C64" s="105"/>
      <c r="D64" s="105"/>
      <c r="E64" s="105"/>
      <c r="F64" s="37" t="s">
        <v>20</v>
      </c>
      <c r="G64" s="37">
        <v>12</v>
      </c>
      <c r="H64" s="37">
        <v>3000</v>
      </c>
      <c r="I64" s="37">
        <f>36000*53.84%</f>
        <v>19382.399999999998</v>
      </c>
      <c r="J64" s="37">
        <f>J63</f>
        <v>1516</v>
      </c>
      <c r="K64" s="38">
        <f t="shared" si="13"/>
        <v>12.785224274406332</v>
      </c>
      <c r="L64" s="39"/>
      <c r="M64" s="40"/>
    </row>
    <row r="65" spans="1:13" s="23" customFormat="1" ht="33" customHeight="1" x14ac:dyDescent="0.25">
      <c r="A65" s="105" t="s">
        <v>92</v>
      </c>
      <c r="B65" s="105"/>
      <c r="C65" s="105"/>
      <c r="D65" s="105"/>
      <c r="E65" s="105"/>
      <c r="F65" s="37" t="s">
        <v>20</v>
      </c>
      <c r="G65" s="37">
        <v>12</v>
      </c>
      <c r="H65" s="37">
        <v>2417.5</v>
      </c>
      <c r="I65" s="37">
        <f>29010*53.84%</f>
        <v>15618.984</v>
      </c>
      <c r="J65" s="37">
        <f>J64</f>
        <v>1516</v>
      </c>
      <c r="K65" s="38">
        <f t="shared" si="13"/>
        <v>10.302759894459102</v>
      </c>
      <c r="L65" s="39"/>
      <c r="M65" s="40"/>
    </row>
    <row r="66" spans="1:13" s="2" customFormat="1" ht="16.5" customHeight="1" x14ac:dyDescent="0.25">
      <c r="A66" s="98" t="s">
        <v>98</v>
      </c>
      <c r="B66" s="98"/>
      <c r="C66" s="98"/>
      <c r="D66" s="98"/>
      <c r="E66" s="98"/>
      <c r="F66" s="15" t="s">
        <v>20</v>
      </c>
      <c r="G66" s="15">
        <v>12</v>
      </c>
      <c r="H66" s="15">
        <v>2500</v>
      </c>
      <c r="I66" s="15">
        <f>30000*53.84%</f>
        <v>16152</v>
      </c>
      <c r="J66" s="15">
        <f>J64</f>
        <v>1516</v>
      </c>
      <c r="K66" s="36">
        <f t="shared" si="13"/>
        <v>10.654353562005277</v>
      </c>
      <c r="L66" s="35"/>
      <c r="M66" s="16"/>
    </row>
    <row r="67" spans="1:13" s="2" customFormat="1" ht="15" customHeight="1" x14ac:dyDescent="0.25">
      <c r="A67" s="98" t="s">
        <v>99</v>
      </c>
      <c r="B67" s="98"/>
      <c r="C67" s="98"/>
      <c r="D67" s="98"/>
      <c r="E67" s="98"/>
      <c r="F67" s="15" t="s">
        <v>20</v>
      </c>
      <c r="G67" s="15">
        <v>4</v>
      </c>
      <c r="H67" s="15">
        <v>1000</v>
      </c>
      <c r="I67" s="15">
        <f>4000*53.84%</f>
        <v>2153.6</v>
      </c>
      <c r="J67" s="15">
        <f>J64</f>
        <v>1516</v>
      </c>
      <c r="K67" s="36">
        <f t="shared" si="13"/>
        <v>1.4205804749340369</v>
      </c>
      <c r="L67" s="35"/>
      <c r="M67" s="16"/>
    </row>
    <row r="68" spans="1:13" s="2" customFormat="1" ht="15" customHeight="1" thickBot="1" x14ac:dyDescent="0.3">
      <c r="A68" s="98" t="s">
        <v>100</v>
      </c>
      <c r="B68" s="98"/>
      <c r="C68" s="98"/>
      <c r="D68" s="98"/>
      <c r="E68" s="98"/>
      <c r="F68" s="15" t="s">
        <v>20</v>
      </c>
      <c r="G68" s="15">
        <v>12</v>
      </c>
      <c r="H68" s="15">
        <v>3250</v>
      </c>
      <c r="I68" s="66">
        <f>6500*53.84%</f>
        <v>3499.6</v>
      </c>
      <c r="J68" s="15">
        <f>J65</f>
        <v>1516</v>
      </c>
      <c r="K68" s="73">
        <f t="shared" ref="K68" si="14">I68/J68</f>
        <v>2.3084432717678101</v>
      </c>
      <c r="L68" s="35"/>
      <c r="M68" s="16"/>
    </row>
    <row r="69" spans="1:13" customFormat="1" ht="18.75" customHeight="1" thickBot="1" x14ac:dyDescent="0.3">
      <c r="A69" s="86" t="s">
        <v>21</v>
      </c>
      <c r="B69" s="87"/>
      <c r="C69" s="87"/>
      <c r="D69" s="87"/>
      <c r="E69" s="87"/>
      <c r="F69" s="87"/>
      <c r="G69" s="87"/>
      <c r="H69" s="87"/>
      <c r="I69" s="67">
        <f>SUM(I62:I68)</f>
        <v>90326.291200000007</v>
      </c>
      <c r="J69" s="68">
        <f>J66</f>
        <v>1516</v>
      </c>
      <c r="K69" s="67">
        <f>I69/J69</f>
        <v>59.581986279683385</v>
      </c>
      <c r="L69" s="26"/>
      <c r="M69" s="22" t="e">
        <f>I69+#REF!+'Услуга №3'!#REF!</f>
        <v>#REF!</v>
      </c>
    </row>
    <row r="70" spans="1:13" s="2" customFormat="1" ht="12.7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s="2" customFormat="1" x14ac:dyDescent="0.25">
      <c r="A71" s="93" t="s">
        <v>82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16"/>
    </row>
    <row r="72" spans="1:13" s="2" customFormat="1" ht="60" customHeight="1" x14ac:dyDescent="0.25">
      <c r="A72" s="99" t="s">
        <v>23</v>
      </c>
      <c r="B72" s="100"/>
      <c r="C72" s="100"/>
      <c r="D72" s="100"/>
      <c r="E72" s="101"/>
      <c r="F72" s="27" t="s">
        <v>8</v>
      </c>
      <c r="G72" s="27" t="s">
        <v>68</v>
      </c>
      <c r="H72" s="27" t="s">
        <v>69</v>
      </c>
      <c r="I72" s="27" t="s">
        <v>79</v>
      </c>
      <c r="J72" s="42" t="s">
        <v>73</v>
      </c>
      <c r="K72" s="28" t="s">
        <v>74</v>
      </c>
      <c r="L72" s="43"/>
      <c r="M72" s="43"/>
    </row>
    <row r="73" spans="1:13" s="2" customFormat="1" ht="42" customHeight="1" x14ac:dyDescent="0.25">
      <c r="A73" s="95" t="s">
        <v>24</v>
      </c>
      <c r="B73" s="96"/>
      <c r="C73" s="96"/>
      <c r="D73" s="96"/>
      <c r="E73" s="97"/>
      <c r="F73" s="44" t="s">
        <v>25</v>
      </c>
      <c r="G73" s="15">
        <v>4</v>
      </c>
      <c r="H73" s="46">
        <v>536.9</v>
      </c>
      <c r="I73" s="15">
        <f>13271.2*53.84%</f>
        <v>7145.2140800000006</v>
      </c>
      <c r="J73" s="36">
        <f>F33</f>
        <v>1516</v>
      </c>
      <c r="K73" s="15">
        <f>I73/J73</f>
        <v>4.7132018997361484</v>
      </c>
      <c r="L73" s="26"/>
      <c r="M73" s="26"/>
    </row>
    <row r="74" spans="1:13" s="2" customFormat="1" ht="42" customHeight="1" x14ac:dyDescent="0.25">
      <c r="A74" s="95" t="s">
        <v>96</v>
      </c>
      <c r="B74" s="96"/>
      <c r="C74" s="96"/>
      <c r="D74" s="96"/>
      <c r="E74" s="97"/>
      <c r="F74" s="44" t="s">
        <v>25</v>
      </c>
      <c r="G74" s="15">
        <v>12</v>
      </c>
      <c r="H74" s="46">
        <v>76.7</v>
      </c>
      <c r="I74" s="15">
        <f>920.4*53.84%</f>
        <v>495.54335999999995</v>
      </c>
      <c r="J74" s="36">
        <f>J73</f>
        <v>1516</v>
      </c>
      <c r="K74" s="15">
        <f t="shared" ref="K74:K75" si="15">I74/J74</f>
        <v>0.32687556728232187</v>
      </c>
      <c r="L74" s="26"/>
      <c r="M74" s="26"/>
    </row>
    <row r="75" spans="1:13" s="2" customFormat="1" ht="40.5" customHeight="1" x14ac:dyDescent="0.25">
      <c r="A75" s="95" t="s">
        <v>97</v>
      </c>
      <c r="B75" s="96"/>
      <c r="C75" s="96"/>
      <c r="D75" s="96"/>
      <c r="E75" s="97"/>
      <c r="F75" s="44" t="s">
        <v>25</v>
      </c>
      <c r="G75" s="15"/>
      <c r="H75" s="46"/>
      <c r="I75" s="15">
        <f>2108.4*53.84%</f>
        <v>1135.16256</v>
      </c>
      <c r="J75" s="36">
        <f>J74</f>
        <v>1516</v>
      </c>
      <c r="K75" s="15">
        <f t="shared" si="15"/>
        <v>0.74878796833773087</v>
      </c>
      <c r="L75" s="26"/>
      <c r="M75" s="26"/>
    </row>
    <row r="76" spans="1:13" s="2" customFormat="1" ht="30.75" customHeight="1" thickBot="1" x14ac:dyDescent="0.3">
      <c r="A76" s="95" t="s">
        <v>83</v>
      </c>
      <c r="B76" s="96"/>
      <c r="C76" s="96"/>
      <c r="D76" s="96"/>
      <c r="E76" s="97"/>
      <c r="F76" s="44" t="s">
        <v>84</v>
      </c>
      <c r="G76" s="15">
        <v>12</v>
      </c>
      <c r="H76" s="46">
        <v>1000</v>
      </c>
      <c r="I76" s="66">
        <f>12000*53.84%</f>
        <v>6460.8</v>
      </c>
      <c r="J76" s="36">
        <f>J75</f>
        <v>1516</v>
      </c>
      <c r="K76" s="66">
        <f>I76/J76</f>
        <v>4.2617414248021106</v>
      </c>
      <c r="L76" s="26"/>
      <c r="M76" s="26"/>
    </row>
    <row r="77" spans="1:13" s="2" customFormat="1" ht="15.75" thickBot="1" x14ac:dyDescent="0.3">
      <c r="A77" s="86" t="s">
        <v>26</v>
      </c>
      <c r="B77" s="87"/>
      <c r="C77" s="87"/>
      <c r="D77" s="87"/>
      <c r="E77" s="87"/>
      <c r="F77" s="87"/>
      <c r="G77" s="87"/>
      <c r="H77" s="87"/>
      <c r="I77" s="74">
        <f>SUM(I73:I76)</f>
        <v>15236.720000000001</v>
      </c>
      <c r="J77" s="68">
        <f>J76</f>
        <v>1516</v>
      </c>
      <c r="K77" s="74">
        <f>I77/J77</f>
        <v>10.050606860158313</v>
      </c>
      <c r="L77" s="14"/>
      <c r="M77" s="45" t="e">
        <f>I77+#REF!+'Услуга №3'!#REF!</f>
        <v>#REF!</v>
      </c>
    </row>
    <row r="78" spans="1:13" s="2" customFormat="1" x14ac:dyDescent="0.25">
      <c r="A78" s="41"/>
      <c r="B78" s="41"/>
      <c r="C78" s="41"/>
      <c r="D78" s="41"/>
      <c r="E78" s="41"/>
      <c r="F78" s="41"/>
      <c r="G78" s="41"/>
      <c r="H78" s="41"/>
      <c r="I78" s="14"/>
      <c r="J78" s="14"/>
      <c r="K78" s="14"/>
      <c r="L78" s="14"/>
      <c r="M78" s="26"/>
    </row>
    <row r="79" spans="1:13" s="2" customFormat="1" x14ac:dyDescent="0.25">
      <c r="A79" s="41"/>
      <c r="B79" s="41"/>
      <c r="C79" s="41"/>
      <c r="D79" s="41"/>
      <c r="E79" s="41"/>
      <c r="F79" s="41"/>
      <c r="G79" s="41"/>
      <c r="H79" s="41"/>
      <c r="I79" s="14"/>
      <c r="J79" s="14"/>
      <c r="K79" s="14"/>
      <c r="L79" s="14"/>
      <c r="M79" s="26"/>
    </row>
    <row r="80" spans="1:13" s="2" customFormat="1" x14ac:dyDescent="0.25">
      <c r="A80" s="93" t="s">
        <v>42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16"/>
    </row>
    <row r="81" spans="1:13" s="2" customFormat="1" ht="75.75" thickBot="1" x14ac:dyDescent="0.3">
      <c r="A81" s="99" t="s">
        <v>5</v>
      </c>
      <c r="B81" s="100"/>
      <c r="C81" s="100"/>
      <c r="D81" s="100"/>
      <c r="E81" s="101"/>
      <c r="F81" s="27" t="s">
        <v>6</v>
      </c>
      <c r="G81" s="27" t="s">
        <v>1</v>
      </c>
      <c r="H81" s="27" t="s">
        <v>71</v>
      </c>
      <c r="I81" s="27" t="s">
        <v>72</v>
      </c>
      <c r="J81" s="27" t="s">
        <v>73</v>
      </c>
      <c r="K81" s="28" t="s">
        <v>74</v>
      </c>
      <c r="L81" s="43"/>
      <c r="M81" s="16"/>
    </row>
    <row r="82" spans="1:13" s="2" customFormat="1" ht="15" hidden="1" customHeight="1" x14ac:dyDescent="0.25">
      <c r="A82" s="89" t="s">
        <v>3</v>
      </c>
      <c r="B82" s="89"/>
      <c r="C82" s="89"/>
      <c r="D82" s="89"/>
      <c r="E82" s="89"/>
      <c r="F82" s="46">
        <v>15388</v>
      </c>
      <c r="G82" s="15">
        <f t="shared" ref="G82:G88" si="16">L18</f>
        <v>0.53839999999999999</v>
      </c>
      <c r="H82" s="12">
        <f>F82*12*G82</f>
        <v>99418.790399999998</v>
      </c>
      <c r="I82" s="15">
        <f>H82*1.302</f>
        <v>129443.2651008</v>
      </c>
      <c r="J82" s="15">
        <f>J76</f>
        <v>1516</v>
      </c>
      <c r="K82" s="15">
        <f>I82/J82</f>
        <v>85.384739512401055</v>
      </c>
      <c r="L82" s="26"/>
      <c r="M82" s="16"/>
    </row>
    <row r="83" spans="1:13" s="2" customFormat="1" ht="15" hidden="1" customHeight="1" x14ac:dyDescent="0.25">
      <c r="A83" s="89" t="s">
        <v>89</v>
      </c>
      <c r="B83" s="89"/>
      <c r="C83" s="89"/>
      <c r="D83" s="89"/>
      <c r="E83" s="89"/>
      <c r="F83" s="15">
        <v>11538</v>
      </c>
      <c r="G83" s="15">
        <f t="shared" si="16"/>
        <v>0.53839999999999999</v>
      </c>
      <c r="H83" s="12">
        <f>F83*12*G83</f>
        <v>74544.710399999996</v>
      </c>
      <c r="I83" s="15">
        <f t="shared" ref="I83:I88" si="17">H83*1.302</f>
        <v>97057.212940800004</v>
      </c>
      <c r="J83" s="15">
        <f>J82</f>
        <v>1516</v>
      </c>
      <c r="K83" s="15">
        <f t="shared" ref="K83:K88" si="18">I83/J83</f>
        <v>64.021908272295519</v>
      </c>
      <c r="L83" s="26"/>
      <c r="M83" s="16"/>
    </row>
    <row r="84" spans="1:13" s="2" customFormat="1" ht="15" hidden="1" customHeight="1" x14ac:dyDescent="0.25">
      <c r="A84" s="89" t="s">
        <v>90</v>
      </c>
      <c r="B84" s="89"/>
      <c r="C84" s="89"/>
      <c r="D84" s="89"/>
      <c r="E84" s="89"/>
      <c r="F84" s="15">
        <v>11538</v>
      </c>
      <c r="G84" s="15">
        <f t="shared" si="16"/>
        <v>0.53839999999999999</v>
      </c>
      <c r="H84" s="12">
        <f t="shared" ref="H84:H88" si="19">F84*12*G84</f>
        <v>74544.710399999996</v>
      </c>
      <c r="I84" s="15">
        <f t="shared" si="17"/>
        <v>97057.212940800004</v>
      </c>
      <c r="J84" s="15">
        <f>J83</f>
        <v>1516</v>
      </c>
      <c r="K84" s="15">
        <f t="shared" si="18"/>
        <v>64.021908272295519</v>
      </c>
      <c r="L84" s="26"/>
      <c r="M84" s="16"/>
    </row>
    <row r="85" spans="1:13" s="2" customFormat="1" ht="15" hidden="1" customHeight="1" x14ac:dyDescent="0.25">
      <c r="A85" s="89" t="s">
        <v>67</v>
      </c>
      <c r="B85" s="89"/>
      <c r="C85" s="89"/>
      <c r="D85" s="89"/>
      <c r="E85" s="89"/>
      <c r="F85" s="15">
        <v>11538</v>
      </c>
      <c r="G85" s="15">
        <f t="shared" si="16"/>
        <v>0.53839999999999999</v>
      </c>
      <c r="H85" s="12">
        <f t="shared" si="19"/>
        <v>74544.710399999996</v>
      </c>
      <c r="I85" s="15">
        <f t="shared" si="17"/>
        <v>97057.212940800004</v>
      </c>
      <c r="J85" s="15">
        <f>J83</f>
        <v>1516</v>
      </c>
      <c r="K85" s="15">
        <f t="shared" si="18"/>
        <v>64.021908272295519</v>
      </c>
      <c r="L85" s="26"/>
      <c r="M85" s="16"/>
    </row>
    <row r="86" spans="1:13" s="2" customFormat="1" ht="15.75" hidden="1" customHeight="1" x14ac:dyDescent="0.25">
      <c r="A86" s="89" t="s">
        <v>50</v>
      </c>
      <c r="B86" s="89"/>
      <c r="C86" s="89"/>
      <c r="D86" s="89"/>
      <c r="E86" s="89"/>
      <c r="F86" s="15">
        <v>6556</v>
      </c>
      <c r="G86" s="15">
        <f t="shared" si="16"/>
        <v>1.0768</v>
      </c>
      <c r="H86" s="12">
        <f t="shared" si="19"/>
        <v>84714.009600000005</v>
      </c>
      <c r="I86" s="15">
        <f t="shared" si="17"/>
        <v>110297.64049920002</v>
      </c>
      <c r="J86" s="15">
        <f>J84</f>
        <v>1516</v>
      </c>
      <c r="K86" s="15">
        <f t="shared" si="18"/>
        <v>72.755699537730877</v>
      </c>
      <c r="L86" s="26"/>
      <c r="M86" s="16"/>
    </row>
    <row r="87" spans="1:13" s="2" customFormat="1" ht="14.25" hidden="1" customHeight="1" x14ac:dyDescent="0.25">
      <c r="A87" s="89" t="s">
        <v>48</v>
      </c>
      <c r="B87" s="89"/>
      <c r="C87" s="89"/>
      <c r="D87" s="89"/>
      <c r="E87" s="89"/>
      <c r="F87" s="46">
        <v>11538</v>
      </c>
      <c r="G87" s="15">
        <f t="shared" si="16"/>
        <v>1.6152</v>
      </c>
      <c r="H87" s="12">
        <f t="shared" si="19"/>
        <v>223634.1312</v>
      </c>
      <c r="I87" s="15">
        <f t="shared" si="17"/>
        <v>291171.63882240001</v>
      </c>
      <c r="J87" s="15">
        <f>J85</f>
        <v>1516</v>
      </c>
      <c r="K87" s="15">
        <f t="shared" si="18"/>
        <v>192.06572481688656</v>
      </c>
      <c r="L87" s="26"/>
      <c r="M87" s="16"/>
    </row>
    <row r="88" spans="1:13" s="2" customFormat="1" ht="15" hidden="1" customHeight="1" x14ac:dyDescent="0.25">
      <c r="A88" s="102" t="s">
        <v>55</v>
      </c>
      <c r="B88" s="103"/>
      <c r="C88" s="103"/>
      <c r="D88" s="103"/>
      <c r="E88" s="104"/>
      <c r="F88" s="46">
        <v>5669</v>
      </c>
      <c r="G88" s="15">
        <f t="shared" si="16"/>
        <v>0.53839999999999999</v>
      </c>
      <c r="H88" s="12">
        <f t="shared" si="19"/>
        <v>36626.275199999996</v>
      </c>
      <c r="I88" s="66">
        <f t="shared" si="17"/>
        <v>47687.410310399995</v>
      </c>
      <c r="J88" s="15">
        <f t="shared" ref="J88:J89" si="20">J86</f>
        <v>1516</v>
      </c>
      <c r="K88" s="66">
        <f t="shared" si="18"/>
        <v>31.456075402638518</v>
      </c>
      <c r="L88" s="26"/>
      <c r="M88" s="16"/>
    </row>
    <row r="89" spans="1:13" customFormat="1" ht="20.25" customHeight="1" thickBot="1" x14ac:dyDescent="0.3">
      <c r="A89" s="30" t="s">
        <v>27</v>
      </c>
      <c r="B89" s="31"/>
      <c r="C89" s="31"/>
      <c r="D89" s="31"/>
      <c r="E89" s="31"/>
      <c r="F89" s="11">
        <v>23687.01</v>
      </c>
      <c r="G89" s="11">
        <f>L31</f>
        <v>5.3840000000000003</v>
      </c>
      <c r="H89" s="65">
        <v>1529233.08</v>
      </c>
      <c r="I89" s="67">
        <f>H89*1.302</f>
        <v>1991061.4701600003</v>
      </c>
      <c r="J89" s="75">
        <f t="shared" si="20"/>
        <v>1516</v>
      </c>
      <c r="K89" s="67">
        <f>I89/J89</f>
        <v>1313.3650858575199</v>
      </c>
      <c r="L89" s="26"/>
      <c r="M89" s="16"/>
    </row>
    <row r="90" spans="1:13" s="2" customFormat="1" ht="12" customHeight="1" x14ac:dyDescent="0.25">
      <c r="A90" s="16"/>
      <c r="B90" s="16"/>
      <c r="C90" s="16"/>
      <c r="D90" s="16"/>
      <c r="E90" s="16"/>
      <c r="F90" s="47"/>
      <c r="G90" s="47"/>
      <c r="H90" s="47"/>
      <c r="I90" s="47"/>
      <c r="J90" s="47"/>
      <c r="K90" s="47"/>
      <c r="L90" s="47"/>
      <c r="M90" s="16"/>
    </row>
    <row r="91" spans="1:13" customFormat="1" x14ac:dyDescent="0.25">
      <c r="A91" s="91" t="s">
        <v>85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2"/>
      <c r="M91" s="16"/>
    </row>
    <row r="92" spans="1:13" customFormat="1" ht="45" x14ac:dyDescent="0.25">
      <c r="A92" s="88" t="s">
        <v>86</v>
      </c>
      <c r="B92" s="88"/>
      <c r="C92" s="88"/>
      <c r="D92" s="88"/>
      <c r="E92" s="88"/>
      <c r="F92" s="27" t="s">
        <v>8</v>
      </c>
      <c r="G92" s="27" t="s">
        <v>68</v>
      </c>
      <c r="H92" s="27" t="s">
        <v>69</v>
      </c>
      <c r="I92" s="27" t="s">
        <v>79</v>
      </c>
      <c r="J92" s="27" t="s">
        <v>73</v>
      </c>
      <c r="K92" s="32" t="s">
        <v>74</v>
      </c>
      <c r="L92" s="33"/>
      <c r="M92" s="16"/>
    </row>
    <row r="93" spans="1:13" customFormat="1" ht="30.75" customHeight="1" x14ac:dyDescent="0.25">
      <c r="A93" s="98" t="s">
        <v>101</v>
      </c>
      <c r="B93" s="98"/>
      <c r="C93" s="98"/>
      <c r="D93" s="98"/>
      <c r="E93" s="98"/>
      <c r="F93" s="15"/>
      <c r="G93" s="15"/>
      <c r="H93" s="12"/>
      <c r="I93" s="12">
        <f>27500*53.84%</f>
        <v>14806</v>
      </c>
      <c r="J93" s="15">
        <f>J88</f>
        <v>1516</v>
      </c>
      <c r="K93" s="36">
        <f>I93/J93</f>
        <v>9.7664907651715041</v>
      </c>
      <c r="L93" s="35"/>
      <c r="M93" s="16"/>
    </row>
    <row r="94" spans="1:13" customFormat="1" ht="15.75" thickBot="1" x14ac:dyDescent="0.3">
      <c r="A94" s="89" t="s">
        <v>91</v>
      </c>
      <c r="B94" s="89"/>
      <c r="C94" s="89"/>
      <c r="D94" s="89"/>
      <c r="E94" s="89"/>
      <c r="F94" s="15"/>
      <c r="G94" s="15"/>
      <c r="H94" s="12"/>
      <c r="I94" s="76">
        <f>39600*53.84%</f>
        <v>21320.639999999999</v>
      </c>
      <c r="J94" s="15">
        <f>J93</f>
        <v>1516</v>
      </c>
      <c r="K94" s="73">
        <f>I94/J94</f>
        <v>14.063746701846965</v>
      </c>
      <c r="L94" s="35"/>
      <c r="M94" s="16"/>
    </row>
    <row r="95" spans="1:13" customFormat="1" ht="15.75" thickBot="1" x14ac:dyDescent="0.3">
      <c r="A95" s="94" t="s">
        <v>87</v>
      </c>
      <c r="B95" s="94"/>
      <c r="C95" s="94"/>
      <c r="D95" s="94"/>
      <c r="E95" s="94"/>
      <c r="F95" s="94"/>
      <c r="G95" s="94"/>
      <c r="H95" s="86"/>
      <c r="I95" s="74">
        <f>SUM(I93:I94)</f>
        <v>36126.639999999999</v>
      </c>
      <c r="J95" s="77">
        <f>J94</f>
        <v>1516</v>
      </c>
      <c r="K95" s="74">
        <f>SUM(K93:K94)</f>
        <v>23.83023746701847</v>
      </c>
      <c r="L95" s="26"/>
      <c r="M95" s="22" t="e">
        <f>I95+#REF!+'Услуга №3'!#REF!</f>
        <v>#REF!</v>
      </c>
    </row>
    <row r="96" spans="1:13" customFormat="1" x14ac:dyDescent="0.25">
      <c r="A96" s="41"/>
      <c r="B96" s="41"/>
      <c r="C96" s="41"/>
      <c r="D96" s="41"/>
      <c r="E96" s="41"/>
      <c r="F96" s="41"/>
      <c r="G96" s="41"/>
      <c r="H96" s="41"/>
      <c r="I96" s="14"/>
      <c r="J96" s="14"/>
      <c r="K96" s="14"/>
      <c r="L96" s="26"/>
      <c r="M96" s="16"/>
    </row>
    <row r="97" spans="1:13" customFormat="1" hidden="1" x14ac:dyDescent="0.25">
      <c r="A97" s="90" t="s">
        <v>102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16"/>
    </row>
    <row r="98" spans="1:13" customFormat="1" ht="45" hidden="1" x14ac:dyDescent="0.25">
      <c r="A98" s="88" t="s">
        <v>86</v>
      </c>
      <c r="B98" s="88"/>
      <c r="C98" s="88"/>
      <c r="D98" s="88"/>
      <c r="E98" s="88"/>
      <c r="F98" s="27" t="s">
        <v>8</v>
      </c>
      <c r="G98" s="27" t="s">
        <v>68</v>
      </c>
      <c r="H98" s="27" t="s">
        <v>69</v>
      </c>
      <c r="I98" s="27" t="s">
        <v>79</v>
      </c>
      <c r="J98" s="27" t="s">
        <v>73</v>
      </c>
      <c r="K98" s="28" t="s">
        <v>74</v>
      </c>
      <c r="L98" s="33"/>
      <c r="M98" s="16"/>
    </row>
    <row r="99" spans="1:13" customFormat="1" hidden="1" x14ac:dyDescent="0.25">
      <c r="A99" s="89" t="s">
        <v>104</v>
      </c>
      <c r="B99" s="89"/>
      <c r="C99" s="89"/>
      <c r="D99" s="89"/>
      <c r="E99" s="89"/>
      <c r="F99" s="15"/>
      <c r="G99" s="15"/>
      <c r="H99" s="12"/>
      <c r="I99" s="12">
        <v>0</v>
      </c>
      <c r="J99" s="15">
        <f>J93</f>
        <v>1516</v>
      </c>
      <c r="K99" s="36">
        <f>I99/J99</f>
        <v>0</v>
      </c>
      <c r="L99" s="35"/>
      <c r="M99" s="16"/>
    </row>
    <row r="100" spans="1:13" customFormat="1" hidden="1" x14ac:dyDescent="0.25">
      <c r="A100" s="89" t="s">
        <v>93</v>
      </c>
      <c r="B100" s="89"/>
      <c r="C100" s="89"/>
      <c r="D100" s="89"/>
      <c r="E100" s="89"/>
      <c r="F100" s="15" t="s">
        <v>28</v>
      </c>
      <c r="G100" s="15"/>
      <c r="H100" s="12"/>
      <c r="I100" s="12">
        <f>G100*H100</f>
        <v>0</v>
      </c>
      <c r="J100" s="15">
        <f>J99</f>
        <v>1516</v>
      </c>
      <c r="K100" s="36">
        <f>I100/J100</f>
        <v>0</v>
      </c>
      <c r="L100" s="35"/>
      <c r="M100" s="16"/>
    </row>
    <row r="101" spans="1:13" customFormat="1" hidden="1" x14ac:dyDescent="0.25">
      <c r="A101" s="86" t="s">
        <v>103</v>
      </c>
      <c r="B101" s="87"/>
      <c r="C101" s="87"/>
      <c r="D101" s="87"/>
      <c r="E101" s="87"/>
      <c r="F101" s="87"/>
      <c r="G101" s="87"/>
      <c r="H101" s="87"/>
      <c r="I101" s="13">
        <f>SUM(I99:I100)</f>
        <v>0</v>
      </c>
      <c r="J101" s="13">
        <v>6000</v>
      </c>
      <c r="K101" s="13">
        <f t="shared" ref="K101" si="21">SUM(K99:K100)</f>
        <v>0</v>
      </c>
      <c r="L101" s="35"/>
      <c r="M101" s="22" t="e">
        <f>I101+#REF!+#REF!+#REF!+#REF!</f>
        <v>#REF!</v>
      </c>
    </row>
    <row r="102" spans="1:13" s="2" customFormat="1" hidden="1" x14ac:dyDescent="0.25">
      <c r="A102" s="16"/>
      <c r="B102" s="16"/>
      <c r="C102" s="16"/>
      <c r="D102" s="16"/>
      <c r="E102" s="16"/>
      <c r="F102" s="47"/>
      <c r="G102" s="47"/>
      <c r="H102" s="47"/>
      <c r="I102" s="47"/>
      <c r="J102" s="47"/>
      <c r="K102" s="47"/>
      <c r="L102" s="47"/>
      <c r="M102" s="16"/>
    </row>
    <row r="103" spans="1:13" customFormat="1" x14ac:dyDescent="0.25">
      <c r="A103" s="91" t="s">
        <v>105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2"/>
      <c r="M103" s="16"/>
    </row>
    <row r="104" spans="1:13" customFormat="1" ht="45" x14ac:dyDescent="0.25">
      <c r="A104" s="88" t="s">
        <v>86</v>
      </c>
      <c r="B104" s="88"/>
      <c r="C104" s="88"/>
      <c r="D104" s="88"/>
      <c r="E104" s="88"/>
      <c r="F104" s="27" t="s">
        <v>8</v>
      </c>
      <c r="G104" s="27" t="s">
        <v>68</v>
      </c>
      <c r="H104" s="27" t="s">
        <v>69</v>
      </c>
      <c r="I104" s="27" t="s">
        <v>79</v>
      </c>
      <c r="J104" s="27" t="s">
        <v>73</v>
      </c>
      <c r="K104" s="32" t="s">
        <v>74</v>
      </c>
      <c r="L104" s="33"/>
      <c r="M104" s="16"/>
    </row>
    <row r="105" spans="1:13" customFormat="1" ht="15.75" thickBot="1" x14ac:dyDescent="0.3">
      <c r="A105" s="89" t="s">
        <v>106</v>
      </c>
      <c r="B105" s="89"/>
      <c r="C105" s="89"/>
      <c r="D105" s="89"/>
      <c r="E105" s="89"/>
      <c r="F105" s="15"/>
      <c r="G105" s="15"/>
      <c r="H105" s="12"/>
      <c r="I105" s="12">
        <f>32160*53.84%+4.97+0.25-0.01</f>
        <v>17320.154000000002</v>
      </c>
      <c r="J105" s="15">
        <f>J99</f>
        <v>1516</v>
      </c>
      <c r="K105" s="36">
        <f>I105/J105</f>
        <v>11.4249036939314</v>
      </c>
      <c r="L105" s="35"/>
      <c r="M105" s="16"/>
    </row>
    <row r="106" spans="1:13" customFormat="1" hidden="1" x14ac:dyDescent="0.25">
      <c r="A106" s="89" t="s">
        <v>93</v>
      </c>
      <c r="B106" s="89"/>
      <c r="C106" s="89"/>
      <c r="D106" s="89"/>
      <c r="E106" s="89"/>
      <c r="F106" s="15" t="s">
        <v>28</v>
      </c>
      <c r="G106" s="15"/>
      <c r="H106" s="12"/>
      <c r="I106" s="76">
        <f>G106*H106</f>
        <v>0</v>
      </c>
      <c r="J106" s="15">
        <f>J105</f>
        <v>1516</v>
      </c>
      <c r="K106" s="73">
        <f>I106/J106</f>
        <v>0</v>
      </c>
      <c r="L106" s="35"/>
      <c r="M106" s="16"/>
    </row>
    <row r="107" spans="1:13" customFormat="1" ht="15.75" thickBot="1" x14ac:dyDescent="0.3">
      <c r="A107" s="86" t="s">
        <v>109</v>
      </c>
      <c r="B107" s="87"/>
      <c r="C107" s="87"/>
      <c r="D107" s="87"/>
      <c r="E107" s="87"/>
      <c r="F107" s="87"/>
      <c r="G107" s="87"/>
      <c r="H107" s="87"/>
      <c r="I107" s="74">
        <f>SUM(I105:I106)</f>
        <v>17320.154000000002</v>
      </c>
      <c r="J107" s="77">
        <f>J105</f>
        <v>1516</v>
      </c>
      <c r="K107" s="74">
        <f t="shared" ref="K107" si="22">SUM(K105:K106)</f>
        <v>11.4249036939314</v>
      </c>
      <c r="L107" s="26"/>
      <c r="M107" s="22" t="e">
        <f>I107+#REF!+'Услуга №3'!#REF!</f>
        <v>#REF!</v>
      </c>
    </row>
    <row r="108" spans="1:13" customFormat="1" x14ac:dyDescent="0.25">
      <c r="A108" s="48"/>
      <c r="B108" s="48"/>
      <c r="C108" s="48"/>
      <c r="D108" s="48"/>
      <c r="E108" s="48"/>
      <c r="F108" s="48"/>
      <c r="G108" s="48"/>
      <c r="H108" s="48"/>
      <c r="I108" s="25"/>
      <c r="J108" s="25"/>
      <c r="K108" s="25"/>
      <c r="L108" s="26"/>
      <c r="M108" s="16"/>
    </row>
    <row r="109" spans="1:13" customFormat="1" x14ac:dyDescent="0.25">
      <c r="A109" s="91" t="s">
        <v>107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2"/>
      <c r="M109" s="16"/>
    </row>
    <row r="110" spans="1:13" customFormat="1" ht="45" x14ac:dyDescent="0.25">
      <c r="A110" s="88" t="s">
        <v>86</v>
      </c>
      <c r="B110" s="88"/>
      <c r="C110" s="88"/>
      <c r="D110" s="88"/>
      <c r="E110" s="88"/>
      <c r="F110" s="27" t="s">
        <v>8</v>
      </c>
      <c r="G110" s="27" t="s">
        <v>68</v>
      </c>
      <c r="H110" s="27" t="s">
        <v>69</v>
      </c>
      <c r="I110" s="27" t="s">
        <v>79</v>
      </c>
      <c r="J110" s="27" t="s">
        <v>73</v>
      </c>
      <c r="K110" s="32" t="s">
        <v>74</v>
      </c>
      <c r="L110" s="33"/>
      <c r="M110" s="16"/>
    </row>
    <row r="111" spans="1:13" customFormat="1" ht="15.75" thickBot="1" x14ac:dyDescent="0.3">
      <c r="A111" s="89" t="s">
        <v>108</v>
      </c>
      <c r="B111" s="89"/>
      <c r="C111" s="89"/>
      <c r="D111" s="89"/>
      <c r="E111" s="89"/>
      <c r="F111" s="15"/>
      <c r="G111" s="15"/>
      <c r="H111" s="12"/>
      <c r="I111" s="12">
        <f>17840*53.84%</f>
        <v>9605.0560000000005</v>
      </c>
      <c r="J111" s="15">
        <f>J105</f>
        <v>1516</v>
      </c>
      <c r="K111" s="36">
        <f>I111/J111</f>
        <v>6.3357889182058047</v>
      </c>
      <c r="L111" s="35"/>
      <c r="M111" s="16"/>
    </row>
    <row r="112" spans="1:13" customFormat="1" hidden="1" x14ac:dyDescent="0.25">
      <c r="A112" s="89" t="s">
        <v>93</v>
      </c>
      <c r="B112" s="89"/>
      <c r="C112" s="89"/>
      <c r="D112" s="89"/>
      <c r="E112" s="89"/>
      <c r="F112" s="15" t="s">
        <v>28</v>
      </c>
      <c r="G112" s="15"/>
      <c r="H112" s="12"/>
      <c r="I112" s="76">
        <f>G112*H112</f>
        <v>0</v>
      </c>
      <c r="J112" s="15">
        <f>J111</f>
        <v>1516</v>
      </c>
      <c r="K112" s="73">
        <f>I112/J112</f>
        <v>0</v>
      </c>
      <c r="L112" s="35"/>
      <c r="M112" s="16"/>
    </row>
    <row r="113" spans="1:14" customFormat="1" ht="15.75" thickBot="1" x14ac:dyDescent="0.3">
      <c r="A113" s="86" t="s">
        <v>110</v>
      </c>
      <c r="B113" s="87"/>
      <c r="C113" s="87"/>
      <c r="D113" s="87"/>
      <c r="E113" s="87"/>
      <c r="F113" s="87"/>
      <c r="G113" s="87"/>
      <c r="H113" s="87"/>
      <c r="I113" s="74">
        <f>SUM(I111:I112)</f>
        <v>9605.0560000000005</v>
      </c>
      <c r="J113" s="77">
        <f>J111</f>
        <v>1516</v>
      </c>
      <c r="K113" s="74">
        <f t="shared" ref="K113" si="23">SUM(K111:K112)</f>
        <v>6.3357889182058047</v>
      </c>
      <c r="L113" s="26"/>
      <c r="M113" s="22" t="e">
        <f>I113+#REF!+'Услуга №3'!#REF!</f>
        <v>#REF!</v>
      </c>
    </row>
    <row r="114" spans="1:14" customFormat="1" x14ac:dyDescent="0.25">
      <c r="A114" s="48"/>
      <c r="B114" s="48"/>
      <c r="C114" s="48"/>
      <c r="D114" s="48"/>
      <c r="E114" s="48"/>
      <c r="F114" s="48"/>
      <c r="G114" s="48"/>
      <c r="H114" s="48"/>
      <c r="I114" s="25"/>
      <c r="J114" s="25"/>
      <c r="K114" s="25"/>
      <c r="L114" s="26"/>
      <c r="M114" s="16"/>
    </row>
    <row r="115" spans="1:14" s="2" customFormat="1" ht="12.75" customHeight="1" x14ac:dyDescent="0.25">
      <c r="A115" s="91" t="s">
        <v>29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16"/>
    </row>
    <row r="116" spans="1:14" s="2" customFormat="1" ht="15" customHeight="1" x14ac:dyDescent="0.25">
      <c r="A116" s="116" t="s">
        <v>30</v>
      </c>
      <c r="B116" s="116"/>
      <c r="C116" s="116"/>
      <c r="D116" s="99" t="s">
        <v>31</v>
      </c>
      <c r="E116" s="100"/>
      <c r="F116" s="100"/>
      <c r="G116" s="100"/>
      <c r="H116" s="100"/>
      <c r="I116" s="100"/>
      <c r="J116" s="101"/>
      <c r="K116" s="116" t="s">
        <v>41</v>
      </c>
      <c r="L116" s="116"/>
      <c r="M116" s="16"/>
    </row>
    <row r="117" spans="1:14" s="2" customFormat="1" ht="30.75" thickBot="1" x14ac:dyDescent="0.3">
      <c r="A117" s="15" t="s">
        <v>32</v>
      </c>
      <c r="B117" s="29" t="s">
        <v>33</v>
      </c>
      <c r="C117" s="15" t="s">
        <v>34</v>
      </c>
      <c r="D117" s="15" t="s">
        <v>35</v>
      </c>
      <c r="E117" s="15" t="s">
        <v>36</v>
      </c>
      <c r="F117" s="15" t="s">
        <v>37</v>
      </c>
      <c r="G117" s="15" t="s">
        <v>38</v>
      </c>
      <c r="H117" s="15" t="s">
        <v>122</v>
      </c>
      <c r="I117" s="15" t="s">
        <v>39</v>
      </c>
      <c r="J117" s="15" t="s">
        <v>40</v>
      </c>
      <c r="K117" s="117"/>
      <c r="L117" s="117"/>
      <c r="M117" s="16"/>
    </row>
    <row r="118" spans="1:14" s="2" customFormat="1" ht="15.75" thickBot="1" x14ac:dyDescent="0.3">
      <c r="A118" s="15">
        <f>K49</f>
        <v>2431.4342597889181</v>
      </c>
      <c r="B118" s="15"/>
      <c r="C118" s="15"/>
      <c r="D118" s="15">
        <f>K58</f>
        <v>677.82729226912932</v>
      </c>
      <c r="E118" s="15">
        <f>K69</f>
        <v>59.581986279683385</v>
      </c>
      <c r="F118" s="15"/>
      <c r="G118" s="15">
        <f>K77</f>
        <v>10.050606860158313</v>
      </c>
      <c r="H118" s="15">
        <f>K95</f>
        <v>23.83023746701847</v>
      </c>
      <c r="I118" s="15">
        <f>K89</f>
        <v>1313.3650858575199</v>
      </c>
      <c r="J118" s="61">
        <f>K101+K107+K113</f>
        <v>17.760692612137206</v>
      </c>
      <c r="K118" s="111">
        <f>SUM(A118:J118)</f>
        <v>4533.8501611345646</v>
      </c>
      <c r="L118" s="112"/>
      <c r="M118" s="16"/>
    </row>
    <row r="119" spans="1:14" s="2" customFormat="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</row>
    <row r="120" spans="1:14" customFormat="1" ht="16.5" thickBot="1" x14ac:dyDescent="0.3">
      <c r="A120" s="49" t="s">
        <v>64</v>
      </c>
      <c r="B120" s="50"/>
      <c r="C120" s="50"/>
      <c r="D120" s="50"/>
      <c r="E120" s="50"/>
      <c r="F120" s="113" t="s">
        <v>112</v>
      </c>
      <c r="G120" s="114"/>
      <c r="H120" s="114"/>
      <c r="I120" s="16"/>
      <c r="J120" s="16"/>
      <c r="K120" s="16"/>
      <c r="L120" s="16"/>
      <c r="M120" s="16"/>
      <c r="N120" s="2"/>
    </row>
    <row r="121" spans="1:14" customFormat="1" ht="15.75" thickBot="1" x14ac:dyDescent="0.3">
      <c r="A121" s="16"/>
      <c r="B121" s="16"/>
      <c r="C121" s="16"/>
      <c r="D121" s="16"/>
      <c r="E121" s="16"/>
      <c r="F121" s="16"/>
      <c r="G121" s="16"/>
      <c r="H121" s="16"/>
      <c r="I121" s="78">
        <f>I49+I58+I69+I77+I89+I95+I101+I107+I113+0.01</f>
        <v>6873316.8542799987</v>
      </c>
      <c r="J121" s="16"/>
      <c r="K121" s="78">
        <f>K118*1516+0.01</f>
        <v>6873316.8542799996</v>
      </c>
      <c r="L121" s="16"/>
      <c r="M121" s="16"/>
      <c r="N121" s="2"/>
    </row>
    <row r="122" spans="1:14" customForma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2"/>
    </row>
    <row r="123" spans="1:14" customFormat="1" x14ac:dyDescent="0.25">
      <c r="A123" s="5" t="s">
        <v>111</v>
      </c>
      <c r="C123" s="5"/>
      <c r="D123" s="2"/>
      <c r="E123" s="2"/>
      <c r="F123" s="2"/>
      <c r="G123" s="2"/>
      <c r="H123" s="2"/>
      <c r="I123" s="2"/>
      <c r="J123" s="2"/>
      <c r="K123" s="2"/>
      <c r="L123" s="16"/>
      <c r="M123" s="2"/>
      <c r="N123" s="2"/>
    </row>
    <row r="124" spans="1:14" customFormat="1" x14ac:dyDescent="0.25">
      <c r="A124" s="5" t="s">
        <v>59</v>
      </c>
      <c r="C124" s="5"/>
      <c r="I124" s="17"/>
    </row>
    <row r="125" spans="1:14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</row>
    <row r="126" spans="1:14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</row>
    <row r="127" spans="1:14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</row>
    <row r="128" spans="1:14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</row>
    <row r="129" spans="1:13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</sheetData>
  <mergeCells count="111">
    <mergeCell ref="A18:E18"/>
    <mergeCell ref="G18:K18"/>
    <mergeCell ref="A19:E19"/>
    <mergeCell ref="G19:K19"/>
    <mergeCell ref="A2:D2"/>
    <mergeCell ref="A4:F4"/>
    <mergeCell ref="A3:F3"/>
    <mergeCell ref="A43:E43"/>
    <mergeCell ref="A20:E20"/>
    <mergeCell ref="G20:K20"/>
    <mergeCell ref="A21:E21"/>
    <mergeCell ref="G21:K21"/>
    <mergeCell ref="A22:E22"/>
    <mergeCell ref="G22:K22"/>
    <mergeCell ref="A34:E34"/>
    <mergeCell ref="A25:E25"/>
    <mergeCell ref="A23:E23"/>
    <mergeCell ref="G23:K23"/>
    <mergeCell ref="A24:E24"/>
    <mergeCell ref="G24:K24"/>
    <mergeCell ref="A29:E29"/>
    <mergeCell ref="G29:K29"/>
    <mergeCell ref="A30:E30"/>
    <mergeCell ref="G30:K30"/>
    <mergeCell ref="A31:E31"/>
    <mergeCell ref="K118:L118"/>
    <mergeCell ref="F120:H120"/>
    <mergeCell ref="A7:M7"/>
    <mergeCell ref="A8:M8"/>
    <mergeCell ref="A9:M9"/>
    <mergeCell ref="A115:L115"/>
    <mergeCell ref="A116:C116"/>
    <mergeCell ref="D116:J116"/>
    <mergeCell ref="K116:L117"/>
    <mergeCell ref="A28:E28"/>
    <mergeCell ref="G28:K28"/>
    <mergeCell ref="A26:E26"/>
    <mergeCell ref="G26:K26"/>
    <mergeCell ref="A27:E27"/>
    <mergeCell ref="G27:K27"/>
    <mergeCell ref="G25:K25"/>
    <mergeCell ref="G31:K31"/>
    <mergeCell ref="A17:E17"/>
    <mergeCell ref="A84:E84"/>
    <mergeCell ref="A85:E85"/>
    <mergeCell ref="A86:E86"/>
    <mergeCell ref="A64:E64"/>
    <mergeCell ref="A65:E65"/>
    <mergeCell ref="G17:K17"/>
    <mergeCell ref="A58:H58"/>
    <mergeCell ref="A60:L60"/>
    <mergeCell ref="A66:E66"/>
    <mergeCell ref="A61:E61"/>
    <mergeCell ref="A35:E35"/>
    <mergeCell ref="A36:E36"/>
    <mergeCell ref="A37:E37"/>
    <mergeCell ref="A38:E38"/>
    <mergeCell ref="A39:E39"/>
    <mergeCell ref="A40:E40"/>
    <mergeCell ref="A41:E41"/>
    <mergeCell ref="A47:E47"/>
    <mergeCell ref="A48:E48"/>
    <mergeCell ref="A53:E53"/>
    <mergeCell ref="A54:E54"/>
    <mergeCell ref="A57:E57"/>
    <mergeCell ref="A55:E55"/>
    <mergeCell ref="A56:E56"/>
    <mergeCell ref="A46:E46"/>
    <mergeCell ref="A44:E44"/>
    <mergeCell ref="A45:E45"/>
    <mergeCell ref="A51:L51"/>
    <mergeCell ref="A52:E52"/>
    <mergeCell ref="A42:E42"/>
    <mergeCell ref="A80:L80"/>
    <mergeCell ref="A92:E92"/>
    <mergeCell ref="A95:H95"/>
    <mergeCell ref="A62:E62"/>
    <mergeCell ref="A63:E63"/>
    <mergeCell ref="A71:L71"/>
    <mergeCell ref="A73:E73"/>
    <mergeCell ref="A76:E76"/>
    <mergeCell ref="A77:H77"/>
    <mergeCell ref="A68:E68"/>
    <mergeCell ref="A67:E67"/>
    <mergeCell ref="A94:E94"/>
    <mergeCell ref="A81:E81"/>
    <mergeCell ref="A82:E82"/>
    <mergeCell ref="A83:E83"/>
    <mergeCell ref="A87:E87"/>
    <mergeCell ref="A88:E88"/>
    <mergeCell ref="A72:E72"/>
    <mergeCell ref="A91:L91"/>
    <mergeCell ref="A93:E93"/>
    <mergeCell ref="A74:E74"/>
    <mergeCell ref="A75:E75"/>
    <mergeCell ref="A69:H69"/>
    <mergeCell ref="A110:E110"/>
    <mergeCell ref="A111:E111"/>
    <mergeCell ref="A112:E112"/>
    <mergeCell ref="A113:H113"/>
    <mergeCell ref="A97:L97"/>
    <mergeCell ref="A98:E98"/>
    <mergeCell ref="A99:E99"/>
    <mergeCell ref="A100:E100"/>
    <mergeCell ref="A101:H101"/>
    <mergeCell ref="A103:L103"/>
    <mergeCell ref="A104:E104"/>
    <mergeCell ref="A105:E105"/>
    <mergeCell ref="A106:E106"/>
    <mergeCell ref="A107:H107"/>
    <mergeCell ref="A109:L109"/>
  </mergeCells>
  <pageMargins left="0.61" right="0.43" top="0.42" bottom="0.4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tabSelected="1" topLeftCell="A3" zoomScale="90" zoomScaleNormal="90" workbookViewId="0">
      <selection activeCell="L133" sqref="L133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3.8554687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123" t="s">
        <v>61</v>
      </c>
      <c r="B3" s="123"/>
      <c r="C3" s="123"/>
      <c r="D3" s="123"/>
      <c r="E3" s="7"/>
      <c r="F3" s="7"/>
    </row>
    <row r="4" spans="1:14" x14ac:dyDescent="0.25">
      <c r="A4" s="123" t="s">
        <v>62</v>
      </c>
      <c r="B4" s="123"/>
      <c r="C4" s="125"/>
      <c r="D4" s="125"/>
      <c r="E4" s="125"/>
      <c r="F4" s="125"/>
    </row>
    <row r="5" spans="1:14" x14ac:dyDescent="0.25">
      <c r="A5" s="124" t="s">
        <v>63</v>
      </c>
      <c r="B5" s="124"/>
      <c r="C5" s="124"/>
      <c r="D5" s="125"/>
      <c r="E5" s="125"/>
      <c r="F5" s="125"/>
    </row>
    <row r="6" spans="1:14" x14ac:dyDescent="0.25">
      <c r="A6" s="59"/>
      <c r="B6" s="59"/>
      <c r="C6" s="59"/>
      <c r="D6" s="9"/>
      <c r="E6" s="7"/>
      <c r="F6" s="7"/>
    </row>
    <row r="7" spans="1:14" x14ac:dyDescent="0.25">
      <c r="A7" s="7"/>
      <c r="B7" s="7"/>
      <c r="C7" s="7"/>
      <c r="D7" s="7"/>
      <c r="E7" s="7"/>
      <c r="F7" s="7"/>
    </row>
    <row r="8" spans="1:14" ht="15.75" x14ac:dyDescent="0.25">
      <c r="A8" s="126" t="s">
        <v>66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</row>
    <row r="9" spans="1:14" ht="15.75" x14ac:dyDescent="0.25">
      <c r="A9" s="126" t="s">
        <v>65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</row>
    <row r="10" spans="1:14" ht="15.75" x14ac:dyDescent="0.25">
      <c r="A10" s="126" t="s">
        <v>124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</row>
    <row r="11" spans="1:14" ht="11.25" customHeight="1" x14ac:dyDescent="0.25"/>
    <row r="12" spans="1:14" x14ac:dyDescent="0.25">
      <c r="A12" s="55" t="s">
        <v>114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2"/>
      <c r="M12" s="2"/>
      <c r="N12" s="2"/>
    </row>
    <row r="13" spans="1:14" x14ac:dyDescent="0.25">
      <c r="A13" s="55" t="s">
        <v>119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2"/>
      <c r="M13" s="2"/>
      <c r="N13" s="2"/>
    </row>
    <row r="14" spans="1:14" hidden="1" x14ac:dyDescent="0.25">
      <c r="A14" s="55" t="s">
        <v>113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2"/>
      <c r="M14" s="2"/>
      <c r="N14" s="2"/>
    </row>
    <row r="15" spans="1:14" hidden="1" x14ac:dyDescent="0.25">
      <c r="A15" s="55" t="s">
        <v>120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2"/>
      <c r="M15" s="2"/>
      <c r="N15" s="2"/>
    </row>
    <row r="16" spans="1:14" x14ac:dyDescent="0.25">
      <c r="A16" s="55" t="s">
        <v>121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2"/>
      <c r="M16" s="2"/>
      <c r="N16" s="2"/>
    </row>
    <row r="17" spans="1:14" x14ac:dyDescent="0.25">
      <c r="A17" s="55" t="s">
        <v>118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2"/>
      <c r="M17" s="2"/>
      <c r="N17" s="2"/>
    </row>
    <row r="18" spans="1:14" ht="33" customHeight="1" x14ac:dyDescent="0.25">
      <c r="A18" s="106" t="s">
        <v>0</v>
      </c>
      <c r="B18" s="106"/>
      <c r="C18" s="106"/>
      <c r="D18" s="106"/>
      <c r="E18" s="106"/>
      <c r="F18" s="3" t="s">
        <v>1</v>
      </c>
      <c r="G18" s="106" t="s">
        <v>2</v>
      </c>
      <c r="H18" s="106"/>
      <c r="I18" s="106"/>
      <c r="J18" s="106"/>
      <c r="K18" s="106"/>
      <c r="L18" s="3" t="s">
        <v>1</v>
      </c>
      <c r="M18" s="2"/>
      <c r="N18" s="2"/>
    </row>
    <row r="19" spans="1:14" x14ac:dyDescent="0.25">
      <c r="A19" s="121" t="s">
        <v>53</v>
      </c>
      <c r="B19" s="121"/>
      <c r="C19" s="121"/>
      <c r="D19" s="121"/>
      <c r="E19" s="121"/>
      <c r="F19" s="56">
        <f>1*46.16%</f>
        <v>0.46159999999999995</v>
      </c>
      <c r="G19" s="121" t="s">
        <v>3</v>
      </c>
      <c r="H19" s="121"/>
      <c r="I19" s="121"/>
      <c r="J19" s="121"/>
      <c r="K19" s="121"/>
      <c r="L19" s="4">
        <f>1*46.16%</f>
        <v>0.46159999999999995</v>
      </c>
      <c r="M19" s="2"/>
      <c r="N19" s="2"/>
    </row>
    <row r="20" spans="1:14" ht="15" customHeight="1" x14ac:dyDescent="0.25">
      <c r="A20" s="118" t="s">
        <v>88</v>
      </c>
      <c r="B20" s="119"/>
      <c r="C20" s="119"/>
      <c r="D20" s="119"/>
      <c r="E20" s="120"/>
      <c r="F20" s="56">
        <f>1*46.16%</f>
        <v>0.46159999999999995</v>
      </c>
      <c r="G20" s="121" t="s">
        <v>89</v>
      </c>
      <c r="H20" s="121"/>
      <c r="I20" s="121"/>
      <c r="J20" s="121"/>
      <c r="K20" s="121"/>
      <c r="L20" s="4">
        <f>1*46.16%</f>
        <v>0.46159999999999995</v>
      </c>
      <c r="M20" s="2"/>
      <c r="N20" s="2"/>
    </row>
    <row r="21" spans="1:14" x14ac:dyDescent="0.25">
      <c r="A21" s="121" t="s">
        <v>90</v>
      </c>
      <c r="B21" s="121"/>
      <c r="C21" s="121"/>
      <c r="D21" s="121"/>
      <c r="E21" s="121"/>
      <c r="F21" s="56">
        <f>1*46.16%</f>
        <v>0.46159999999999995</v>
      </c>
      <c r="G21" s="118" t="s">
        <v>55</v>
      </c>
      <c r="H21" s="119"/>
      <c r="I21" s="119"/>
      <c r="J21" s="119"/>
      <c r="K21" s="120"/>
      <c r="L21" s="4">
        <f>1*46.16%</f>
        <v>0.46159999999999995</v>
      </c>
      <c r="M21" s="2"/>
      <c r="N21" s="2"/>
    </row>
    <row r="22" spans="1:14" ht="15" customHeight="1" x14ac:dyDescent="0.25">
      <c r="A22" s="121" t="s">
        <v>67</v>
      </c>
      <c r="B22" s="121"/>
      <c r="C22" s="121"/>
      <c r="D22" s="121"/>
      <c r="E22" s="121"/>
      <c r="F22" s="56">
        <f>1*46.16%</f>
        <v>0.46159999999999995</v>
      </c>
      <c r="G22" s="121"/>
      <c r="H22" s="121"/>
      <c r="I22" s="121"/>
      <c r="J22" s="121"/>
      <c r="K22" s="121"/>
      <c r="L22" s="4"/>
      <c r="M22" s="2"/>
      <c r="N22" s="2"/>
    </row>
    <row r="23" spans="1:14" ht="14.25" customHeight="1" x14ac:dyDescent="0.25">
      <c r="A23" s="127" t="s">
        <v>43</v>
      </c>
      <c r="B23" s="128"/>
      <c r="C23" s="128"/>
      <c r="D23" s="128"/>
      <c r="E23" s="129"/>
      <c r="F23" s="56">
        <f>1*46.16%</f>
        <v>0.46159999999999995</v>
      </c>
      <c r="G23" s="121"/>
      <c r="H23" s="121"/>
      <c r="I23" s="121"/>
      <c r="J23" s="121"/>
      <c r="K23" s="121"/>
      <c r="L23" s="4"/>
      <c r="M23" s="2"/>
      <c r="N23" s="2"/>
    </row>
    <row r="24" spans="1:14" x14ac:dyDescent="0.25">
      <c r="A24" s="121" t="s">
        <v>45</v>
      </c>
      <c r="B24" s="121"/>
      <c r="C24" s="121"/>
      <c r="D24" s="121"/>
      <c r="E24" s="121"/>
      <c r="F24" s="56">
        <f>1.5*46.16%</f>
        <v>0.6923999999999999</v>
      </c>
      <c r="G24" s="121"/>
      <c r="H24" s="121"/>
      <c r="I24" s="121"/>
      <c r="J24" s="121"/>
      <c r="K24" s="121"/>
      <c r="L24" s="4"/>
      <c r="M24" s="2"/>
      <c r="N24" s="2"/>
    </row>
    <row r="25" spans="1:14" ht="15" customHeight="1" x14ac:dyDescent="0.25">
      <c r="A25" s="121" t="s">
        <v>44</v>
      </c>
      <c r="B25" s="121"/>
      <c r="C25" s="121"/>
      <c r="D25" s="121"/>
      <c r="E25" s="121"/>
      <c r="F25" s="56">
        <f>6.5*46.16%+0.55</f>
        <v>3.5503999999999998</v>
      </c>
      <c r="G25" s="121"/>
      <c r="H25" s="121"/>
      <c r="I25" s="121"/>
      <c r="J25" s="121"/>
      <c r="K25" s="121"/>
      <c r="L25" s="4"/>
      <c r="M25" s="2"/>
      <c r="N25" s="2"/>
    </row>
    <row r="26" spans="1:14" x14ac:dyDescent="0.25">
      <c r="A26" s="121" t="s">
        <v>50</v>
      </c>
      <c r="B26" s="121"/>
      <c r="C26" s="121"/>
      <c r="D26" s="121"/>
      <c r="E26" s="121"/>
      <c r="F26" s="56">
        <f>2*46.16%</f>
        <v>0.92319999999999991</v>
      </c>
      <c r="G26" s="121"/>
      <c r="H26" s="121"/>
      <c r="I26" s="121"/>
      <c r="J26" s="121"/>
      <c r="K26" s="121"/>
      <c r="L26" s="20"/>
      <c r="M26" s="2"/>
      <c r="N26" s="2"/>
    </row>
    <row r="27" spans="1:14" x14ac:dyDescent="0.25">
      <c r="A27" s="121" t="s">
        <v>76</v>
      </c>
      <c r="B27" s="121"/>
      <c r="C27" s="121"/>
      <c r="D27" s="121"/>
      <c r="E27" s="121"/>
      <c r="F27" s="56">
        <f>0.5*46.16%</f>
        <v>0.23079999999999998</v>
      </c>
      <c r="G27" s="118"/>
      <c r="H27" s="119"/>
      <c r="I27" s="119"/>
      <c r="J27" s="119"/>
      <c r="K27" s="120"/>
      <c r="L27" s="20"/>
      <c r="M27" s="2"/>
      <c r="N27" s="2"/>
    </row>
    <row r="28" spans="1:14" x14ac:dyDescent="0.25">
      <c r="A28" s="121" t="s">
        <v>75</v>
      </c>
      <c r="B28" s="121"/>
      <c r="C28" s="121"/>
      <c r="D28" s="121"/>
      <c r="E28" s="121"/>
      <c r="F28" s="56">
        <f>1*46.16%</f>
        <v>0.46159999999999995</v>
      </c>
      <c r="G28" s="108"/>
      <c r="H28" s="108"/>
      <c r="I28" s="108"/>
      <c r="J28" s="108"/>
      <c r="K28" s="108"/>
      <c r="L28" s="20"/>
      <c r="M28" s="2"/>
      <c r="N28" s="2"/>
    </row>
    <row r="29" spans="1:14" x14ac:dyDescent="0.25">
      <c r="A29" s="121" t="s">
        <v>48</v>
      </c>
      <c r="B29" s="121"/>
      <c r="C29" s="121"/>
      <c r="D29" s="121"/>
      <c r="E29" s="121"/>
      <c r="F29" s="56">
        <f>3*46.16%</f>
        <v>1.3847999999999998</v>
      </c>
      <c r="G29" s="108"/>
      <c r="H29" s="108"/>
      <c r="I29" s="108"/>
      <c r="J29" s="108"/>
      <c r="K29" s="108"/>
      <c r="L29" s="20"/>
      <c r="M29" s="2"/>
      <c r="N29" s="2"/>
    </row>
    <row r="30" spans="1:14" x14ac:dyDescent="0.25">
      <c r="A30" s="108" t="s">
        <v>52</v>
      </c>
      <c r="B30" s="108"/>
      <c r="C30" s="108"/>
      <c r="D30" s="108"/>
      <c r="E30" s="108"/>
      <c r="F30" s="56">
        <f>1*46.16%</f>
        <v>0.46159999999999995</v>
      </c>
      <c r="G30" s="108"/>
      <c r="H30" s="108"/>
      <c r="I30" s="108"/>
      <c r="J30" s="108"/>
      <c r="K30" s="108"/>
      <c r="L30" s="20"/>
      <c r="M30" s="2"/>
      <c r="N30" s="2"/>
    </row>
    <row r="31" spans="1:14" x14ac:dyDescent="0.25">
      <c r="A31" s="121" t="s">
        <v>47</v>
      </c>
      <c r="B31" s="121"/>
      <c r="C31" s="121"/>
      <c r="D31" s="121"/>
      <c r="E31" s="121"/>
      <c r="F31" s="56">
        <f>1*46.16%</f>
        <v>0.46159999999999995</v>
      </c>
      <c r="G31" s="108"/>
      <c r="H31" s="108"/>
      <c r="I31" s="108"/>
      <c r="J31" s="108"/>
      <c r="K31" s="108"/>
      <c r="L31" s="20"/>
      <c r="M31" s="2"/>
      <c r="N31" s="2"/>
    </row>
    <row r="32" spans="1:14" x14ac:dyDescent="0.25">
      <c r="A32" s="121" t="s">
        <v>51</v>
      </c>
      <c r="B32" s="121"/>
      <c r="C32" s="121"/>
      <c r="D32" s="121"/>
      <c r="E32" s="121"/>
      <c r="F32" s="56">
        <f>1*46.16%</f>
        <v>0.46159999999999995</v>
      </c>
      <c r="G32" s="108"/>
      <c r="H32" s="108"/>
      <c r="I32" s="108"/>
      <c r="J32" s="108"/>
      <c r="K32" s="108"/>
      <c r="L32" s="20"/>
      <c r="M32" s="2"/>
      <c r="N32" s="2"/>
    </row>
    <row r="33" spans="1:14" x14ac:dyDescent="0.25">
      <c r="A33" s="121" t="s">
        <v>46</v>
      </c>
      <c r="B33" s="121"/>
      <c r="C33" s="121"/>
      <c r="D33" s="121"/>
      <c r="E33" s="121"/>
      <c r="F33" s="56">
        <f>1*46.16%</f>
        <v>0.46159999999999995</v>
      </c>
      <c r="G33" s="108"/>
      <c r="H33" s="108"/>
      <c r="I33" s="108"/>
      <c r="J33" s="108"/>
      <c r="K33" s="108"/>
      <c r="L33" s="20"/>
      <c r="M33" s="2"/>
      <c r="N33" s="2"/>
    </row>
    <row r="34" spans="1:14" ht="14.25" customHeight="1" x14ac:dyDescent="0.25">
      <c r="A34" s="108" t="s">
        <v>49</v>
      </c>
      <c r="B34" s="108"/>
      <c r="C34" s="108"/>
      <c r="D34" s="108"/>
      <c r="E34" s="108"/>
      <c r="F34" s="56">
        <f>1*46.16%</f>
        <v>0.46159999999999995</v>
      </c>
      <c r="G34" s="108"/>
      <c r="H34" s="108"/>
      <c r="I34" s="108"/>
      <c r="J34" s="108"/>
      <c r="K34" s="108"/>
      <c r="L34" s="20"/>
      <c r="M34" s="2"/>
      <c r="N34" s="2"/>
    </row>
    <row r="35" spans="1:14" x14ac:dyDescent="0.25">
      <c r="A35" s="121" t="s">
        <v>54</v>
      </c>
      <c r="B35" s="121"/>
      <c r="C35" s="121"/>
      <c r="D35" s="121"/>
      <c r="E35" s="121"/>
      <c r="F35" s="56">
        <f>1*46.16%</f>
        <v>0.46159999999999995</v>
      </c>
      <c r="G35" s="108"/>
      <c r="H35" s="108"/>
      <c r="I35" s="108"/>
      <c r="J35" s="108"/>
      <c r="K35" s="108"/>
      <c r="L35" s="20"/>
      <c r="M35" s="2"/>
      <c r="N35" s="2"/>
    </row>
    <row r="36" spans="1:14" ht="15.75" thickBot="1" x14ac:dyDescent="0.3">
      <c r="A36" s="121" t="s">
        <v>77</v>
      </c>
      <c r="B36" s="121"/>
      <c r="C36" s="121"/>
      <c r="D36" s="121"/>
      <c r="E36" s="121"/>
      <c r="F36" s="79">
        <f>1*46.16%</f>
        <v>0.46159999999999995</v>
      </c>
      <c r="G36" s="118"/>
      <c r="H36" s="119"/>
      <c r="I36" s="119"/>
      <c r="J36" s="119"/>
      <c r="K36" s="120"/>
      <c r="L36" s="81"/>
      <c r="M36" s="2"/>
      <c r="N36" s="2"/>
    </row>
    <row r="37" spans="1:14" s="21" customFormat="1" ht="15.75" thickBot="1" x14ac:dyDescent="0.3">
      <c r="A37" s="109" t="s">
        <v>4</v>
      </c>
      <c r="B37" s="109"/>
      <c r="C37" s="109"/>
      <c r="D37" s="109"/>
      <c r="E37" s="110"/>
      <c r="F37" s="80">
        <f>SUM(F19:F36)</f>
        <v>12.782400000000004</v>
      </c>
      <c r="G37" s="122" t="s">
        <v>4</v>
      </c>
      <c r="H37" s="109"/>
      <c r="I37" s="109"/>
      <c r="J37" s="109"/>
      <c r="K37" s="110"/>
      <c r="L37" s="80">
        <f>SUM(L19:L36)</f>
        <v>1.3847999999999998</v>
      </c>
      <c r="M37" s="1"/>
      <c r="N37" s="1"/>
    </row>
    <row r="38" spans="1:14" ht="15.75" thickBo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5.75" thickBot="1" x14ac:dyDescent="0.3">
      <c r="A39" s="1" t="s">
        <v>56</v>
      </c>
      <c r="B39" s="2"/>
      <c r="C39" s="2"/>
      <c r="D39" s="2"/>
      <c r="E39" s="2"/>
      <c r="F39" s="70">
        <v>1300</v>
      </c>
      <c r="G39" s="2"/>
      <c r="H39" s="2"/>
      <c r="I39" s="2"/>
      <c r="J39" s="2"/>
      <c r="K39" s="2"/>
      <c r="L39" s="2"/>
      <c r="M39" s="2"/>
      <c r="N39" s="2"/>
    </row>
    <row r="40" spans="1:14" ht="75.75" thickBot="1" x14ac:dyDescent="0.3">
      <c r="A40" s="99" t="s">
        <v>5</v>
      </c>
      <c r="B40" s="100"/>
      <c r="C40" s="100"/>
      <c r="D40" s="100"/>
      <c r="E40" s="101"/>
      <c r="F40" s="69" t="s">
        <v>6</v>
      </c>
      <c r="G40" s="58" t="s">
        <v>1</v>
      </c>
      <c r="H40" s="58" t="s">
        <v>71</v>
      </c>
      <c r="I40" s="58" t="s">
        <v>72</v>
      </c>
      <c r="J40" s="58" t="s">
        <v>73</v>
      </c>
      <c r="K40" s="28" t="s">
        <v>74</v>
      </c>
      <c r="L40" s="43"/>
      <c r="M40" s="16"/>
      <c r="N40" s="2"/>
    </row>
    <row r="41" spans="1:14" hidden="1" x14ac:dyDescent="0.25">
      <c r="A41" s="89" t="s">
        <v>53</v>
      </c>
      <c r="B41" s="89"/>
      <c r="C41" s="89"/>
      <c r="D41" s="89"/>
      <c r="E41" s="89"/>
      <c r="F41" s="15">
        <f>'Услуга №1'!F35</f>
        <v>13850</v>
      </c>
      <c r="G41" s="15">
        <f>F19</f>
        <v>0.46159999999999995</v>
      </c>
      <c r="H41" s="15">
        <f>F41*G41*12</f>
        <v>76717.919999999984</v>
      </c>
      <c r="I41" s="15">
        <f>H41*1.302</f>
        <v>99886.731839999979</v>
      </c>
      <c r="J41" s="15">
        <f>F39</f>
        <v>1300</v>
      </c>
      <c r="K41" s="15">
        <f>I41/J41</f>
        <v>76.835947569230754</v>
      </c>
      <c r="L41" s="26"/>
      <c r="M41" s="16"/>
      <c r="N41" s="2"/>
    </row>
    <row r="42" spans="1:14" ht="15" hidden="1" customHeight="1" x14ac:dyDescent="0.25">
      <c r="A42" s="102" t="s">
        <v>88</v>
      </c>
      <c r="B42" s="103"/>
      <c r="C42" s="103"/>
      <c r="D42" s="103"/>
      <c r="E42" s="104"/>
      <c r="F42" s="15">
        <f>'Услуга №1'!F36</f>
        <v>11538</v>
      </c>
      <c r="G42" s="15">
        <f t="shared" ref="G42:G58" si="0">F20</f>
        <v>0.46159999999999995</v>
      </c>
      <c r="H42" s="15">
        <f t="shared" ref="H42:H57" si="1">F42*G42*12</f>
        <v>63911.289599999989</v>
      </c>
      <c r="I42" s="15">
        <f t="shared" ref="I42:I58" si="2">H42*1.302</f>
        <v>83212.499059199996</v>
      </c>
      <c r="J42" s="15">
        <f>J41</f>
        <v>1300</v>
      </c>
      <c r="K42" s="15">
        <f t="shared" ref="K42:K58" si="3">I42/J42</f>
        <v>64.009614660923077</v>
      </c>
      <c r="L42" s="26"/>
      <c r="M42" s="16"/>
      <c r="N42" s="2"/>
    </row>
    <row r="43" spans="1:14" hidden="1" x14ac:dyDescent="0.25">
      <c r="A43" s="89" t="s">
        <v>90</v>
      </c>
      <c r="B43" s="89"/>
      <c r="C43" s="89"/>
      <c r="D43" s="89"/>
      <c r="E43" s="89"/>
      <c r="F43" s="15">
        <f>'Услуга №1'!F84</f>
        <v>11538</v>
      </c>
      <c r="G43" s="15">
        <f t="shared" si="0"/>
        <v>0.46159999999999995</v>
      </c>
      <c r="H43" s="15">
        <f t="shared" si="1"/>
        <v>63911.289599999989</v>
      </c>
      <c r="I43" s="15">
        <f t="shared" si="2"/>
        <v>83212.499059199996</v>
      </c>
      <c r="J43" s="15">
        <f>J42</f>
        <v>1300</v>
      </c>
      <c r="K43" s="15">
        <f t="shared" si="3"/>
        <v>64.009614660923077</v>
      </c>
      <c r="L43" s="26"/>
      <c r="M43" s="16"/>
      <c r="N43" s="2"/>
    </row>
    <row r="44" spans="1:14" hidden="1" x14ac:dyDescent="0.25">
      <c r="A44" s="89" t="s">
        <v>67</v>
      </c>
      <c r="B44" s="89"/>
      <c r="C44" s="89"/>
      <c r="D44" s="89"/>
      <c r="E44" s="89"/>
      <c r="F44" s="15">
        <f>'Услуга №1'!F85</f>
        <v>11538</v>
      </c>
      <c r="G44" s="15">
        <f t="shared" si="0"/>
        <v>0.46159999999999995</v>
      </c>
      <c r="H44" s="15">
        <f t="shared" si="1"/>
        <v>63911.289599999989</v>
      </c>
      <c r="I44" s="15">
        <f t="shared" si="2"/>
        <v>83212.499059199996</v>
      </c>
      <c r="J44" s="15">
        <f t="shared" ref="J44:J59" si="4">J43</f>
        <v>1300</v>
      </c>
      <c r="K44" s="15">
        <f t="shared" si="3"/>
        <v>64.009614660923077</v>
      </c>
      <c r="L44" s="26"/>
      <c r="M44" s="16"/>
      <c r="N44" s="2"/>
    </row>
    <row r="45" spans="1:14" hidden="1" x14ac:dyDescent="0.25">
      <c r="A45" s="95" t="s">
        <v>43</v>
      </c>
      <c r="B45" s="96"/>
      <c r="C45" s="96"/>
      <c r="D45" s="96"/>
      <c r="E45" s="97"/>
      <c r="F45" s="15">
        <f>'Услуга №1'!F37</f>
        <v>8837</v>
      </c>
      <c r="G45" s="15">
        <f t="shared" si="0"/>
        <v>0.46159999999999995</v>
      </c>
      <c r="H45" s="15">
        <f t="shared" si="1"/>
        <v>48949.910399999993</v>
      </c>
      <c r="I45" s="15">
        <f t="shared" si="2"/>
        <v>63732.783340799993</v>
      </c>
      <c r="J45" s="15">
        <f t="shared" si="4"/>
        <v>1300</v>
      </c>
      <c r="K45" s="15">
        <f t="shared" si="3"/>
        <v>49.025217954461532</v>
      </c>
      <c r="L45" s="26"/>
      <c r="M45" s="16"/>
      <c r="N45" s="2"/>
    </row>
    <row r="46" spans="1:14" hidden="1" x14ac:dyDescent="0.25">
      <c r="A46" s="89" t="s">
        <v>45</v>
      </c>
      <c r="B46" s="89"/>
      <c r="C46" s="89"/>
      <c r="D46" s="89"/>
      <c r="E46" s="89"/>
      <c r="F46" s="15">
        <f>'Услуга №1'!F38</f>
        <v>8837</v>
      </c>
      <c r="G46" s="15">
        <f t="shared" si="0"/>
        <v>0.6923999999999999</v>
      </c>
      <c r="H46" s="15">
        <f t="shared" si="1"/>
        <v>73424.86559999999</v>
      </c>
      <c r="I46" s="15">
        <f t="shared" si="2"/>
        <v>95599.175011199986</v>
      </c>
      <c r="J46" s="15">
        <f t="shared" si="4"/>
        <v>1300</v>
      </c>
      <c r="K46" s="15">
        <f t="shared" si="3"/>
        <v>73.537826931692294</v>
      </c>
      <c r="L46" s="26"/>
      <c r="M46" s="16"/>
      <c r="N46" s="2"/>
    </row>
    <row r="47" spans="1:14" ht="15" hidden="1" customHeight="1" x14ac:dyDescent="0.25">
      <c r="A47" s="89" t="s">
        <v>44</v>
      </c>
      <c r="B47" s="89"/>
      <c r="C47" s="89"/>
      <c r="D47" s="89"/>
      <c r="E47" s="89"/>
      <c r="F47" s="15">
        <f>'Услуга №1'!F39</f>
        <v>6556</v>
      </c>
      <c r="G47" s="15">
        <f t="shared" si="0"/>
        <v>3.5503999999999998</v>
      </c>
      <c r="H47" s="15">
        <f t="shared" si="1"/>
        <v>279317.06880000001</v>
      </c>
      <c r="I47" s="15">
        <f t="shared" si="2"/>
        <v>363670.82357760001</v>
      </c>
      <c r="J47" s="15">
        <f t="shared" si="4"/>
        <v>1300</v>
      </c>
      <c r="K47" s="15">
        <f t="shared" si="3"/>
        <v>279.74678736738463</v>
      </c>
      <c r="L47" s="26"/>
      <c r="M47" s="16"/>
      <c r="N47" s="2"/>
    </row>
    <row r="48" spans="1:14" hidden="1" x14ac:dyDescent="0.25">
      <c r="A48" s="89" t="s">
        <v>50</v>
      </c>
      <c r="B48" s="89"/>
      <c r="C48" s="89"/>
      <c r="D48" s="89"/>
      <c r="E48" s="89"/>
      <c r="F48" s="15">
        <f>'Услуга №1'!F86</f>
        <v>6556</v>
      </c>
      <c r="G48" s="15">
        <f t="shared" si="0"/>
        <v>0.92319999999999991</v>
      </c>
      <c r="H48" s="15">
        <f t="shared" si="1"/>
        <v>72629.990399999995</v>
      </c>
      <c r="I48" s="15">
        <f t="shared" si="2"/>
        <v>94564.247500800004</v>
      </c>
      <c r="J48" s="15">
        <f t="shared" si="4"/>
        <v>1300</v>
      </c>
      <c r="K48" s="15">
        <f t="shared" si="3"/>
        <v>72.741728846769234</v>
      </c>
      <c r="L48" s="26"/>
      <c r="M48" s="16"/>
      <c r="N48" s="2"/>
    </row>
    <row r="49" spans="1:14" hidden="1" x14ac:dyDescent="0.25">
      <c r="A49" s="89" t="s">
        <v>76</v>
      </c>
      <c r="B49" s="89"/>
      <c r="C49" s="89"/>
      <c r="D49" s="89"/>
      <c r="E49" s="89"/>
      <c r="F49" s="15">
        <f>'Услуга №1'!F40</f>
        <v>2248</v>
      </c>
      <c r="G49" s="15">
        <f t="shared" si="0"/>
        <v>0.23079999999999998</v>
      </c>
      <c r="H49" s="15">
        <f t="shared" si="1"/>
        <v>6226.0607999999993</v>
      </c>
      <c r="I49" s="15">
        <f t="shared" si="2"/>
        <v>8106.3311615999992</v>
      </c>
      <c r="J49" s="15">
        <f t="shared" si="4"/>
        <v>1300</v>
      </c>
      <c r="K49" s="15">
        <f t="shared" si="3"/>
        <v>6.2356393550769225</v>
      </c>
      <c r="L49" s="26"/>
      <c r="M49" s="16"/>
      <c r="N49" s="2"/>
    </row>
    <row r="50" spans="1:14" hidden="1" x14ac:dyDescent="0.25">
      <c r="A50" s="89" t="s">
        <v>75</v>
      </c>
      <c r="B50" s="89"/>
      <c r="C50" s="89"/>
      <c r="D50" s="89"/>
      <c r="E50" s="89"/>
      <c r="F50" s="15">
        <f>'Услуга №1'!F41</f>
        <v>3993</v>
      </c>
      <c r="G50" s="15">
        <f t="shared" si="0"/>
        <v>0.46159999999999995</v>
      </c>
      <c r="H50" s="15">
        <f t="shared" si="1"/>
        <v>22118.025600000001</v>
      </c>
      <c r="I50" s="15">
        <f t="shared" si="2"/>
        <v>28797.669331200002</v>
      </c>
      <c r="J50" s="15">
        <f t="shared" si="4"/>
        <v>1300</v>
      </c>
      <c r="K50" s="15">
        <f t="shared" si="3"/>
        <v>22.152053331692308</v>
      </c>
      <c r="L50" s="26"/>
      <c r="M50" s="16"/>
      <c r="N50" s="2"/>
    </row>
    <row r="51" spans="1:14" hidden="1" x14ac:dyDescent="0.25">
      <c r="A51" s="89" t="s">
        <v>48</v>
      </c>
      <c r="B51" s="89"/>
      <c r="C51" s="89"/>
      <c r="D51" s="89"/>
      <c r="E51" s="89"/>
      <c r="F51" s="46">
        <f>'Услуга №1'!F87</f>
        <v>11538</v>
      </c>
      <c r="G51" s="15">
        <f t="shared" si="0"/>
        <v>1.3847999999999998</v>
      </c>
      <c r="H51" s="15">
        <f t="shared" si="1"/>
        <v>191733.86879999997</v>
      </c>
      <c r="I51" s="15">
        <f t="shared" si="2"/>
        <v>249637.49717759996</v>
      </c>
      <c r="J51" s="15">
        <f t="shared" si="4"/>
        <v>1300</v>
      </c>
      <c r="K51" s="15">
        <f t="shared" si="3"/>
        <v>192.02884398276919</v>
      </c>
      <c r="L51" s="26"/>
      <c r="M51" s="16"/>
      <c r="N51" s="2"/>
    </row>
    <row r="52" spans="1:14" hidden="1" x14ac:dyDescent="0.25">
      <c r="A52" s="98" t="s">
        <v>52</v>
      </c>
      <c r="B52" s="98"/>
      <c r="C52" s="98"/>
      <c r="D52" s="98"/>
      <c r="E52" s="98"/>
      <c r="F52" s="15">
        <f>'Услуга №1'!F42</f>
        <v>8837</v>
      </c>
      <c r="G52" s="15">
        <f t="shared" si="0"/>
        <v>0.46159999999999995</v>
      </c>
      <c r="H52" s="15">
        <f t="shared" si="1"/>
        <v>48949.910399999993</v>
      </c>
      <c r="I52" s="15">
        <f t="shared" si="2"/>
        <v>63732.783340799993</v>
      </c>
      <c r="J52" s="15">
        <f t="shared" si="4"/>
        <v>1300</v>
      </c>
      <c r="K52" s="15">
        <f t="shared" si="3"/>
        <v>49.025217954461532</v>
      </c>
      <c r="L52" s="26"/>
      <c r="M52" s="16"/>
      <c r="N52" s="2"/>
    </row>
    <row r="53" spans="1:14" hidden="1" x14ac:dyDescent="0.25">
      <c r="A53" s="89" t="s">
        <v>47</v>
      </c>
      <c r="B53" s="89"/>
      <c r="C53" s="89"/>
      <c r="D53" s="89"/>
      <c r="E53" s="89"/>
      <c r="F53" s="15">
        <f>'Услуга №1'!F43</f>
        <v>8837</v>
      </c>
      <c r="G53" s="15">
        <f t="shared" si="0"/>
        <v>0.46159999999999995</v>
      </c>
      <c r="H53" s="15">
        <f t="shared" si="1"/>
        <v>48949.910399999993</v>
      </c>
      <c r="I53" s="15">
        <f t="shared" si="2"/>
        <v>63732.783340799993</v>
      </c>
      <c r="J53" s="15">
        <f t="shared" si="4"/>
        <v>1300</v>
      </c>
      <c r="K53" s="15">
        <f t="shared" si="3"/>
        <v>49.025217954461532</v>
      </c>
      <c r="L53" s="26"/>
      <c r="M53" s="16"/>
      <c r="N53" s="2"/>
    </row>
    <row r="54" spans="1:14" hidden="1" x14ac:dyDescent="0.25">
      <c r="A54" s="89" t="s">
        <v>51</v>
      </c>
      <c r="B54" s="89"/>
      <c r="C54" s="89"/>
      <c r="D54" s="89"/>
      <c r="E54" s="89"/>
      <c r="F54" s="15">
        <f>'Услуга №1'!F44</f>
        <v>4565</v>
      </c>
      <c r="G54" s="15">
        <f t="shared" si="0"/>
        <v>0.46159999999999995</v>
      </c>
      <c r="H54" s="15">
        <f t="shared" si="1"/>
        <v>25286.447999999997</v>
      </c>
      <c r="I54" s="15">
        <f t="shared" si="2"/>
        <v>32922.955296</v>
      </c>
      <c r="J54" s="15">
        <f t="shared" si="4"/>
        <v>1300</v>
      </c>
      <c r="K54" s="15">
        <f t="shared" si="3"/>
        <v>25.325350227692308</v>
      </c>
      <c r="L54" s="26"/>
      <c r="M54" s="16"/>
      <c r="N54" s="2"/>
    </row>
    <row r="55" spans="1:14" ht="15" hidden="1" customHeight="1" x14ac:dyDescent="0.25">
      <c r="A55" s="89" t="s">
        <v>46</v>
      </c>
      <c r="B55" s="89"/>
      <c r="C55" s="89"/>
      <c r="D55" s="89"/>
      <c r="E55" s="89"/>
      <c r="F55" s="15">
        <f>'Услуга №1'!F45</f>
        <v>8837</v>
      </c>
      <c r="G55" s="15">
        <f t="shared" si="0"/>
        <v>0.46159999999999995</v>
      </c>
      <c r="H55" s="15">
        <f t="shared" si="1"/>
        <v>48949.910399999993</v>
      </c>
      <c r="I55" s="15">
        <f t="shared" si="2"/>
        <v>63732.783340799993</v>
      </c>
      <c r="J55" s="15">
        <f t="shared" si="4"/>
        <v>1300</v>
      </c>
      <c r="K55" s="15">
        <f t="shared" si="3"/>
        <v>49.025217954461532</v>
      </c>
      <c r="L55" s="26"/>
      <c r="M55" s="16"/>
      <c r="N55" s="2"/>
    </row>
    <row r="56" spans="1:14" hidden="1" x14ac:dyDescent="0.25">
      <c r="A56" s="98" t="s">
        <v>49</v>
      </c>
      <c r="B56" s="98"/>
      <c r="C56" s="98"/>
      <c r="D56" s="98"/>
      <c r="E56" s="98"/>
      <c r="F56" s="15">
        <f>'Услуга №1'!F46</f>
        <v>8837</v>
      </c>
      <c r="G56" s="15">
        <f t="shared" si="0"/>
        <v>0.46159999999999995</v>
      </c>
      <c r="H56" s="15">
        <f t="shared" si="1"/>
        <v>48949.910399999993</v>
      </c>
      <c r="I56" s="15">
        <f t="shared" si="2"/>
        <v>63732.783340799993</v>
      </c>
      <c r="J56" s="15">
        <f t="shared" si="4"/>
        <v>1300</v>
      </c>
      <c r="K56" s="15">
        <f t="shared" si="3"/>
        <v>49.025217954461532</v>
      </c>
      <c r="L56" s="26"/>
      <c r="M56" s="16"/>
      <c r="N56" s="2"/>
    </row>
    <row r="57" spans="1:14" hidden="1" x14ac:dyDescent="0.25">
      <c r="A57" s="89" t="s">
        <v>54</v>
      </c>
      <c r="B57" s="89"/>
      <c r="C57" s="89"/>
      <c r="D57" s="89"/>
      <c r="E57" s="89"/>
      <c r="F57" s="15">
        <f>'Услуга №1'!F47</f>
        <v>11538</v>
      </c>
      <c r="G57" s="15">
        <f t="shared" si="0"/>
        <v>0.46159999999999995</v>
      </c>
      <c r="H57" s="15">
        <f t="shared" si="1"/>
        <v>63911.289599999989</v>
      </c>
      <c r="I57" s="15">
        <f t="shared" si="2"/>
        <v>83212.499059199996</v>
      </c>
      <c r="J57" s="15">
        <f t="shared" si="4"/>
        <v>1300</v>
      </c>
      <c r="K57" s="15">
        <f t="shared" si="3"/>
        <v>64.009614660923077</v>
      </c>
      <c r="L57" s="26"/>
      <c r="M57" s="16"/>
      <c r="N57" s="2"/>
    </row>
    <row r="58" spans="1:14" hidden="1" x14ac:dyDescent="0.25">
      <c r="A58" s="89" t="s">
        <v>77</v>
      </c>
      <c r="B58" s="89"/>
      <c r="C58" s="89"/>
      <c r="D58" s="89"/>
      <c r="E58" s="89"/>
      <c r="F58" s="15">
        <f>'Услуга №1'!F48</f>
        <v>11538</v>
      </c>
      <c r="G58" s="15">
        <f t="shared" si="0"/>
        <v>0.46159999999999995</v>
      </c>
      <c r="H58" s="15">
        <f>F58*G58*12+0.2</f>
        <v>63911.489599999986</v>
      </c>
      <c r="I58" s="66">
        <f t="shared" si="2"/>
        <v>83212.75945919998</v>
      </c>
      <c r="J58" s="15">
        <f t="shared" si="4"/>
        <v>1300</v>
      </c>
      <c r="K58" s="66">
        <f t="shared" si="3"/>
        <v>64.009814968615373</v>
      </c>
      <c r="L58" s="26"/>
      <c r="M58" s="16"/>
      <c r="N58" s="2"/>
    </row>
    <row r="59" spans="1:14" ht="15.75" thickBot="1" x14ac:dyDescent="0.3">
      <c r="A59" s="88" t="s">
        <v>7</v>
      </c>
      <c r="B59" s="88"/>
      <c r="C59" s="88"/>
      <c r="D59" s="88"/>
      <c r="E59" s="88"/>
      <c r="F59" s="51">
        <v>23687.01</v>
      </c>
      <c r="G59" s="51">
        <f>F37</f>
        <v>12.782400000000004</v>
      </c>
      <c r="H59" s="53">
        <v>3632639.19</v>
      </c>
      <c r="I59" s="67">
        <f>(H59*1.302)</f>
        <v>4729696.2253799997</v>
      </c>
      <c r="J59" s="68">
        <f t="shared" si="4"/>
        <v>1300</v>
      </c>
      <c r="K59" s="67">
        <f>I59/J59</f>
        <v>3638.2278656769226</v>
      </c>
      <c r="L59" s="45"/>
      <c r="M59" s="16"/>
      <c r="N59" s="2"/>
    </row>
    <row r="60" spans="1:14" ht="11.25" customHeigh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2"/>
    </row>
    <row r="61" spans="1:14" s="2" customFormat="1" ht="14.25" customHeight="1" x14ac:dyDescent="0.25">
      <c r="A61" s="93" t="s">
        <v>9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16"/>
    </row>
    <row r="62" spans="1:14" s="2" customFormat="1" ht="45" x14ac:dyDescent="0.25">
      <c r="A62" s="88" t="s">
        <v>10</v>
      </c>
      <c r="B62" s="88"/>
      <c r="C62" s="88"/>
      <c r="D62" s="88"/>
      <c r="E62" s="88"/>
      <c r="F62" s="82" t="s">
        <v>8</v>
      </c>
      <c r="G62" s="82" t="s">
        <v>68</v>
      </c>
      <c r="H62" s="82" t="s">
        <v>69</v>
      </c>
      <c r="I62" s="82" t="s">
        <v>79</v>
      </c>
      <c r="J62" s="82" t="s">
        <v>73</v>
      </c>
      <c r="K62" s="32" t="s">
        <v>74</v>
      </c>
      <c r="L62" s="33"/>
      <c r="M62" s="16"/>
    </row>
    <row r="63" spans="1:14" s="2" customFormat="1" x14ac:dyDescent="0.25">
      <c r="A63" s="95" t="s">
        <v>11</v>
      </c>
      <c r="B63" s="96"/>
      <c r="C63" s="96"/>
      <c r="D63" s="96"/>
      <c r="E63" s="97"/>
      <c r="F63" s="29" t="s">
        <v>80</v>
      </c>
      <c r="G63" s="29">
        <f>I63/H63</f>
        <v>23.941170710022721</v>
      </c>
      <c r="H63" s="63">
        <v>7873.41</v>
      </c>
      <c r="I63" s="29">
        <f>408359.3*46.16%</f>
        <v>188498.65287999998</v>
      </c>
      <c r="J63" s="15">
        <f>J58</f>
        <v>1300</v>
      </c>
      <c r="K63" s="34">
        <f>I63/J63</f>
        <v>144.99896375384614</v>
      </c>
      <c r="L63" s="33"/>
      <c r="M63" s="16"/>
    </row>
    <row r="64" spans="1:14" s="2" customFormat="1" x14ac:dyDescent="0.25">
      <c r="A64" s="89" t="s">
        <v>12</v>
      </c>
      <c r="B64" s="89"/>
      <c r="C64" s="89"/>
      <c r="D64" s="89"/>
      <c r="E64" s="89"/>
      <c r="F64" s="15" t="s">
        <v>15</v>
      </c>
      <c r="G64" s="29">
        <f t="shared" ref="G64:G66" si="5">I64/H64</f>
        <v>367.35767104508147</v>
      </c>
      <c r="H64" s="46">
        <v>1798.52</v>
      </c>
      <c r="I64" s="29">
        <f>1431326.08*46.16%</f>
        <v>660700.11852799996</v>
      </c>
      <c r="J64" s="15">
        <f>J63</f>
        <v>1300</v>
      </c>
      <c r="K64" s="34">
        <f t="shared" ref="K64:K67" si="6">I64/J64</f>
        <v>508.23086040615379</v>
      </c>
      <c r="L64" s="35"/>
      <c r="M64" s="16"/>
    </row>
    <row r="65" spans="1:13" s="2" customFormat="1" x14ac:dyDescent="0.25">
      <c r="A65" s="89" t="s">
        <v>13</v>
      </c>
      <c r="B65" s="89"/>
      <c r="C65" s="89"/>
      <c r="D65" s="89"/>
      <c r="E65" s="89"/>
      <c r="F65" s="15" t="s">
        <v>16</v>
      </c>
      <c r="G65" s="29">
        <f t="shared" si="5"/>
        <v>336.17927170868342</v>
      </c>
      <c r="H65" s="46">
        <v>42.84</v>
      </c>
      <c r="I65" s="29">
        <f>31200*46.16%</f>
        <v>14401.919999999998</v>
      </c>
      <c r="J65" s="15">
        <f>J64</f>
        <v>1300</v>
      </c>
      <c r="K65" s="34">
        <f t="shared" si="6"/>
        <v>11.078399999999998</v>
      </c>
      <c r="L65" s="35"/>
      <c r="M65" s="16"/>
    </row>
    <row r="66" spans="1:13" s="2" customFormat="1" ht="15.75" thickBot="1" x14ac:dyDescent="0.3">
      <c r="A66" s="89" t="s">
        <v>14</v>
      </c>
      <c r="B66" s="89"/>
      <c r="C66" s="89"/>
      <c r="D66" s="89"/>
      <c r="E66" s="89"/>
      <c r="F66" s="15" t="s">
        <v>16</v>
      </c>
      <c r="G66" s="29">
        <f t="shared" si="5"/>
        <v>278.980341593204</v>
      </c>
      <c r="H66" s="46">
        <v>62.39</v>
      </c>
      <c r="I66" s="29">
        <f>37707.07*46.16%</f>
        <v>17405.583511999997</v>
      </c>
      <c r="J66" s="15">
        <f>J64</f>
        <v>1300</v>
      </c>
      <c r="K66" s="34">
        <f t="shared" si="6"/>
        <v>13.388910393846151</v>
      </c>
      <c r="L66" s="35"/>
      <c r="M66" s="16"/>
    </row>
    <row r="67" spans="1:13" s="2" customFormat="1" ht="15.75" hidden="1" thickBot="1" x14ac:dyDescent="0.3">
      <c r="A67" s="95" t="s">
        <v>58</v>
      </c>
      <c r="B67" s="107"/>
      <c r="C67" s="107"/>
      <c r="D67" s="107"/>
      <c r="E67" s="107"/>
      <c r="F67" s="15" t="s">
        <v>16</v>
      </c>
      <c r="G67" s="15">
        <v>12</v>
      </c>
      <c r="H67" s="64"/>
      <c r="I67" s="71">
        <v>0</v>
      </c>
      <c r="J67" s="15">
        <v>0</v>
      </c>
      <c r="K67" s="72" t="e">
        <f t="shared" si="6"/>
        <v>#DIV/0!</v>
      </c>
      <c r="L67" s="35"/>
      <c r="M67" s="16"/>
    </row>
    <row r="68" spans="1:13" s="2" customFormat="1" ht="15.75" thickBot="1" x14ac:dyDescent="0.3">
      <c r="A68" s="86" t="s">
        <v>17</v>
      </c>
      <c r="B68" s="87"/>
      <c r="C68" s="87"/>
      <c r="D68" s="87"/>
      <c r="E68" s="87"/>
      <c r="F68" s="87"/>
      <c r="G68" s="87"/>
      <c r="H68" s="87"/>
      <c r="I68" s="67">
        <f>SUM(I63:I67)</f>
        <v>881006.27492</v>
      </c>
      <c r="J68" s="68">
        <f t="shared" ref="J68" si="7">J66</f>
        <v>1300</v>
      </c>
      <c r="K68" s="67">
        <f>I68/J68</f>
        <v>677.69713455384613</v>
      </c>
      <c r="L68" s="26"/>
      <c r="M68" s="22"/>
    </row>
    <row r="69" spans="1:13" s="2" customFormat="1" ht="12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</row>
    <row r="70" spans="1:13" s="2" customFormat="1" x14ac:dyDescent="0.25">
      <c r="A70" s="93" t="s">
        <v>18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16"/>
    </row>
    <row r="71" spans="1:13" s="2" customFormat="1" ht="45" x14ac:dyDescent="0.25">
      <c r="A71" s="99" t="s">
        <v>22</v>
      </c>
      <c r="B71" s="100"/>
      <c r="C71" s="100"/>
      <c r="D71" s="100"/>
      <c r="E71" s="101"/>
      <c r="F71" s="82" t="s">
        <v>8</v>
      </c>
      <c r="G71" s="82" t="s">
        <v>68</v>
      </c>
      <c r="H71" s="82" t="s">
        <v>69</v>
      </c>
      <c r="I71" s="82" t="s">
        <v>79</v>
      </c>
      <c r="J71" s="82" t="s">
        <v>73</v>
      </c>
      <c r="K71" s="32" t="s">
        <v>74</v>
      </c>
      <c r="L71" s="33"/>
      <c r="M71" s="16"/>
    </row>
    <row r="72" spans="1:13" s="2" customFormat="1" x14ac:dyDescent="0.25">
      <c r="A72" s="89" t="s">
        <v>81</v>
      </c>
      <c r="B72" s="89"/>
      <c r="C72" s="89"/>
      <c r="D72" s="89"/>
      <c r="E72" s="89"/>
      <c r="F72" s="15" t="s">
        <v>20</v>
      </c>
      <c r="G72" s="15">
        <v>12</v>
      </c>
      <c r="H72" s="15">
        <v>4568.17</v>
      </c>
      <c r="I72" s="15">
        <f>54818*46.16%</f>
        <v>25303.988799999999</v>
      </c>
      <c r="J72" s="15">
        <f>J66</f>
        <v>1300</v>
      </c>
      <c r="K72" s="61">
        <f>I72/J72</f>
        <v>19.46460676923077</v>
      </c>
      <c r="L72" s="35"/>
      <c r="M72" s="16"/>
    </row>
    <row r="73" spans="1:13" s="2" customFormat="1" x14ac:dyDescent="0.25">
      <c r="A73" s="89" t="s">
        <v>19</v>
      </c>
      <c r="B73" s="89"/>
      <c r="C73" s="89"/>
      <c r="D73" s="89"/>
      <c r="E73" s="89"/>
      <c r="F73" s="15" t="s">
        <v>20</v>
      </c>
      <c r="G73" s="15">
        <v>12</v>
      </c>
      <c r="H73" s="15">
        <v>620</v>
      </c>
      <c r="I73" s="15">
        <f>7440*46.16%</f>
        <v>3434.3039999999996</v>
      </c>
      <c r="J73" s="15">
        <f>J72</f>
        <v>1300</v>
      </c>
      <c r="K73" s="61">
        <f t="shared" ref="K73:K78" si="8">I73/J73</f>
        <v>2.6417723076923072</v>
      </c>
      <c r="L73" s="35"/>
      <c r="M73" s="16"/>
    </row>
    <row r="74" spans="1:13" s="23" customFormat="1" ht="16.5" customHeight="1" x14ac:dyDescent="0.25">
      <c r="A74" s="105" t="s">
        <v>57</v>
      </c>
      <c r="B74" s="105"/>
      <c r="C74" s="105"/>
      <c r="D74" s="105"/>
      <c r="E74" s="105"/>
      <c r="F74" s="37" t="s">
        <v>20</v>
      </c>
      <c r="G74" s="37">
        <v>12</v>
      </c>
      <c r="H74" s="37">
        <v>3000</v>
      </c>
      <c r="I74" s="37">
        <f>36000*46.16%</f>
        <v>16617.599999999999</v>
      </c>
      <c r="J74" s="37">
        <f>J73</f>
        <v>1300</v>
      </c>
      <c r="K74" s="38">
        <f t="shared" si="8"/>
        <v>12.78276923076923</v>
      </c>
      <c r="L74" s="39"/>
      <c r="M74" s="40"/>
    </row>
    <row r="75" spans="1:13" s="23" customFormat="1" ht="33" customHeight="1" x14ac:dyDescent="0.25">
      <c r="A75" s="105" t="s">
        <v>92</v>
      </c>
      <c r="B75" s="105"/>
      <c r="C75" s="105"/>
      <c r="D75" s="105"/>
      <c r="E75" s="105"/>
      <c r="F75" s="37" t="s">
        <v>20</v>
      </c>
      <c r="G75" s="37">
        <v>12</v>
      </c>
      <c r="H75" s="37">
        <v>2417.5</v>
      </c>
      <c r="I75" s="37">
        <f>29010*46.16%</f>
        <v>13391.015999999998</v>
      </c>
      <c r="J75" s="37">
        <f>J74</f>
        <v>1300</v>
      </c>
      <c r="K75" s="38">
        <f t="shared" si="8"/>
        <v>10.300781538461537</v>
      </c>
      <c r="L75" s="39"/>
      <c r="M75" s="40"/>
    </row>
    <row r="76" spans="1:13" s="2" customFormat="1" ht="16.5" customHeight="1" x14ac:dyDescent="0.25">
      <c r="A76" s="98" t="s">
        <v>98</v>
      </c>
      <c r="B76" s="98"/>
      <c r="C76" s="98"/>
      <c r="D76" s="98"/>
      <c r="E76" s="98"/>
      <c r="F76" s="15" t="s">
        <v>20</v>
      </c>
      <c r="G76" s="15">
        <v>12</v>
      </c>
      <c r="H76" s="15">
        <v>2500</v>
      </c>
      <c r="I76" s="15">
        <f>30000*46.16%</f>
        <v>13847.999999999998</v>
      </c>
      <c r="J76" s="15">
        <f>J74</f>
        <v>1300</v>
      </c>
      <c r="K76" s="61">
        <f t="shared" si="8"/>
        <v>10.652307692307691</v>
      </c>
      <c r="L76" s="35"/>
      <c r="M76" s="16"/>
    </row>
    <row r="77" spans="1:13" s="2" customFormat="1" ht="15" customHeight="1" x14ac:dyDescent="0.25">
      <c r="A77" s="98" t="s">
        <v>99</v>
      </c>
      <c r="B77" s="98"/>
      <c r="C77" s="98"/>
      <c r="D77" s="98"/>
      <c r="E77" s="98"/>
      <c r="F77" s="15" t="s">
        <v>20</v>
      </c>
      <c r="G77" s="15">
        <v>4</v>
      </c>
      <c r="H77" s="15">
        <v>1000</v>
      </c>
      <c r="I77" s="15">
        <f>4000*46.16%</f>
        <v>1846.3999999999999</v>
      </c>
      <c r="J77" s="15">
        <f>J74</f>
        <v>1300</v>
      </c>
      <c r="K77" s="61">
        <f t="shared" si="8"/>
        <v>1.4203076923076923</v>
      </c>
      <c r="L77" s="35"/>
      <c r="M77" s="16"/>
    </row>
    <row r="78" spans="1:13" s="2" customFormat="1" ht="15" customHeight="1" thickBot="1" x14ac:dyDescent="0.3">
      <c r="A78" s="98" t="s">
        <v>100</v>
      </c>
      <c r="B78" s="98"/>
      <c r="C78" s="98"/>
      <c r="D78" s="98"/>
      <c r="E78" s="98"/>
      <c r="F78" s="15" t="s">
        <v>20</v>
      </c>
      <c r="G78" s="15">
        <v>12</v>
      </c>
      <c r="H78" s="15">
        <v>3250</v>
      </c>
      <c r="I78" s="66">
        <f>6500*46.16%</f>
        <v>3000.3999999999996</v>
      </c>
      <c r="J78" s="15">
        <f>J75</f>
        <v>1300</v>
      </c>
      <c r="K78" s="73">
        <f t="shared" si="8"/>
        <v>2.3079999999999998</v>
      </c>
      <c r="L78" s="35"/>
      <c r="M78" s="16"/>
    </row>
    <row r="79" spans="1:13" ht="18.75" customHeight="1" thickBot="1" x14ac:dyDescent="0.3">
      <c r="A79" s="86" t="s">
        <v>21</v>
      </c>
      <c r="B79" s="87"/>
      <c r="C79" s="87"/>
      <c r="D79" s="87"/>
      <c r="E79" s="87"/>
      <c r="F79" s="87"/>
      <c r="G79" s="87"/>
      <c r="H79" s="87"/>
      <c r="I79" s="67">
        <f>SUM(I72:I78)</f>
        <v>77441.708799999979</v>
      </c>
      <c r="J79" s="68">
        <f>J76</f>
        <v>1300</v>
      </c>
      <c r="K79" s="67">
        <f>I79/J79</f>
        <v>59.570545230769213</v>
      </c>
      <c r="L79" s="26"/>
      <c r="M79" s="22"/>
    </row>
    <row r="80" spans="1:13" s="2" customFormat="1" ht="12.75" customHeight="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  <row r="81" spans="1:13" s="2" customFormat="1" x14ac:dyDescent="0.25">
      <c r="A81" s="93" t="s">
        <v>82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16"/>
    </row>
    <row r="82" spans="1:13" s="2" customFormat="1" ht="60" customHeight="1" x14ac:dyDescent="0.25">
      <c r="A82" s="99" t="s">
        <v>23</v>
      </c>
      <c r="B82" s="100"/>
      <c r="C82" s="100"/>
      <c r="D82" s="100"/>
      <c r="E82" s="101"/>
      <c r="F82" s="82" t="s">
        <v>8</v>
      </c>
      <c r="G82" s="82" t="s">
        <v>68</v>
      </c>
      <c r="H82" s="82" t="s">
        <v>69</v>
      </c>
      <c r="I82" s="82" t="s">
        <v>79</v>
      </c>
      <c r="J82" s="42" t="s">
        <v>73</v>
      </c>
      <c r="K82" s="28" t="s">
        <v>74</v>
      </c>
      <c r="L82" s="43"/>
      <c r="M82" s="43"/>
    </row>
    <row r="83" spans="1:13" s="2" customFormat="1" ht="42" customHeight="1" x14ac:dyDescent="0.25">
      <c r="A83" s="95" t="s">
        <v>24</v>
      </c>
      <c r="B83" s="96"/>
      <c r="C83" s="96"/>
      <c r="D83" s="96"/>
      <c r="E83" s="97"/>
      <c r="F83" s="44" t="s">
        <v>25</v>
      </c>
      <c r="G83" s="15">
        <v>4</v>
      </c>
      <c r="H83" s="46">
        <v>536.9</v>
      </c>
      <c r="I83" s="15">
        <f>13271.2*46.16%</f>
        <v>6125.9859200000001</v>
      </c>
      <c r="J83" s="61">
        <f>J79</f>
        <v>1300</v>
      </c>
      <c r="K83" s="15">
        <f>I83/J83</f>
        <v>4.7122968615384613</v>
      </c>
      <c r="L83" s="26"/>
      <c r="M83" s="26"/>
    </row>
    <row r="84" spans="1:13" s="2" customFormat="1" ht="42" customHeight="1" x14ac:dyDescent="0.25">
      <c r="A84" s="95" t="s">
        <v>96</v>
      </c>
      <c r="B84" s="96"/>
      <c r="C84" s="96"/>
      <c r="D84" s="96"/>
      <c r="E84" s="97"/>
      <c r="F84" s="44" t="s">
        <v>25</v>
      </c>
      <c r="G84" s="15">
        <v>12</v>
      </c>
      <c r="H84" s="46">
        <v>76.7</v>
      </c>
      <c r="I84" s="15">
        <f>920.4*46.16%</f>
        <v>424.85663999999997</v>
      </c>
      <c r="J84" s="61">
        <f>J83</f>
        <v>1300</v>
      </c>
      <c r="K84" s="15">
        <f t="shared" ref="K84:K85" si="9">I84/J84</f>
        <v>0.32681279999999996</v>
      </c>
      <c r="L84" s="26"/>
      <c r="M84" s="26"/>
    </row>
    <row r="85" spans="1:13" s="2" customFormat="1" ht="40.5" customHeight="1" x14ac:dyDescent="0.25">
      <c r="A85" s="95" t="s">
        <v>97</v>
      </c>
      <c r="B85" s="96"/>
      <c r="C85" s="96"/>
      <c r="D85" s="96"/>
      <c r="E85" s="97"/>
      <c r="F85" s="44" t="s">
        <v>25</v>
      </c>
      <c r="G85" s="15"/>
      <c r="H85" s="46"/>
      <c r="I85" s="15">
        <f>2108.4*46.16%</f>
        <v>973.23743999999999</v>
      </c>
      <c r="J85" s="61">
        <f>J84</f>
        <v>1300</v>
      </c>
      <c r="K85" s="15">
        <f t="shared" si="9"/>
        <v>0.74864418461538462</v>
      </c>
      <c r="L85" s="26"/>
      <c r="M85" s="26"/>
    </row>
    <row r="86" spans="1:13" s="2" customFormat="1" ht="30.75" customHeight="1" thickBot="1" x14ac:dyDescent="0.3">
      <c r="A86" s="95" t="s">
        <v>83</v>
      </c>
      <c r="B86" s="96"/>
      <c r="C86" s="96"/>
      <c r="D86" s="96"/>
      <c r="E86" s="97"/>
      <c r="F86" s="44" t="s">
        <v>84</v>
      </c>
      <c r="G86" s="15">
        <v>12</v>
      </c>
      <c r="H86" s="46">
        <v>1000</v>
      </c>
      <c r="I86" s="66">
        <f>12000*46.16%</f>
        <v>5539.2</v>
      </c>
      <c r="J86" s="61">
        <f>J85</f>
        <v>1300</v>
      </c>
      <c r="K86" s="66">
        <f>I86/J86</f>
        <v>4.2609230769230768</v>
      </c>
      <c r="L86" s="26"/>
      <c r="M86" s="26"/>
    </row>
    <row r="87" spans="1:13" s="2" customFormat="1" ht="15.75" thickBot="1" x14ac:dyDescent="0.3">
      <c r="A87" s="86" t="s">
        <v>26</v>
      </c>
      <c r="B87" s="87"/>
      <c r="C87" s="87"/>
      <c r="D87" s="87"/>
      <c r="E87" s="87"/>
      <c r="F87" s="87"/>
      <c r="G87" s="87"/>
      <c r="H87" s="87"/>
      <c r="I87" s="74">
        <f>SUM(I83:I86)</f>
        <v>13063.279999999999</v>
      </c>
      <c r="J87" s="68">
        <f>J86</f>
        <v>1300</v>
      </c>
      <c r="K87" s="74">
        <f>I87/J87</f>
        <v>10.048676923076922</v>
      </c>
      <c r="L87" s="14"/>
      <c r="M87" s="45"/>
    </row>
    <row r="88" spans="1:13" s="2" customFormat="1" x14ac:dyDescent="0.25">
      <c r="A88" s="41"/>
      <c r="B88" s="41"/>
      <c r="C88" s="41"/>
      <c r="D88" s="41"/>
      <c r="E88" s="41"/>
      <c r="F88" s="41"/>
      <c r="G88" s="41"/>
      <c r="H88" s="41"/>
      <c r="I88" s="14"/>
      <c r="J88" s="14"/>
      <c r="K88" s="14"/>
      <c r="L88" s="14"/>
      <c r="M88" s="26"/>
    </row>
    <row r="89" spans="1:13" s="2" customFormat="1" x14ac:dyDescent="0.25">
      <c r="A89" s="41"/>
      <c r="B89" s="41"/>
      <c r="C89" s="41"/>
      <c r="D89" s="41"/>
      <c r="E89" s="41"/>
      <c r="F89" s="41"/>
      <c r="G89" s="41"/>
      <c r="H89" s="41"/>
      <c r="I89" s="14"/>
      <c r="J89" s="14"/>
      <c r="K89" s="14"/>
      <c r="L89" s="14"/>
      <c r="M89" s="26"/>
    </row>
    <row r="90" spans="1:13" s="2" customFormat="1" x14ac:dyDescent="0.25">
      <c r="A90" s="93" t="s">
        <v>42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16"/>
    </row>
    <row r="91" spans="1:13" s="2" customFormat="1" ht="75.75" thickBot="1" x14ac:dyDescent="0.3">
      <c r="A91" s="99" t="s">
        <v>5</v>
      </c>
      <c r="B91" s="100"/>
      <c r="C91" s="100"/>
      <c r="D91" s="100"/>
      <c r="E91" s="101"/>
      <c r="F91" s="82" t="s">
        <v>6</v>
      </c>
      <c r="G91" s="82" t="s">
        <v>1</v>
      </c>
      <c r="H91" s="82" t="s">
        <v>71</v>
      </c>
      <c r="I91" s="82" t="s">
        <v>72</v>
      </c>
      <c r="J91" s="82" t="s">
        <v>73</v>
      </c>
      <c r="K91" s="28" t="s">
        <v>74</v>
      </c>
      <c r="L91" s="43"/>
      <c r="M91" s="16"/>
    </row>
    <row r="92" spans="1:13" s="2" customFormat="1" ht="15" hidden="1" customHeight="1" x14ac:dyDescent="0.3">
      <c r="A92" s="89" t="s">
        <v>3</v>
      </c>
      <c r="B92" s="89"/>
      <c r="C92" s="89"/>
      <c r="D92" s="89"/>
      <c r="E92" s="89"/>
      <c r="F92" s="46">
        <v>15388</v>
      </c>
      <c r="G92" s="15">
        <f t="shared" ref="G92:G98" si="10">L28</f>
        <v>0</v>
      </c>
      <c r="H92" s="12">
        <f>F92*12*G92</f>
        <v>0</v>
      </c>
      <c r="I92" s="15">
        <f>H92*1.302</f>
        <v>0</v>
      </c>
      <c r="J92" s="15">
        <f>J86</f>
        <v>1300</v>
      </c>
      <c r="K92" s="15">
        <f>I92/J92</f>
        <v>0</v>
      </c>
      <c r="L92" s="26"/>
      <c r="M92" s="16"/>
    </row>
    <row r="93" spans="1:13" s="2" customFormat="1" ht="15" hidden="1" customHeight="1" x14ac:dyDescent="0.3">
      <c r="A93" s="89" t="s">
        <v>89</v>
      </c>
      <c r="B93" s="89"/>
      <c r="C93" s="89"/>
      <c r="D93" s="89"/>
      <c r="E93" s="89"/>
      <c r="F93" s="15">
        <v>11538</v>
      </c>
      <c r="G93" s="15">
        <f t="shared" si="10"/>
        <v>0</v>
      </c>
      <c r="H93" s="12">
        <f>F93*12*G93</f>
        <v>0</v>
      </c>
      <c r="I93" s="15">
        <f t="shared" ref="I93:I98" si="11">H93*1.302</f>
        <v>0</v>
      </c>
      <c r="J93" s="15">
        <f>J92</f>
        <v>1300</v>
      </c>
      <c r="K93" s="15">
        <f t="shared" ref="K93:K98" si="12">I93/J93</f>
        <v>0</v>
      </c>
      <c r="L93" s="26"/>
      <c r="M93" s="16"/>
    </row>
    <row r="94" spans="1:13" s="2" customFormat="1" ht="15" hidden="1" customHeight="1" x14ac:dyDescent="0.3">
      <c r="A94" s="89" t="s">
        <v>90</v>
      </c>
      <c r="B94" s="89"/>
      <c r="C94" s="89"/>
      <c r="D94" s="89"/>
      <c r="E94" s="89"/>
      <c r="F94" s="15">
        <v>11538</v>
      </c>
      <c r="G94" s="15">
        <f t="shared" si="10"/>
        <v>0</v>
      </c>
      <c r="H94" s="12">
        <f t="shared" ref="H94:H98" si="13">F94*12*G94</f>
        <v>0</v>
      </c>
      <c r="I94" s="15">
        <f t="shared" si="11"/>
        <v>0</v>
      </c>
      <c r="J94" s="15">
        <f>J93</f>
        <v>1300</v>
      </c>
      <c r="K94" s="15">
        <f t="shared" si="12"/>
        <v>0</v>
      </c>
      <c r="L94" s="26"/>
      <c r="M94" s="16"/>
    </row>
    <row r="95" spans="1:13" s="2" customFormat="1" ht="15" hidden="1" customHeight="1" x14ac:dyDescent="0.3">
      <c r="A95" s="89" t="s">
        <v>67</v>
      </c>
      <c r="B95" s="89"/>
      <c r="C95" s="89"/>
      <c r="D95" s="89"/>
      <c r="E95" s="89"/>
      <c r="F95" s="15">
        <v>11538</v>
      </c>
      <c r="G95" s="15">
        <f t="shared" si="10"/>
        <v>0</v>
      </c>
      <c r="H95" s="12">
        <f t="shared" si="13"/>
        <v>0</v>
      </c>
      <c r="I95" s="15">
        <f t="shared" si="11"/>
        <v>0</v>
      </c>
      <c r="J95" s="15">
        <f>J93</f>
        <v>1300</v>
      </c>
      <c r="K95" s="15">
        <f t="shared" si="12"/>
        <v>0</v>
      </c>
      <c r="L95" s="26"/>
      <c r="M95" s="16"/>
    </row>
    <row r="96" spans="1:13" s="2" customFormat="1" ht="15.75" hidden="1" customHeight="1" x14ac:dyDescent="0.3">
      <c r="A96" s="89" t="s">
        <v>50</v>
      </c>
      <c r="B96" s="89"/>
      <c r="C96" s="89"/>
      <c r="D96" s="89"/>
      <c r="E96" s="89"/>
      <c r="F96" s="15">
        <v>6556</v>
      </c>
      <c r="G96" s="15">
        <f t="shared" si="10"/>
        <v>0</v>
      </c>
      <c r="H96" s="12">
        <f t="shared" si="13"/>
        <v>0</v>
      </c>
      <c r="I96" s="15">
        <f t="shared" si="11"/>
        <v>0</v>
      </c>
      <c r="J96" s="15">
        <f>J94</f>
        <v>1300</v>
      </c>
      <c r="K96" s="15">
        <f t="shared" si="12"/>
        <v>0</v>
      </c>
      <c r="L96" s="26"/>
      <c r="M96" s="16"/>
    </row>
    <row r="97" spans="1:13" s="2" customFormat="1" ht="14.25" hidden="1" customHeight="1" x14ac:dyDescent="0.3">
      <c r="A97" s="89" t="s">
        <v>48</v>
      </c>
      <c r="B97" s="89"/>
      <c r="C97" s="89"/>
      <c r="D97" s="89"/>
      <c r="E97" s="89"/>
      <c r="F97" s="46">
        <v>11538</v>
      </c>
      <c r="G97" s="15">
        <f t="shared" si="10"/>
        <v>0</v>
      </c>
      <c r="H97" s="12">
        <f t="shared" si="13"/>
        <v>0</v>
      </c>
      <c r="I97" s="15">
        <f t="shared" si="11"/>
        <v>0</v>
      </c>
      <c r="J97" s="15">
        <f>J95</f>
        <v>1300</v>
      </c>
      <c r="K97" s="15">
        <f t="shared" si="12"/>
        <v>0</v>
      </c>
      <c r="L97" s="26"/>
      <c r="M97" s="16"/>
    </row>
    <row r="98" spans="1:13" s="2" customFormat="1" ht="15" hidden="1" customHeight="1" x14ac:dyDescent="0.3">
      <c r="A98" s="102" t="s">
        <v>55</v>
      </c>
      <c r="B98" s="103"/>
      <c r="C98" s="103"/>
      <c r="D98" s="103"/>
      <c r="E98" s="104"/>
      <c r="F98" s="46">
        <v>5669</v>
      </c>
      <c r="G98" s="15">
        <f t="shared" si="10"/>
        <v>0</v>
      </c>
      <c r="H98" s="12">
        <f t="shared" si="13"/>
        <v>0</v>
      </c>
      <c r="I98" s="66">
        <f t="shared" si="11"/>
        <v>0</v>
      </c>
      <c r="J98" s="15">
        <f t="shared" ref="J98:J99" si="14">J96</f>
        <v>1300</v>
      </c>
      <c r="K98" s="66">
        <f t="shared" si="12"/>
        <v>0</v>
      </c>
      <c r="L98" s="26"/>
      <c r="M98" s="16"/>
    </row>
    <row r="99" spans="1:13" ht="20.25" customHeight="1" thickBot="1" x14ac:dyDescent="0.3">
      <c r="A99" s="83" t="s">
        <v>27</v>
      </c>
      <c r="B99" s="84"/>
      <c r="C99" s="84"/>
      <c r="D99" s="84"/>
      <c r="E99" s="84"/>
      <c r="F99" s="11">
        <v>23687.01</v>
      </c>
      <c r="G99" s="11">
        <f>L37</f>
        <v>1.3847999999999998</v>
      </c>
      <c r="H99" s="65">
        <v>392256.81</v>
      </c>
      <c r="I99" s="67">
        <f>H99*1.302</f>
        <v>510718.36661999999</v>
      </c>
      <c r="J99" s="75">
        <f>J87</f>
        <v>1300</v>
      </c>
      <c r="K99" s="67">
        <f>I99/J99</f>
        <v>392.8602820153846</v>
      </c>
      <c r="L99" s="26"/>
      <c r="M99" s="16"/>
    </row>
    <row r="100" spans="1:13" s="2" customFormat="1" ht="12" customHeight="1" x14ac:dyDescent="0.25">
      <c r="A100" s="16"/>
      <c r="B100" s="16"/>
      <c r="C100" s="16"/>
      <c r="D100" s="16"/>
      <c r="E100" s="16"/>
      <c r="F100" s="85"/>
      <c r="G100" s="85"/>
      <c r="H100" s="85"/>
      <c r="I100" s="85"/>
      <c r="J100" s="85"/>
      <c r="K100" s="85"/>
      <c r="L100" s="85"/>
      <c r="M100" s="16"/>
    </row>
    <row r="101" spans="1:13" x14ac:dyDescent="0.25">
      <c r="A101" s="91" t="s">
        <v>85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2"/>
      <c r="M101" s="16"/>
    </row>
    <row r="102" spans="1:13" ht="45" x14ac:dyDescent="0.25">
      <c r="A102" s="88" t="s">
        <v>86</v>
      </c>
      <c r="B102" s="88"/>
      <c r="C102" s="88"/>
      <c r="D102" s="88"/>
      <c r="E102" s="88"/>
      <c r="F102" s="82" t="s">
        <v>8</v>
      </c>
      <c r="G102" s="82" t="s">
        <v>68</v>
      </c>
      <c r="H102" s="82" t="s">
        <v>69</v>
      </c>
      <c r="I102" s="82" t="s">
        <v>79</v>
      </c>
      <c r="J102" s="82" t="s">
        <v>73</v>
      </c>
      <c r="K102" s="32" t="s">
        <v>74</v>
      </c>
      <c r="L102" s="33"/>
      <c r="M102" s="16"/>
    </row>
    <row r="103" spans="1:13" ht="30.75" customHeight="1" x14ac:dyDescent="0.25">
      <c r="A103" s="98" t="s">
        <v>101</v>
      </c>
      <c r="B103" s="98"/>
      <c r="C103" s="98"/>
      <c r="D103" s="98"/>
      <c r="E103" s="98"/>
      <c r="F103" s="15"/>
      <c r="G103" s="15"/>
      <c r="H103" s="12"/>
      <c r="I103" s="12">
        <f>27500*46.16%</f>
        <v>12693.999999999998</v>
      </c>
      <c r="J103" s="15">
        <f>J99</f>
        <v>1300</v>
      </c>
      <c r="K103" s="61">
        <f>I103/J103</f>
        <v>9.764615384615384</v>
      </c>
      <c r="L103" s="35"/>
      <c r="M103" s="16"/>
    </row>
    <row r="104" spans="1:13" ht="15.75" thickBot="1" x14ac:dyDescent="0.3">
      <c r="A104" s="89" t="s">
        <v>91</v>
      </c>
      <c r="B104" s="89"/>
      <c r="C104" s="89"/>
      <c r="D104" s="89"/>
      <c r="E104" s="89"/>
      <c r="F104" s="15"/>
      <c r="G104" s="15"/>
      <c r="H104" s="12"/>
      <c r="I104" s="76">
        <f>39600*46.16%</f>
        <v>18279.359999999997</v>
      </c>
      <c r="J104" s="15">
        <f>J103</f>
        <v>1300</v>
      </c>
      <c r="K104" s="73">
        <f>I104/J104</f>
        <v>14.061046153846151</v>
      </c>
      <c r="L104" s="35"/>
      <c r="M104" s="16"/>
    </row>
    <row r="105" spans="1:13" ht="15.75" thickBot="1" x14ac:dyDescent="0.3">
      <c r="A105" s="94" t="s">
        <v>87</v>
      </c>
      <c r="B105" s="94"/>
      <c r="C105" s="94"/>
      <c r="D105" s="94"/>
      <c r="E105" s="94"/>
      <c r="F105" s="94"/>
      <c r="G105" s="94"/>
      <c r="H105" s="86"/>
      <c r="I105" s="74">
        <f>SUM(I103:I104)</f>
        <v>30973.359999999993</v>
      </c>
      <c r="J105" s="77">
        <f>J104</f>
        <v>1300</v>
      </c>
      <c r="K105" s="74">
        <f>SUM(K103:K104)</f>
        <v>23.825661538461535</v>
      </c>
      <c r="L105" s="26"/>
      <c r="M105" s="22"/>
    </row>
    <row r="106" spans="1:13" x14ac:dyDescent="0.25">
      <c r="A106" s="41"/>
      <c r="B106" s="41"/>
      <c r="C106" s="41"/>
      <c r="D106" s="41"/>
      <c r="E106" s="41"/>
      <c r="F106" s="41"/>
      <c r="G106" s="41"/>
      <c r="H106" s="41"/>
      <c r="I106" s="14"/>
      <c r="J106" s="14"/>
      <c r="K106" s="14"/>
      <c r="L106" s="26"/>
      <c r="M106" s="16"/>
    </row>
    <row r="107" spans="1:13" hidden="1" x14ac:dyDescent="0.25">
      <c r="A107" s="90" t="s">
        <v>102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16"/>
    </row>
    <row r="108" spans="1:13" ht="45" hidden="1" x14ac:dyDescent="0.25">
      <c r="A108" s="88" t="s">
        <v>86</v>
      </c>
      <c r="B108" s="88"/>
      <c r="C108" s="88"/>
      <c r="D108" s="88"/>
      <c r="E108" s="88"/>
      <c r="F108" s="82" t="s">
        <v>8</v>
      </c>
      <c r="G108" s="82" t="s">
        <v>68</v>
      </c>
      <c r="H108" s="82" t="s">
        <v>69</v>
      </c>
      <c r="I108" s="82" t="s">
        <v>79</v>
      </c>
      <c r="J108" s="82" t="s">
        <v>73</v>
      </c>
      <c r="K108" s="28" t="s">
        <v>74</v>
      </c>
      <c r="L108" s="33"/>
      <c r="M108" s="16"/>
    </row>
    <row r="109" spans="1:13" hidden="1" x14ac:dyDescent="0.25">
      <c r="A109" s="89" t="s">
        <v>104</v>
      </c>
      <c r="B109" s="89"/>
      <c r="C109" s="89"/>
      <c r="D109" s="89"/>
      <c r="E109" s="89"/>
      <c r="F109" s="15"/>
      <c r="G109" s="15"/>
      <c r="H109" s="12"/>
      <c r="I109" s="12">
        <v>0</v>
      </c>
      <c r="J109" s="15">
        <f>J103</f>
        <v>1300</v>
      </c>
      <c r="K109" s="61">
        <f>I109/J109</f>
        <v>0</v>
      </c>
      <c r="L109" s="35"/>
      <c r="M109" s="16"/>
    </row>
    <row r="110" spans="1:13" hidden="1" x14ac:dyDescent="0.25">
      <c r="A110" s="89" t="s">
        <v>93</v>
      </c>
      <c r="B110" s="89"/>
      <c r="C110" s="89"/>
      <c r="D110" s="89"/>
      <c r="E110" s="89"/>
      <c r="F110" s="15" t="s">
        <v>28</v>
      </c>
      <c r="G110" s="15"/>
      <c r="H110" s="12"/>
      <c r="I110" s="12">
        <f>G110*H110</f>
        <v>0</v>
      </c>
      <c r="J110" s="15">
        <f>J109</f>
        <v>1300</v>
      </c>
      <c r="K110" s="61">
        <f>I110/J110</f>
        <v>0</v>
      </c>
      <c r="L110" s="35"/>
      <c r="M110" s="16"/>
    </row>
    <row r="111" spans="1:13" hidden="1" x14ac:dyDescent="0.25">
      <c r="A111" s="86" t="s">
        <v>103</v>
      </c>
      <c r="B111" s="87"/>
      <c r="C111" s="87"/>
      <c r="D111" s="87"/>
      <c r="E111" s="87"/>
      <c r="F111" s="87"/>
      <c r="G111" s="87"/>
      <c r="H111" s="87"/>
      <c r="I111" s="13">
        <f>SUM(I109:I110)</f>
        <v>0</v>
      </c>
      <c r="J111" s="13">
        <v>6000</v>
      </c>
      <c r="K111" s="13">
        <f t="shared" ref="K111" si="15">SUM(K109:K110)</f>
        <v>0</v>
      </c>
      <c r="L111" s="35"/>
      <c r="M111" s="22" t="e">
        <f>I111+#REF!+#REF!+#REF!+#REF!</f>
        <v>#REF!</v>
      </c>
    </row>
    <row r="112" spans="1:13" s="2" customFormat="1" hidden="1" x14ac:dyDescent="0.25">
      <c r="A112" s="16"/>
      <c r="B112" s="16"/>
      <c r="C112" s="16"/>
      <c r="D112" s="16"/>
      <c r="E112" s="16"/>
      <c r="F112" s="85"/>
      <c r="G112" s="85"/>
      <c r="H112" s="85"/>
      <c r="I112" s="85"/>
      <c r="J112" s="85"/>
      <c r="K112" s="85"/>
      <c r="L112" s="85"/>
      <c r="M112" s="16"/>
    </row>
    <row r="113" spans="1:13" x14ac:dyDescent="0.25">
      <c r="A113" s="91" t="s">
        <v>105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2"/>
      <c r="M113" s="16"/>
    </row>
    <row r="114" spans="1:13" ht="45" x14ac:dyDescent="0.25">
      <c r="A114" s="88" t="s">
        <v>86</v>
      </c>
      <c r="B114" s="88"/>
      <c r="C114" s="88"/>
      <c r="D114" s="88"/>
      <c r="E114" s="88"/>
      <c r="F114" s="82" t="s">
        <v>8</v>
      </c>
      <c r="G114" s="82" t="s">
        <v>68</v>
      </c>
      <c r="H114" s="82" t="s">
        <v>69</v>
      </c>
      <c r="I114" s="82" t="s">
        <v>79</v>
      </c>
      <c r="J114" s="82" t="s">
        <v>73</v>
      </c>
      <c r="K114" s="32" t="s">
        <v>74</v>
      </c>
      <c r="L114" s="33"/>
      <c r="M114" s="16"/>
    </row>
    <row r="115" spans="1:13" ht="15.75" thickBot="1" x14ac:dyDescent="0.3">
      <c r="A115" s="89" t="s">
        <v>106</v>
      </c>
      <c r="B115" s="89"/>
      <c r="C115" s="89"/>
      <c r="D115" s="89"/>
      <c r="E115" s="89"/>
      <c r="F115" s="15"/>
      <c r="G115" s="15"/>
      <c r="H115" s="12"/>
      <c r="I115" s="12">
        <f>32160*46.16%</f>
        <v>14845.055999999999</v>
      </c>
      <c r="J115" s="15">
        <f>J105</f>
        <v>1300</v>
      </c>
      <c r="K115" s="61">
        <f>I115/J115</f>
        <v>11.419273846153844</v>
      </c>
      <c r="L115" s="35"/>
      <c r="M115" s="16"/>
    </row>
    <row r="116" spans="1:13" ht="15.75" hidden="1" thickBot="1" x14ac:dyDescent="0.3">
      <c r="A116" s="89" t="s">
        <v>93</v>
      </c>
      <c r="B116" s="89"/>
      <c r="C116" s="89"/>
      <c r="D116" s="89"/>
      <c r="E116" s="89"/>
      <c r="F116" s="15" t="s">
        <v>28</v>
      </c>
      <c r="G116" s="15"/>
      <c r="H116" s="12"/>
      <c r="I116" s="76">
        <f>G116*H116</f>
        <v>0</v>
      </c>
      <c r="J116" s="15">
        <f>J115</f>
        <v>1300</v>
      </c>
      <c r="K116" s="73">
        <f>I116/J116</f>
        <v>0</v>
      </c>
      <c r="L116" s="35"/>
      <c r="M116" s="16"/>
    </row>
    <row r="117" spans="1:13" ht="15.75" thickBot="1" x14ac:dyDescent="0.3">
      <c r="A117" s="86" t="s">
        <v>109</v>
      </c>
      <c r="B117" s="87"/>
      <c r="C117" s="87"/>
      <c r="D117" s="87"/>
      <c r="E117" s="87"/>
      <c r="F117" s="87"/>
      <c r="G117" s="87"/>
      <c r="H117" s="87"/>
      <c r="I117" s="74">
        <f>SUM(I115:I116)</f>
        <v>14845.055999999999</v>
      </c>
      <c r="J117" s="77">
        <f>J115</f>
        <v>1300</v>
      </c>
      <c r="K117" s="74">
        <f t="shared" ref="K117" si="16">SUM(K115:K116)</f>
        <v>11.419273846153844</v>
      </c>
      <c r="L117" s="26"/>
      <c r="M117" s="22"/>
    </row>
    <row r="118" spans="1:13" x14ac:dyDescent="0.25">
      <c r="A118" s="48"/>
      <c r="B118" s="48"/>
      <c r="C118" s="48"/>
      <c r="D118" s="48"/>
      <c r="E118" s="48"/>
      <c r="F118" s="48"/>
      <c r="G118" s="48"/>
      <c r="H118" s="48"/>
      <c r="I118" s="25"/>
      <c r="J118" s="25"/>
      <c r="K118" s="25"/>
      <c r="L118" s="26"/>
      <c r="M118" s="16"/>
    </row>
    <row r="119" spans="1:13" x14ac:dyDescent="0.25">
      <c r="A119" s="91" t="s">
        <v>107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2"/>
      <c r="M119" s="16"/>
    </row>
    <row r="120" spans="1:13" ht="45" x14ac:dyDescent="0.25">
      <c r="A120" s="88" t="s">
        <v>86</v>
      </c>
      <c r="B120" s="88"/>
      <c r="C120" s="88"/>
      <c r="D120" s="88"/>
      <c r="E120" s="88"/>
      <c r="F120" s="82" t="s">
        <v>8</v>
      </c>
      <c r="G120" s="82" t="s">
        <v>68</v>
      </c>
      <c r="H120" s="82" t="s">
        <v>69</v>
      </c>
      <c r="I120" s="82" t="s">
        <v>79</v>
      </c>
      <c r="J120" s="82" t="s">
        <v>73</v>
      </c>
      <c r="K120" s="32" t="s">
        <v>74</v>
      </c>
      <c r="L120" s="33"/>
      <c r="M120" s="16"/>
    </row>
    <row r="121" spans="1:13" ht="15.75" thickBot="1" x14ac:dyDescent="0.3">
      <c r="A121" s="89" t="s">
        <v>108</v>
      </c>
      <c r="B121" s="89"/>
      <c r="C121" s="89"/>
      <c r="D121" s="89"/>
      <c r="E121" s="89"/>
      <c r="F121" s="15"/>
      <c r="G121" s="15"/>
      <c r="H121" s="12"/>
      <c r="I121" s="12">
        <f>17840*46.16%-5.22</f>
        <v>8229.7240000000002</v>
      </c>
      <c r="J121" s="15">
        <f>J117</f>
        <v>1300</v>
      </c>
      <c r="K121" s="61">
        <f>I121/J121</f>
        <v>6.330556923076923</v>
      </c>
      <c r="L121" s="35"/>
      <c r="M121" s="16"/>
    </row>
    <row r="122" spans="1:13" ht="15.75" hidden="1" thickBot="1" x14ac:dyDescent="0.3">
      <c r="A122" s="89" t="s">
        <v>93</v>
      </c>
      <c r="B122" s="89"/>
      <c r="C122" s="89"/>
      <c r="D122" s="89"/>
      <c r="E122" s="89"/>
      <c r="F122" s="15" t="s">
        <v>28</v>
      </c>
      <c r="G122" s="15"/>
      <c r="H122" s="12"/>
      <c r="I122" s="76">
        <f>G122*H122</f>
        <v>0</v>
      </c>
      <c r="J122" s="15">
        <f>J121</f>
        <v>1300</v>
      </c>
      <c r="K122" s="73">
        <f>I122/J122</f>
        <v>0</v>
      </c>
      <c r="L122" s="35"/>
      <c r="M122" s="16"/>
    </row>
    <row r="123" spans="1:13" ht="15.75" thickBot="1" x14ac:dyDescent="0.3">
      <c r="A123" s="86" t="s">
        <v>110</v>
      </c>
      <c r="B123" s="87"/>
      <c r="C123" s="87"/>
      <c r="D123" s="87"/>
      <c r="E123" s="87"/>
      <c r="F123" s="87"/>
      <c r="G123" s="87"/>
      <c r="H123" s="87"/>
      <c r="I123" s="74">
        <f>SUM(I121:I122)</f>
        <v>8229.7240000000002</v>
      </c>
      <c r="J123" s="77">
        <f>J121</f>
        <v>1300</v>
      </c>
      <c r="K123" s="74">
        <f t="shared" ref="K123" si="17">SUM(K121:K122)</f>
        <v>6.330556923076923</v>
      </c>
      <c r="L123" s="26"/>
      <c r="M123" s="22"/>
    </row>
    <row r="124" spans="1:13" s="2" customFormat="1" x14ac:dyDescent="0.25">
      <c r="A124" s="16"/>
      <c r="B124" s="16"/>
      <c r="C124" s="16"/>
      <c r="D124" s="16"/>
      <c r="E124" s="16"/>
      <c r="F124" s="57"/>
      <c r="G124" s="57"/>
      <c r="H124" s="57"/>
      <c r="I124" s="57"/>
      <c r="J124" s="57"/>
      <c r="K124" s="57"/>
      <c r="L124" s="57"/>
      <c r="M124" s="16"/>
    </row>
    <row r="125" spans="1:13" s="2" customFormat="1" ht="12.75" customHeight="1" x14ac:dyDescent="0.25">
      <c r="A125" s="91" t="s">
        <v>29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16"/>
    </row>
    <row r="126" spans="1:13" s="2" customFormat="1" ht="15" customHeight="1" x14ac:dyDescent="0.25">
      <c r="A126" s="116" t="s">
        <v>30</v>
      </c>
      <c r="B126" s="116"/>
      <c r="C126" s="116"/>
      <c r="D126" s="99" t="s">
        <v>31</v>
      </c>
      <c r="E126" s="100"/>
      <c r="F126" s="100"/>
      <c r="G126" s="100"/>
      <c r="H126" s="100"/>
      <c r="I126" s="100"/>
      <c r="J126" s="101"/>
      <c r="K126" s="116" t="s">
        <v>41</v>
      </c>
      <c r="L126" s="116"/>
      <c r="M126" s="16"/>
    </row>
    <row r="127" spans="1:13" s="2" customFormat="1" ht="30.75" thickBot="1" x14ac:dyDescent="0.3">
      <c r="A127" s="15" t="s">
        <v>32</v>
      </c>
      <c r="B127" s="29" t="s">
        <v>33</v>
      </c>
      <c r="C127" s="15" t="s">
        <v>34</v>
      </c>
      <c r="D127" s="15" t="s">
        <v>35</v>
      </c>
      <c r="E127" s="15" t="s">
        <v>36</v>
      </c>
      <c r="F127" s="15" t="s">
        <v>37</v>
      </c>
      <c r="G127" s="15" t="s">
        <v>38</v>
      </c>
      <c r="H127" s="15" t="s">
        <v>122</v>
      </c>
      <c r="I127" s="15" t="s">
        <v>39</v>
      </c>
      <c r="J127" s="15" t="s">
        <v>40</v>
      </c>
      <c r="K127" s="117"/>
      <c r="L127" s="117"/>
      <c r="M127" s="16"/>
    </row>
    <row r="128" spans="1:13" s="2" customFormat="1" ht="15.75" thickBot="1" x14ac:dyDescent="0.3">
      <c r="A128" s="15">
        <f>K59</f>
        <v>3638.2278656769226</v>
      </c>
      <c r="B128" s="15"/>
      <c r="C128" s="15"/>
      <c r="D128" s="15">
        <f>K68</f>
        <v>677.69713455384613</v>
      </c>
      <c r="E128" s="15">
        <f>K79</f>
        <v>59.570545230769213</v>
      </c>
      <c r="F128" s="15"/>
      <c r="G128" s="15">
        <f>K87</f>
        <v>10.048676923076922</v>
      </c>
      <c r="H128" s="15">
        <f>K105</f>
        <v>23.825661538461535</v>
      </c>
      <c r="I128" s="15">
        <f>K99</f>
        <v>392.8602820153846</v>
      </c>
      <c r="J128" s="61">
        <f>K117+K123</f>
        <v>17.749830769230769</v>
      </c>
      <c r="K128" s="111">
        <f>SUM(A128:J128)</f>
        <v>4819.9799967076915</v>
      </c>
      <c r="L128" s="112"/>
      <c r="M128" s="16"/>
    </row>
    <row r="129" spans="1:14" s="2" customFormat="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4" ht="16.5" thickBot="1" x14ac:dyDescent="0.3">
      <c r="A130" s="49" t="s">
        <v>64</v>
      </c>
      <c r="B130" s="50"/>
      <c r="C130" s="50"/>
      <c r="D130" s="50"/>
      <c r="E130" s="50"/>
      <c r="F130" s="113" t="str">
        <f>'Услуга №1'!F120:H120</f>
        <v xml:space="preserve">          О.Е. Федичкина</v>
      </c>
      <c r="G130" s="114"/>
      <c r="H130" s="114"/>
      <c r="I130" s="16"/>
      <c r="J130" s="16"/>
      <c r="K130" s="16"/>
      <c r="L130" s="16"/>
      <c r="M130" s="16"/>
      <c r="N130" s="2"/>
    </row>
    <row r="131" spans="1:14" ht="15.75" thickBot="1" x14ac:dyDescent="0.3">
      <c r="A131" s="16"/>
      <c r="B131" s="16"/>
      <c r="C131" s="16"/>
      <c r="D131" s="16"/>
      <c r="E131" s="16"/>
      <c r="F131" s="16"/>
      <c r="G131" s="16"/>
      <c r="H131" s="16"/>
      <c r="I131" s="78">
        <f>I59+I68+I79+I87+I99+I105+I117+I123</f>
        <v>6265973.9957200009</v>
      </c>
      <c r="J131" s="16"/>
      <c r="K131" s="78">
        <f>K128*1300</f>
        <v>6265973.9957199991</v>
      </c>
      <c r="L131" s="16"/>
      <c r="M131" s="16"/>
      <c r="N131" s="2"/>
    </row>
    <row r="132" spans="1:14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2"/>
    </row>
    <row r="133" spans="1:14" x14ac:dyDescent="0.25">
      <c r="A133" s="52" t="str">
        <f>'Услуга №1'!A123:C123</f>
        <v>Лонская Клавдия Алексеевна</v>
      </c>
      <c r="B133" s="17"/>
      <c r="C133" s="52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2"/>
    </row>
    <row r="134" spans="1:14" x14ac:dyDescent="0.25">
      <c r="A134" s="5" t="s">
        <v>59</v>
      </c>
      <c r="C134" s="5"/>
      <c r="I134" s="17"/>
    </row>
  </sheetData>
  <mergeCells count="126">
    <mergeCell ref="A117:H117"/>
    <mergeCell ref="A119:L119"/>
    <mergeCell ref="A120:E120"/>
    <mergeCell ref="A121:E121"/>
    <mergeCell ref="A122:E122"/>
    <mergeCell ref="A123:H123"/>
    <mergeCell ref="A3:D3"/>
    <mergeCell ref="A4:F4"/>
    <mergeCell ref="A5:F5"/>
    <mergeCell ref="A8:M8"/>
    <mergeCell ref="A9:M9"/>
    <mergeCell ref="A21:E21"/>
    <mergeCell ref="G21:K21"/>
    <mergeCell ref="A22:E22"/>
    <mergeCell ref="G22:K22"/>
    <mergeCell ref="A23:E23"/>
    <mergeCell ref="G23:K23"/>
    <mergeCell ref="A10:M10"/>
    <mergeCell ref="A18:E18"/>
    <mergeCell ref="G18:K18"/>
    <mergeCell ref="A19:E19"/>
    <mergeCell ref="G19:K19"/>
    <mergeCell ref="A20:E20"/>
    <mergeCell ref="G20:K20"/>
    <mergeCell ref="A27:E27"/>
    <mergeCell ref="G27:K27"/>
    <mergeCell ref="A28:E28"/>
    <mergeCell ref="G28:K28"/>
    <mergeCell ref="A29:E29"/>
    <mergeCell ref="G29:K29"/>
    <mergeCell ref="A24:E24"/>
    <mergeCell ref="G24:K24"/>
    <mergeCell ref="A25:E25"/>
    <mergeCell ref="G25:K25"/>
    <mergeCell ref="A26:E26"/>
    <mergeCell ref="G26:K26"/>
    <mergeCell ref="A33:E33"/>
    <mergeCell ref="G33:K33"/>
    <mergeCell ref="A34:E34"/>
    <mergeCell ref="G34:K34"/>
    <mergeCell ref="A35:E35"/>
    <mergeCell ref="G35:K35"/>
    <mergeCell ref="A30:E30"/>
    <mergeCell ref="G30:K30"/>
    <mergeCell ref="A31:E31"/>
    <mergeCell ref="G31:K31"/>
    <mergeCell ref="A32:E32"/>
    <mergeCell ref="G32:K32"/>
    <mergeCell ref="A42:E42"/>
    <mergeCell ref="A43:E43"/>
    <mergeCell ref="A44:E44"/>
    <mergeCell ref="A45:E45"/>
    <mergeCell ref="A46:E46"/>
    <mergeCell ref="A47:E47"/>
    <mergeCell ref="A36:E36"/>
    <mergeCell ref="G36:K36"/>
    <mergeCell ref="A37:E37"/>
    <mergeCell ref="G37:K37"/>
    <mergeCell ref="A40:E40"/>
    <mergeCell ref="A41:E41"/>
    <mergeCell ref="A54:E54"/>
    <mergeCell ref="A55:E55"/>
    <mergeCell ref="A56:E56"/>
    <mergeCell ref="A57:E57"/>
    <mergeCell ref="A58:E58"/>
    <mergeCell ref="A59:E59"/>
    <mergeCell ref="A48:E48"/>
    <mergeCell ref="A49:E49"/>
    <mergeCell ref="A50:E50"/>
    <mergeCell ref="A51:E51"/>
    <mergeCell ref="A52:E52"/>
    <mergeCell ref="A53:E53"/>
    <mergeCell ref="A67:E67"/>
    <mergeCell ref="A68:H68"/>
    <mergeCell ref="A70:L70"/>
    <mergeCell ref="A71:E71"/>
    <mergeCell ref="A72:E72"/>
    <mergeCell ref="A73:E73"/>
    <mergeCell ref="A61:L61"/>
    <mergeCell ref="A62:E62"/>
    <mergeCell ref="A63:E63"/>
    <mergeCell ref="A64:E64"/>
    <mergeCell ref="A65:E65"/>
    <mergeCell ref="A66:E66"/>
    <mergeCell ref="A81:L81"/>
    <mergeCell ref="A82:E82"/>
    <mergeCell ref="A83:E83"/>
    <mergeCell ref="A74:E74"/>
    <mergeCell ref="A75:E75"/>
    <mergeCell ref="A76:E76"/>
    <mergeCell ref="A77:E77"/>
    <mergeCell ref="A78:E78"/>
    <mergeCell ref="A79:H79"/>
    <mergeCell ref="A84:E84"/>
    <mergeCell ref="A85:E85"/>
    <mergeCell ref="A86:E86"/>
    <mergeCell ref="A87:H87"/>
    <mergeCell ref="A95:E95"/>
    <mergeCell ref="A96:E96"/>
    <mergeCell ref="A97:E97"/>
    <mergeCell ref="A98:E98"/>
    <mergeCell ref="A101:L101"/>
    <mergeCell ref="A102:E102"/>
    <mergeCell ref="A91:E91"/>
    <mergeCell ref="A90:L90"/>
    <mergeCell ref="A92:E92"/>
    <mergeCell ref="A93:E93"/>
    <mergeCell ref="A94:E94"/>
    <mergeCell ref="A110:E110"/>
    <mergeCell ref="A111:H111"/>
    <mergeCell ref="A113:L113"/>
    <mergeCell ref="A114:E114"/>
    <mergeCell ref="A115:E115"/>
    <mergeCell ref="A116:E116"/>
    <mergeCell ref="A103:E103"/>
    <mergeCell ref="A104:E104"/>
    <mergeCell ref="A105:H105"/>
    <mergeCell ref="A107:L107"/>
    <mergeCell ref="A108:E108"/>
    <mergeCell ref="A109:E109"/>
    <mergeCell ref="A125:L125"/>
    <mergeCell ref="A126:C126"/>
    <mergeCell ref="D126:J126"/>
    <mergeCell ref="K126:L127"/>
    <mergeCell ref="K128:L128"/>
    <mergeCell ref="F130:H130"/>
  </mergeCells>
  <pageMargins left="0.70866141732283472" right="0.52" top="0.49" bottom="0.35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Услуга №1</vt:lpstr>
      <vt:lpstr>Услуга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2021-12-23T11:41:59Z</dcterms:modified>
</cp:coreProperties>
</file>