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доп.обр." sheetId="1" r:id="rId1"/>
    <sheet name="свод" sheetId="2" r:id="rId2"/>
  </sheets>
  <definedNames>
    <definedName name="_xlnm.Print_Area" localSheetId="0">доп.обр.!$A$1:$O$50</definedName>
    <definedName name="_xlnm.Print_Area" localSheetId="1">свод!$A$1:$I$29</definedName>
  </definedNames>
  <calcPr calcId="124519"/>
</workbook>
</file>

<file path=xl/calcChain.xml><?xml version="1.0" encoding="utf-8"?>
<calcChain xmlns="http://schemas.openxmlformats.org/spreadsheetml/2006/main">
  <c r="H6" i="2"/>
  <c r="H26"/>
  <c r="F7"/>
  <c r="N9" i="1"/>
  <c r="H13" i="2" l="1"/>
  <c r="G26" s="1"/>
  <c r="H7"/>
  <c r="G27" s="1"/>
  <c r="G7"/>
  <c r="G6"/>
  <c r="N50" i="1" l="1"/>
  <c r="N49"/>
  <c r="T10"/>
  <c r="T9"/>
  <c r="S10"/>
  <c r="S9" l="1"/>
  <c r="R10"/>
  <c r="R9"/>
  <c r="Q10"/>
  <c r="Q9"/>
  <c r="N10"/>
  <c r="N17"/>
  <c r="N19"/>
  <c r="N18"/>
  <c r="B40"/>
  <c r="H27" i="2"/>
  <c r="Q18" i="1"/>
  <c r="Q19"/>
  <c r="C17" l="1"/>
  <c r="C20" l="1"/>
  <c r="C43"/>
  <c r="M45"/>
  <c r="L45"/>
  <c r="M44"/>
  <c r="L44"/>
  <c r="L43" s="1"/>
  <c r="M43" s="1"/>
  <c r="O43" s="1"/>
  <c r="K43"/>
  <c r="J43"/>
  <c r="I43"/>
  <c r="H43"/>
  <c r="G43"/>
  <c r="F43"/>
  <c r="E43"/>
  <c r="D43"/>
  <c r="B43"/>
  <c r="L42"/>
  <c r="L40" s="1"/>
  <c r="M40" s="1"/>
  <c r="L41"/>
  <c r="K40"/>
  <c r="J40"/>
  <c r="I40"/>
  <c r="H40"/>
  <c r="G40"/>
  <c r="F40"/>
  <c r="E40"/>
  <c r="D40"/>
  <c r="O40" l="1"/>
  <c r="I26" i="2"/>
  <c r="I22"/>
  <c r="E21"/>
  <c r="F21" s="1"/>
  <c r="G21" s="1"/>
  <c r="I21" s="1"/>
  <c r="H28" l="1"/>
  <c r="I27"/>
  <c r="I28" s="1"/>
  <c r="G28"/>
  <c r="G13" l="1"/>
  <c r="H8" l="1"/>
  <c r="L9" i="1"/>
  <c r="M9" s="1"/>
  <c r="M49" s="1"/>
  <c r="O49" s="1"/>
  <c r="Q6" l="1"/>
  <c r="H15" i="2" l="1"/>
  <c r="B15"/>
  <c r="B8"/>
  <c r="L22" i="1" l="1"/>
  <c r="M22" s="1"/>
  <c r="L21"/>
  <c r="M21" s="1"/>
  <c r="K20"/>
  <c r="J20"/>
  <c r="I20"/>
  <c r="H20"/>
  <c r="G20"/>
  <c r="F20"/>
  <c r="E20"/>
  <c r="D20"/>
  <c r="B20"/>
  <c r="L19"/>
  <c r="L18"/>
  <c r="K17"/>
  <c r="J17"/>
  <c r="I17"/>
  <c r="H17"/>
  <c r="G17"/>
  <c r="F17"/>
  <c r="E17"/>
  <c r="R17" s="1"/>
  <c r="D17"/>
  <c r="B17"/>
  <c r="Q17" s="1"/>
  <c r="E14" i="2"/>
  <c r="F14" s="1"/>
  <c r="I13"/>
  <c r="E13"/>
  <c r="E7"/>
  <c r="I6"/>
  <c r="E6"/>
  <c r="I14" l="1"/>
  <c r="G14"/>
  <c r="S17" i="1"/>
  <c r="M19"/>
  <c r="O19" s="1"/>
  <c r="M18"/>
  <c r="O18" s="1"/>
  <c r="I7" i="2"/>
  <c r="L20" i="1"/>
  <c r="M20" s="1"/>
  <c r="L17"/>
  <c r="M17" s="1"/>
  <c r="O20" l="1"/>
  <c r="O17" l="1"/>
  <c r="L10"/>
  <c r="M10" s="1"/>
  <c r="M50" s="1"/>
  <c r="O50" s="1"/>
  <c r="O10" l="1"/>
  <c r="O9"/>
</calcChain>
</file>

<file path=xl/sharedStrings.xml><?xml version="1.0" encoding="utf-8"?>
<sst xmlns="http://schemas.openxmlformats.org/spreadsheetml/2006/main" count="119" uniqueCount="42">
  <si>
    <t>УТВЕРЖДЕНИЕ БАЗОВОГО НОРМАТИВА</t>
  </si>
  <si>
    <t>ЗАТРАТЫ НЕПОСРЕДСТВЕННО СВЯЗАННЫЕ С ОКАЗАНИЕМ УСЛУГИ, РУБ.</t>
  </si>
  <si>
    <t>Оплата труда (ОТ1)</t>
  </si>
  <si>
    <t>Наименование учреждения</t>
  </si>
  <si>
    <t>Материальные запасы и особо ценное движемое имущество (МЗ и ОЦДИ)</t>
  </si>
  <si>
    <t>Иные затраты (ИНЗ)</t>
  </si>
  <si>
    <t>СЮТ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</si>
  <si>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</si>
  <si>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</si>
  <si>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</si>
  <si>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</si>
  <si>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</si>
  <si>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</si>
  <si>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</si>
  <si>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</si>
  <si>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</si>
  <si>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методом эффективного учреждения</t>
  </si>
  <si>
    <t>по норме</t>
  </si>
  <si>
    <t>в бюджете</t>
  </si>
  <si>
    <t>УСЛУГА "Организация отдыха детей и молодежи"</t>
  </si>
  <si>
    <t>Наименования учреждений</t>
  </si>
  <si>
    <t>Объем</t>
  </si>
  <si>
    <t>Базовый норматив</t>
  </si>
  <si>
    <t>Базовый норматив методом эффективного учреждения</t>
  </si>
  <si>
    <t>Расчет субсидии</t>
  </si>
  <si>
    <t>коэффициент выравнивания</t>
  </si>
  <si>
    <t>краевой бюджет</t>
  </si>
  <si>
    <t>муниципальный бюджет</t>
  </si>
  <si>
    <t>ИТОГО</t>
  </si>
  <si>
    <t>доведено бюджетом</t>
  </si>
  <si>
    <t>мун.бюджет</t>
  </si>
  <si>
    <t>ДШ</t>
  </si>
  <si>
    <t>УСЛУГА "Реализация дополнительных общеразвивающих программ"</t>
  </si>
  <si>
    <t>УСЛУГА "Реализация дополнительных  общеразвивающих программ"</t>
  </si>
  <si>
    <t>з,плата</t>
  </si>
  <si>
    <t>коммун.</t>
  </si>
  <si>
    <t>прочие</t>
  </si>
  <si>
    <t>РАБОТА "Методическое обеспечение образовательной деятельности"</t>
  </si>
  <si>
    <t>роспись</t>
  </si>
  <si>
    <t>отклонение</t>
  </si>
  <si>
    <t>НЗ</t>
  </si>
  <si>
    <t>услуги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</si>
</sst>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000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u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2" fontId="1" fillId="0" borderId="0" xfId="0" applyNumberFormat="1" applyFont="1"/>
    <xf numFmtId="2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8" xfId="0" applyBorder="1"/>
    <xf numFmtId="164" fontId="0" fillId="0" borderId="8" xfId="0" applyNumberFormat="1" applyBorder="1"/>
    <xf numFmtId="0" fontId="10" fillId="0" borderId="0" xfId="0" applyFont="1"/>
    <xf numFmtId="0" fontId="0" fillId="0" borderId="9" xfId="0" applyBorder="1"/>
    <xf numFmtId="0" fontId="0" fillId="0" borderId="10" xfId="0" applyBorder="1"/>
    <xf numFmtId="0" fontId="2" fillId="0" borderId="11" xfId="0" applyFont="1" applyBorder="1" applyAlignment="1">
      <alignment horizontal="center" vertical="center"/>
    </xf>
    <xf numFmtId="0" fontId="1" fillId="0" borderId="2" xfId="0" applyFont="1" applyBorder="1"/>
    <xf numFmtId="0" fontId="0" fillId="3" borderId="0" xfId="0" applyFill="1"/>
    <xf numFmtId="165" fontId="0" fillId="0" borderId="0" xfId="0" applyNumberFormat="1"/>
    <xf numFmtId="165" fontId="1" fillId="0" borderId="0" xfId="0" applyNumberFormat="1" applyFont="1"/>
    <xf numFmtId="165" fontId="0" fillId="0" borderId="8" xfId="0" applyNumberFormat="1" applyBorder="1"/>
    <xf numFmtId="164" fontId="0" fillId="0" borderId="0" xfId="0" applyNumberFormat="1"/>
    <xf numFmtId="164" fontId="0" fillId="3" borderId="8" xfId="0" applyNumberFormat="1" applyFill="1" applyBorder="1"/>
    <xf numFmtId="165" fontId="3" fillId="0" borderId="1" xfId="0" applyNumberFormat="1" applyFont="1" applyBorder="1"/>
    <xf numFmtId="165" fontId="1" fillId="0" borderId="1" xfId="0" applyNumberFormat="1" applyFont="1" applyBorder="1"/>
    <xf numFmtId="165" fontId="3" fillId="0" borderId="3" xfId="0" applyNumberFormat="1" applyFont="1" applyBorder="1"/>
    <xf numFmtId="165" fontId="1" fillId="0" borderId="3" xfId="0" applyNumberFormat="1" applyFont="1" applyBorder="1"/>
    <xf numFmtId="165" fontId="3" fillId="0" borderId="4" xfId="0" applyNumberFormat="1" applyFont="1" applyBorder="1"/>
    <xf numFmtId="165" fontId="3" fillId="0" borderId="12" xfId="0" applyNumberFormat="1" applyFont="1" applyBorder="1"/>
    <xf numFmtId="165" fontId="3" fillId="0" borderId="6" xfId="0" applyNumberFormat="1" applyFont="1" applyBorder="1"/>
    <xf numFmtId="165" fontId="1" fillId="0" borderId="6" xfId="0" applyNumberFormat="1" applyFont="1" applyBorder="1"/>
    <xf numFmtId="165" fontId="3" fillId="0" borderId="7" xfId="0" applyNumberFormat="1" applyFont="1" applyBorder="1"/>
    <xf numFmtId="0" fontId="0" fillId="3" borderId="1" xfId="0" applyFont="1" applyFill="1" applyBorder="1"/>
    <xf numFmtId="165" fontId="0" fillId="3" borderId="1" xfId="0" applyNumberFormat="1" applyFont="1" applyFill="1" applyBorder="1"/>
    <xf numFmtId="164" fontId="0" fillId="3" borderId="1" xfId="0" applyNumberFormat="1" applyFont="1" applyFill="1" applyBorder="1"/>
    <xf numFmtId="165" fontId="11" fillId="3" borderId="1" xfId="0" applyNumberFormat="1" applyFont="1" applyFill="1" applyBorder="1"/>
    <xf numFmtId="0" fontId="9" fillId="0" borderId="6" xfId="0" applyFont="1" applyBorder="1" applyAlignment="1">
      <alignment horizontal="center" vertical="center" wrapText="1"/>
    </xf>
    <xf numFmtId="0" fontId="12" fillId="3" borderId="8" xfId="0" applyFont="1" applyFill="1" applyBorder="1"/>
    <xf numFmtId="164" fontId="12" fillId="3" borderId="8" xfId="0" applyNumberFormat="1" applyFont="1" applyFill="1" applyBorder="1"/>
    <xf numFmtId="165" fontId="12" fillId="3" borderId="8" xfId="0" applyNumberFormat="1" applyFont="1" applyFill="1" applyBorder="1"/>
    <xf numFmtId="0" fontId="12" fillId="3" borderId="0" xfId="0" applyFont="1" applyFill="1"/>
    <xf numFmtId="0" fontId="0" fillId="2" borderId="1" xfId="0" applyFill="1" applyBorder="1"/>
    <xf numFmtId="164" fontId="13" fillId="0" borderId="8" xfId="0" applyNumberFormat="1" applyFont="1" applyBorder="1"/>
    <xf numFmtId="0" fontId="0" fillId="2" borderId="0" xfId="0" applyFill="1"/>
    <xf numFmtId="164" fontId="0" fillId="2" borderId="8" xfId="0" applyNumberFormat="1" applyFill="1" applyBorder="1"/>
    <xf numFmtId="0" fontId="1" fillId="4" borderId="0" xfId="0" applyFont="1" applyFill="1"/>
    <xf numFmtId="165" fontId="14" fillId="0" borderId="1" xfId="0" applyNumberFormat="1" applyFont="1" applyBorder="1"/>
    <xf numFmtId="165" fontId="14" fillId="0" borderId="6" xfId="0" applyNumberFormat="1" applyFont="1" applyBorder="1"/>
    <xf numFmtId="2" fontId="1" fillId="4" borderId="0" xfId="0" applyNumberFormat="1" applyFont="1" applyFill="1"/>
    <xf numFmtId="0" fontId="5" fillId="4" borderId="0" xfId="0" applyFont="1" applyFill="1"/>
    <xf numFmtId="165" fontId="14" fillId="0" borderId="3" xfId="0" applyNumberFormat="1" applyFont="1" applyBorder="1"/>
    <xf numFmtId="164" fontId="0" fillId="4" borderId="0" xfId="0" applyNumberFormat="1" applyFill="1"/>
    <xf numFmtId="0" fontId="0" fillId="4" borderId="0" xfId="0" applyFill="1"/>
    <xf numFmtId="4" fontId="0" fillId="0" borderId="0" xfId="0" applyNumberFormat="1"/>
    <xf numFmtId="164" fontId="1" fillId="0" borderId="0" xfId="0" applyNumberFormat="1" applyFont="1"/>
    <xf numFmtId="2" fontId="1" fillId="5" borderId="0" xfId="0" applyNumberFormat="1" applyFont="1" applyFill="1"/>
    <xf numFmtId="0" fontId="1" fillId="5" borderId="0" xfId="0" applyFont="1" applyFill="1"/>
    <xf numFmtId="0" fontId="5" fillId="5" borderId="0" xfId="0" applyFont="1" applyFill="1"/>
    <xf numFmtId="0" fontId="0" fillId="5" borderId="8" xfId="0" applyFill="1" applyBorder="1"/>
    <xf numFmtId="0" fontId="12" fillId="5" borderId="8" xfId="0" applyFont="1" applyFill="1" applyBorder="1"/>
    <xf numFmtId="0" fontId="0" fillId="5" borderId="1" xfId="0" applyFont="1" applyFill="1" applyBorder="1"/>
    <xf numFmtId="165" fontId="15" fillId="3" borderId="8" xfId="0" applyNumberFormat="1" applyFont="1" applyFill="1" applyBorder="1"/>
    <xf numFmtId="165" fontId="15" fillId="3" borderId="1" xfId="0" applyNumberFormat="1" applyFont="1" applyFill="1" applyBorder="1"/>
    <xf numFmtId="0" fontId="12" fillId="3" borderId="1" xfId="0" applyFont="1" applyFill="1" applyBorder="1"/>
    <xf numFmtId="0" fontId="12" fillId="5" borderId="1" xfId="0" applyFont="1" applyFill="1" applyBorder="1"/>
    <xf numFmtId="165" fontId="16" fillId="3" borderId="1" xfId="0" applyNumberFormat="1" applyFont="1" applyFill="1" applyBorder="1"/>
    <xf numFmtId="164" fontId="16" fillId="3" borderId="1" xfId="0" applyNumberFormat="1" applyFont="1" applyFill="1" applyBorder="1"/>
    <xf numFmtId="165" fontId="12" fillId="3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T55"/>
  <sheetViews>
    <sheetView workbookViewId="0">
      <selection activeCell="N10" sqref="N10"/>
    </sheetView>
  </sheetViews>
  <sheetFormatPr defaultRowHeight="15"/>
  <cols>
    <col min="1" max="1" width="11.42578125" style="1" customWidth="1"/>
    <col min="2" max="2" width="13.28515625" style="1" customWidth="1"/>
    <col min="3" max="3" width="14.42578125" style="1" customWidth="1"/>
    <col min="4" max="4" width="14" style="1" customWidth="1"/>
    <col min="5" max="5" width="11.5703125" style="1" bestFit="1" customWidth="1"/>
    <col min="6" max="6" width="10.85546875" style="1" customWidth="1"/>
    <col min="7" max="7" width="12.42578125" style="1" customWidth="1"/>
    <col min="8" max="8" width="9.28515625" style="1" bestFit="1" customWidth="1"/>
    <col min="9" max="9" width="7.5703125" style="1" customWidth="1"/>
    <col min="10" max="10" width="11.5703125" style="1" bestFit="1" customWidth="1"/>
    <col min="11" max="11" width="11.28515625" style="1" customWidth="1"/>
    <col min="12" max="12" width="14.85546875" style="1" customWidth="1"/>
    <col min="13" max="13" width="16.42578125" style="1" customWidth="1"/>
    <col min="14" max="14" width="16.7109375" style="1" customWidth="1"/>
    <col min="15" max="15" width="9.140625" customWidth="1"/>
    <col min="17" max="17" width="16.85546875" bestFit="1" customWidth="1"/>
    <col min="18" max="18" width="9.28515625" bestFit="1" customWidth="1"/>
    <col min="19" max="19" width="9.85546875" bestFit="1" customWidth="1"/>
    <col min="20" max="20" width="13.7109375" bestFit="1" customWidth="1"/>
  </cols>
  <sheetData>
    <row r="2" spans="1:20">
      <c r="A2" s="1" t="s">
        <v>0</v>
      </c>
    </row>
    <row r="4" spans="1:20">
      <c r="A4" s="7" t="s">
        <v>33</v>
      </c>
      <c r="G4"/>
      <c r="O4" s="1"/>
      <c r="P4" s="1"/>
      <c r="Q4" s="1"/>
      <c r="R4" s="1"/>
    </row>
    <row r="6" spans="1:20" ht="46.5" customHeight="1">
      <c r="A6" s="72" t="s">
        <v>3</v>
      </c>
      <c r="B6" s="73" t="s">
        <v>1</v>
      </c>
      <c r="C6" s="73"/>
      <c r="D6" s="73"/>
      <c r="E6" s="72" t="s">
        <v>7</v>
      </c>
      <c r="F6" s="72"/>
      <c r="G6" s="72"/>
      <c r="H6" s="72"/>
      <c r="I6" s="72"/>
      <c r="J6" s="72"/>
      <c r="K6" s="72"/>
      <c r="L6" s="72" t="s">
        <v>15</v>
      </c>
      <c r="Q6">
        <f>B9*125064</f>
        <v>13598442.589679999</v>
      </c>
    </row>
    <row r="7" spans="1:20" ht="102" customHeight="1">
      <c r="A7" s="72"/>
      <c r="B7" s="2" t="s">
        <v>2</v>
      </c>
      <c r="C7" s="2" t="s">
        <v>4</v>
      </c>
      <c r="D7" s="2" t="s">
        <v>5</v>
      </c>
      <c r="E7" s="2" t="s">
        <v>8</v>
      </c>
      <c r="F7" s="2" t="s">
        <v>9</v>
      </c>
      <c r="G7" s="2" t="s">
        <v>10</v>
      </c>
      <c r="H7" s="2" t="s">
        <v>11</v>
      </c>
      <c r="I7" s="2" t="s">
        <v>12</v>
      </c>
      <c r="J7" s="2" t="s">
        <v>13</v>
      </c>
      <c r="K7" s="2" t="s">
        <v>14</v>
      </c>
      <c r="L7" s="72"/>
      <c r="M7" s="1" t="s">
        <v>17</v>
      </c>
      <c r="N7" s="1" t="s">
        <v>18</v>
      </c>
      <c r="Q7" t="s">
        <v>34</v>
      </c>
      <c r="R7" t="s">
        <v>35</v>
      </c>
      <c r="S7" t="s">
        <v>36</v>
      </c>
    </row>
    <row r="8" spans="1:20" ht="10.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</row>
    <row r="9" spans="1:20">
      <c r="A9" s="4" t="s">
        <v>31</v>
      </c>
      <c r="B9" s="27">
        <v>108.73187</v>
      </c>
      <c r="C9" s="28">
        <v>0.68430999999999997</v>
      </c>
      <c r="D9" s="28">
        <v>1.28399</v>
      </c>
      <c r="E9" s="27">
        <v>11.573320000000001</v>
      </c>
      <c r="F9" s="27">
        <v>8.3088700000000006</v>
      </c>
      <c r="G9" s="28">
        <v>0.40518999999999999</v>
      </c>
      <c r="H9" s="28">
        <v>0.46221000000000001</v>
      </c>
      <c r="I9" s="28">
        <v>0</v>
      </c>
      <c r="J9" s="28">
        <v>72.171250000000001</v>
      </c>
      <c r="K9" s="28">
        <v>1.1042099999999999</v>
      </c>
      <c r="L9" s="27">
        <f>B9+C9+D9+E9+F9+G9+H9+I9+J9+K9</f>
        <v>204.72522000000001</v>
      </c>
      <c r="M9" s="59">
        <f>L9*66636</f>
        <v>13642069.759920001</v>
      </c>
      <c r="N9" s="49">
        <f>10617700+9450+4245790-1236400+5530</f>
        <v>13642070</v>
      </c>
      <c r="O9" s="6">
        <f>N9-M9</f>
        <v>0.24007999897003174</v>
      </c>
      <c r="Q9" s="55">
        <f>(B9+J9)*66636</f>
        <v>12054660.30432</v>
      </c>
      <c r="R9" s="56">
        <f>E9*66636</f>
        <v>771199.75152000005</v>
      </c>
      <c r="S9">
        <f>(C9+D9+F9+G9+H9+K9)*66636</f>
        <v>816209.70408000005</v>
      </c>
      <c r="T9" s="57">
        <f>13636540-Q9-R9</f>
        <v>810679.94415999984</v>
      </c>
    </row>
    <row r="10" spans="1:20">
      <c r="A10" s="4" t="s">
        <v>6</v>
      </c>
      <c r="B10" s="27">
        <v>194.26161999999999</v>
      </c>
      <c r="C10" s="28">
        <v>3.9076300000000002</v>
      </c>
      <c r="D10" s="28">
        <v>4.10243</v>
      </c>
      <c r="E10" s="27">
        <v>9.5982400000000005</v>
      </c>
      <c r="F10" s="27">
        <v>8.6311999999999998</v>
      </c>
      <c r="G10" s="28">
        <v>14.208019999999999</v>
      </c>
      <c r="H10" s="28">
        <v>0.76531000000000005</v>
      </c>
      <c r="I10" s="28">
        <v>0</v>
      </c>
      <c r="J10" s="28">
        <v>131.32543999999999</v>
      </c>
      <c r="K10" s="28">
        <v>4.0979299999999999</v>
      </c>
      <c r="L10" s="27">
        <f>B10+C10+D10+E10+F10+G10+H10+I10+J10+K10</f>
        <v>370.89782000000002</v>
      </c>
      <c r="M10" s="60">
        <f>L10*28224</f>
        <v>10468220.07168</v>
      </c>
      <c r="N10" s="49">
        <f>4472100+6900+5989220</f>
        <v>10468220</v>
      </c>
      <c r="O10" s="6">
        <f>N10-M10</f>
        <v>-7.1680000051856041E-2</v>
      </c>
      <c r="Q10" s="55">
        <f>(B10+J10)*28224</f>
        <v>9189369.1814399995</v>
      </c>
      <c r="R10" s="56">
        <f>E10*28224</f>
        <v>270900.72576</v>
      </c>
      <c r="S10">
        <f>(C10+D10+F10+G10+H10+K10)*28224</f>
        <v>1007950.1644799999</v>
      </c>
      <c r="T10" s="57">
        <f>10468220-Q10-R10</f>
        <v>1007950.0928000004</v>
      </c>
    </row>
    <row r="11" spans="1:20">
      <c r="M11" s="60"/>
      <c r="N11" s="49"/>
    </row>
    <row r="12" spans="1:20" s="10" customFormat="1">
      <c r="A12" s="8" t="s">
        <v>19</v>
      </c>
      <c r="B12" s="9"/>
      <c r="C12" s="9"/>
      <c r="D12" s="9"/>
      <c r="E12" s="9"/>
      <c r="F12" s="9"/>
      <c r="I12" s="9"/>
      <c r="J12" s="9"/>
      <c r="K12" s="9"/>
      <c r="L12" s="9"/>
      <c r="M12" s="61"/>
      <c r="N12" s="53"/>
      <c r="O12" s="9"/>
      <c r="P12" s="9"/>
      <c r="Q12" s="9"/>
      <c r="R12" s="9"/>
      <c r="S12" s="9"/>
    </row>
    <row r="13" spans="1:20">
      <c r="M13" s="60"/>
      <c r="N13" s="49"/>
    </row>
    <row r="14" spans="1:20" ht="48.4" customHeight="1">
      <c r="A14" s="72" t="s">
        <v>3</v>
      </c>
      <c r="B14" s="73" t="s">
        <v>1</v>
      </c>
      <c r="C14" s="73"/>
      <c r="D14" s="73"/>
      <c r="E14" s="72" t="s">
        <v>7</v>
      </c>
      <c r="F14" s="72"/>
      <c r="G14" s="72"/>
      <c r="H14" s="72"/>
      <c r="I14" s="72"/>
      <c r="J14" s="72"/>
      <c r="K14" s="72"/>
      <c r="L14" s="72" t="s">
        <v>15</v>
      </c>
      <c r="M14" s="60"/>
      <c r="N14" s="49"/>
    </row>
    <row r="15" spans="1:20" ht="102" customHeight="1">
      <c r="A15" s="72"/>
      <c r="B15" s="2" t="s">
        <v>2</v>
      </c>
      <c r="C15" s="2" t="s">
        <v>4</v>
      </c>
      <c r="D15" s="2" t="s">
        <v>5</v>
      </c>
      <c r="E15" s="2" t="s">
        <v>8</v>
      </c>
      <c r="F15" s="2" t="s">
        <v>9</v>
      </c>
      <c r="G15" s="2" t="s">
        <v>10</v>
      </c>
      <c r="H15" s="2" t="s">
        <v>11</v>
      </c>
      <c r="I15" s="2" t="s">
        <v>12</v>
      </c>
      <c r="J15" s="2" t="s">
        <v>13</v>
      </c>
      <c r="K15" s="2" t="s">
        <v>14</v>
      </c>
      <c r="L15" s="72"/>
      <c r="M15" s="49" t="s">
        <v>17</v>
      </c>
      <c r="N15" s="49" t="s">
        <v>18</v>
      </c>
    </row>
    <row r="16" spans="1:20" ht="10.5" customHeight="1" thickBot="1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49"/>
      <c r="N16" s="49"/>
    </row>
    <row r="17" spans="1:19">
      <c r="A17" s="20" t="s">
        <v>31</v>
      </c>
      <c r="B17" s="27">
        <f>B18+B19</f>
        <v>15746.663189999999</v>
      </c>
      <c r="C17" s="30">
        <f>C18+C19</f>
        <v>5072.8396400000001</v>
      </c>
      <c r="D17" s="30">
        <f>D18+D19</f>
        <v>1944.5526500000001</v>
      </c>
      <c r="E17" s="29">
        <f t="shared" ref="E17:L17" si="0">E18+E19</f>
        <v>668.59744999999998</v>
      </c>
      <c r="F17" s="54">
        <f t="shared" si="0"/>
        <v>1438.25443</v>
      </c>
      <c r="G17" s="30">
        <f t="shared" si="0"/>
        <v>474.08463</v>
      </c>
      <c r="H17" s="30">
        <f t="shared" si="0"/>
        <v>6.6815100000000003</v>
      </c>
      <c r="I17" s="30">
        <f t="shared" si="0"/>
        <v>0</v>
      </c>
      <c r="J17" s="30">
        <f t="shared" si="0"/>
        <v>0</v>
      </c>
      <c r="K17" s="30">
        <f t="shared" si="0"/>
        <v>447.83963999999997</v>
      </c>
      <c r="L17" s="31">
        <f t="shared" si="0"/>
        <v>25799.513139999999</v>
      </c>
      <c r="M17" s="52">
        <f>L17*449</f>
        <v>11583981.39986</v>
      </c>
      <c r="N17" s="49">
        <f>4364140+6577050+459500+500+182791</f>
        <v>11583981</v>
      </c>
      <c r="O17" s="6">
        <f>N17-M17</f>
        <v>-0.39986000023782253</v>
      </c>
      <c r="Q17" s="47">
        <f>B17*449</f>
        <v>7070251.7723099999</v>
      </c>
      <c r="R17" s="47">
        <f>E17*449</f>
        <v>300200.25504999998</v>
      </c>
      <c r="S17">
        <f>(C17+D17+F17+G17+H17+K17)*449</f>
        <v>4213529.3725000005</v>
      </c>
    </row>
    <row r="18" spans="1:19">
      <c r="A18" s="17" t="s">
        <v>26</v>
      </c>
      <c r="B18" s="27">
        <v>9108.95694</v>
      </c>
      <c r="C18" s="28">
        <v>5072.8396400000001</v>
      </c>
      <c r="D18" s="28">
        <v>1896.91399</v>
      </c>
      <c r="E18" s="27"/>
      <c r="F18" s="27"/>
      <c r="G18" s="28"/>
      <c r="H18" s="28"/>
      <c r="I18" s="28"/>
      <c r="J18" s="28"/>
      <c r="K18" s="28"/>
      <c r="L18" s="32">
        <f>SUM(B18:K18)</f>
        <v>16078.710569999999</v>
      </c>
      <c r="M18" s="52">
        <f t="shared" ref="M18:M19" si="1">L18*449</f>
        <v>7219341.04593</v>
      </c>
      <c r="N18" s="49">
        <f>6577050+459500+182791</f>
        <v>7219341</v>
      </c>
      <c r="O18" s="6">
        <f t="shared" ref="O18:O19" si="2">N18-M18</f>
        <v>-4.5930000022053719E-2</v>
      </c>
      <c r="Q18" s="47">
        <f t="shared" ref="Q18:Q19" si="3">B18*449</f>
        <v>4089921.6660600002</v>
      </c>
    </row>
    <row r="19" spans="1:19" ht="15.75" thickBot="1">
      <c r="A19" s="18" t="s">
        <v>30</v>
      </c>
      <c r="B19" s="33">
        <v>6637.7062500000002</v>
      </c>
      <c r="C19" s="34">
        <v>0</v>
      </c>
      <c r="D19" s="34">
        <v>47.638660000000002</v>
      </c>
      <c r="E19" s="33">
        <v>668.59744999999998</v>
      </c>
      <c r="F19" s="51">
        <v>1438.25443</v>
      </c>
      <c r="G19" s="34">
        <v>474.08463</v>
      </c>
      <c r="H19" s="34">
        <v>6.6815100000000003</v>
      </c>
      <c r="I19" s="34">
        <v>0</v>
      </c>
      <c r="J19" s="34"/>
      <c r="K19" s="34">
        <v>447.83963999999997</v>
      </c>
      <c r="L19" s="35">
        <f>SUM(B19:K19)</f>
        <v>9720.8025699999998</v>
      </c>
      <c r="M19" s="52">
        <f t="shared" si="1"/>
        <v>4364640.3539300002</v>
      </c>
      <c r="N19" s="49">
        <f>500+4364140</f>
        <v>4364640</v>
      </c>
      <c r="O19" s="6">
        <f t="shared" si="2"/>
        <v>-0.35393000021576881</v>
      </c>
      <c r="Q19" s="47">
        <f t="shared" si="3"/>
        <v>2980330.1062500002</v>
      </c>
    </row>
    <row r="20" spans="1:19">
      <c r="A20" s="20" t="s">
        <v>6</v>
      </c>
      <c r="B20" s="29">
        <f>B21+B22</f>
        <v>0</v>
      </c>
      <c r="C20" s="30">
        <f>C21+C22</f>
        <v>2616.3166700000002</v>
      </c>
      <c r="D20" s="30">
        <f>D21+D22</f>
        <v>0</v>
      </c>
      <c r="E20" s="29">
        <f t="shared" ref="E20" si="4">E21+E22</f>
        <v>0</v>
      </c>
      <c r="F20" s="29">
        <f t="shared" ref="F20" si="5">F21+F22</f>
        <v>0</v>
      </c>
      <c r="G20" s="30">
        <f t="shared" ref="G20" si="6">G21+G22</f>
        <v>0</v>
      </c>
      <c r="H20" s="30">
        <f t="shared" ref="H20" si="7">H21+H22</f>
        <v>0</v>
      </c>
      <c r="I20" s="30">
        <f t="shared" ref="I20" si="8">I21+I22</f>
        <v>0</v>
      </c>
      <c r="J20" s="30">
        <f t="shared" ref="J20" si="9">J21+J22</f>
        <v>0</v>
      </c>
      <c r="K20" s="30">
        <f t="shared" ref="K20" si="10">K21+K22</f>
        <v>0</v>
      </c>
      <c r="L20" s="31">
        <f t="shared" ref="L20" si="11">L21+L22</f>
        <v>2616.3166700000002</v>
      </c>
      <c r="M20" s="52">
        <f>L20*60</f>
        <v>156979.00020000001</v>
      </c>
      <c r="N20" s="49">
        <v>156979</v>
      </c>
      <c r="O20" s="6">
        <f>N20-M20</f>
        <v>-2.0000000949949026E-4</v>
      </c>
    </row>
    <row r="21" spans="1:19">
      <c r="A21" s="17" t="s">
        <v>26</v>
      </c>
      <c r="B21" s="27"/>
      <c r="C21" s="28">
        <v>2616.3166700000002</v>
      </c>
      <c r="D21" s="28"/>
      <c r="E21" s="27"/>
      <c r="F21" s="27"/>
      <c r="G21" s="28"/>
      <c r="H21" s="28"/>
      <c r="I21" s="28"/>
      <c r="J21" s="28"/>
      <c r="K21" s="28"/>
      <c r="L21" s="32">
        <f>SUM(B21:K21)</f>
        <v>2616.3166700000002</v>
      </c>
      <c r="M21" s="52">
        <f>L21*60</f>
        <v>156979.00020000001</v>
      </c>
      <c r="N21" s="49">
        <v>156979</v>
      </c>
      <c r="O21" s="6"/>
    </row>
    <row r="22" spans="1:19" ht="15.75" thickBot="1">
      <c r="A22" s="18" t="s">
        <v>30</v>
      </c>
      <c r="B22" s="33"/>
      <c r="C22" s="34"/>
      <c r="D22" s="34"/>
      <c r="E22" s="33"/>
      <c r="F22" s="33"/>
      <c r="G22" s="34"/>
      <c r="H22" s="34"/>
      <c r="I22" s="34"/>
      <c r="J22" s="34"/>
      <c r="K22" s="34"/>
      <c r="L22" s="35">
        <f>SUM(B22:K22)</f>
        <v>0</v>
      </c>
      <c r="M22" s="52">
        <f>L22*60</f>
        <v>0</v>
      </c>
      <c r="N22" s="49"/>
      <c r="O22" s="6"/>
    </row>
    <row r="35" spans="1:19" s="10" customFormat="1">
      <c r="A35" s="8" t="s">
        <v>37</v>
      </c>
      <c r="B35" s="9"/>
      <c r="C35" s="9"/>
      <c r="D35" s="9"/>
      <c r="E35" s="9"/>
      <c r="F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7" spans="1:19" ht="48.4" customHeight="1">
      <c r="A37" s="72" t="s">
        <v>3</v>
      </c>
      <c r="B37" s="73" t="s">
        <v>1</v>
      </c>
      <c r="C37" s="73"/>
      <c r="D37" s="73"/>
      <c r="E37" s="72" t="s">
        <v>7</v>
      </c>
      <c r="F37" s="72"/>
      <c r="G37" s="72"/>
      <c r="H37" s="72"/>
      <c r="I37" s="72"/>
      <c r="J37" s="72"/>
      <c r="K37" s="72"/>
      <c r="L37" s="72" t="s">
        <v>15</v>
      </c>
    </row>
    <row r="38" spans="1:19" ht="102" customHeight="1">
      <c r="A38" s="72"/>
      <c r="B38" s="2" t="s">
        <v>2</v>
      </c>
      <c r="C38" s="2" t="s">
        <v>4</v>
      </c>
      <c r="D38" s="2" t="s">
        <v>5</v>
      </c>
      <c r="E38" s="2" t="s">
        <v>8</v>
      </c>
      <c r="F38" s="2" t="s">
        <v>9</v>
      </c>
      <c r="G38" s="2" t="s">
        <v>10</v>
      </c>
      <c r="H38" s="2" t="s">
        <v>11</v>
      </c>
      <c r="I38" s="2" t="s">
        <v>12</v>
      </c>
      <c r="J38" s="2" t="s">
        <v>13</v>
      </c>
      <c r="K38" s="2" t="s">
        <v>14</v>
      </c>
      <c r="L38" s="72"/>
      <c r="M38" s="1" t="s">
        <v>17</v>
      </c>
      <c r="N38" s="1" t="s">
        <v>18</v>
      </c>
    </row>
    <row r="39" spans="1:19" ht="10.5" customHeight="1" thickBot="1">
      <c r="A39" s="19">
        <v>1</v>
      </c>
      <c r="B39" s="19">
        <v>2</v>
      </c>
      <c r="C39" s="19">
        <v>3</v>
      </c>
      <c r="D39" s="19">
        <v>4</v>
      </c>
      <c r="E39" s="19">
        <v>5</v>
      </c>
      <c r="F39" s="19">
        <v>6</v>
      </c>
      <c r="G39" s="19">
        <v>7</v>
      </c>
      <c r="H39" s="19">
        <v>8</v>
      </c>
      <c r="I39" s="19">
        <v>9</v>
      </c>
      <c r="J39" s="19">
        <v>10</v>
      </c>
      <c r="K39" s="19">
        <v>11</v>
      </c>
      <c r="L39" s="19">
        <v>12</v>
      </c>
    </row>
    <row r="40" spans="1:19">
      <c r="A40" s="20" t="s">
        <v>31</v>
      </c>
      <c r="B40" s="50">
        <f>B41+B42</f>
        <v>103033.37940000001</v>
      </c>
      <c r="C40" s="30">
        <v>0</v>
      </c>
      <c r="D40" s="30">
        <f>D41+D42</f>
        <v>0</v>
      </c>
      <c r="E40" s="29">
        <f t="shared" ref="E40:L40" si="12">E41+E42</f>
        <v>0</v>
      </c>
      <c r="F40" s="29">
        <f t="shared" si="12"/>
        <v>0</v>
      </c>
      <c r="G40" s="30">
        <f t="shared" si="12"/>
        <v>0</v>
      </c>
      <c r="H40" s="30">
        <f t="shared" si="12"/>
        <v>0</v>
      </c>
      <c r="I40" s="30">
        <f t="shared" si="12"/>
        <v>0</v>
      </c>
      <c r="J40" s="30">
        <f t="shared" si="12"/>
        <v>0</v>
      </c>
      <c r="K40" s="30">
        <f t="shared" si="12"/>
        <v>0</v>
      </c>
      <c r="L40" s="50">
        <f t="shared" si="12"/>
        <v>103033.37940000001</v>
      </c>
      <c r="M40" s="52">
        <f>L40*12</f>
        <v>1236400.5528000002</v>
      </c>
      <c r="N40" s="49">
        <v>1236400</v>
      </c>
      <c r="O40" s="6">
        <f>N40-M40</f>
        <v>-0.55280000017955899</v>
      </c>
    </row>
    <row r="41" spans="1:19">
      <c r="A41" s="17" t="s">
        <v>26</v>
      </c>
      <c r="B41" s="50"/>
      <c r="C41" s="28"/>
      <c r="D41" s="28"/>
      <c r="E41" s="27"/>
      <c r="F41" s="27"/>
      <c r="G41" s="28"/>
      <c r="H41" s="28"/>
      <c r="I41" s="28"/>
      <c r="J41" s="28"/>
      <c r="K41" s="28"/>
      <c r="L41" s="50">
        <f>SUM(B41:K41)</f>
        <v>0</v>
      </c>
      <c r="M41" s="52"/>
      <c r="N41" s="49"/>
      <c r="O41" s="6"/>
    </row>
    <row r="42" spans="1:19" ht="15.75" thickBot="1">
      <c r="A42" s="18" t="s">
        <v>30</v>
      </c>
      <c r="B42" s="51">
        <v>103033.37940000001</v>
      </c>
      <c r="C42" s="34"/>
      <c r="D42" s="34"/>
      <c r="E42" s="33"/>
      <c r="F42" s="33"/>
      <c r="G42" s="34"/>
      <c r="H42" s="34"/>
      <c r="I42" s="34"/>
      <c r="J42" s="34"/>
      <c r="K42" s="34"/>
      <c r="L42" s="51">
        <f>SUM(B42:K42)</f>
        <v>103033.37940000001</v>
      </c>
      <c r="M42" s="52"/>
      <c r="N42" s="49"/>
      <c r="O42" s="6"/>
    </row>
    <row r="43" spans="1:19">
      <c r="A43" s="20" t="s">
        <v>6</v>
      </c>
      <c r="B43" s="29">
        <f>B44+B45</f>
        <v>0</v>
      </c>
      <c r="C43" s="30">
        <f>C44+C45</f>
        <v>0</v>
      </c>
      <c r="D43" s="30">
        <f>D44+D45</f>
        <v>0</v>
      </c>
      <c r="E43" s="29">
        <f t="shared" ref="E43:L43" si="13">E44+E45</f>
        <v>0</v>
      </c>
      <c r="F43" s="29">
        <f t="shared" si="13"/>
        <v>0</v>
      </c>
      <c r="G43" s="30">
        <f t="shared" si="13"/>
        <v>0</v>
      </c>
      <c r="H43" s="30">
        <f t="shared" si="13"/>
        <v>0</v>
      </c>
      <c r="I43" s="30">
        <f t="shared" si="13"/>
        <v>0</v>
      </c>
      <c r="J43" s="30">
        <f t="shared" si="13"/>
        <v>0</v>
      </c>
      <c r="K43" s="30">
        <f t="shared" si="13"/>
        <v>0</v>
      </c>
      <c r="L43" s="31">
        <f t="shared" si="13"/>
        <v>0</v>
      </c>
      <c r="M43" s="52">
        <f>L43*60</f>
        <v>0</v>
      </c>
      <c r="N43" s="49"/>
      <c r="O43" s="6">
        <f>N43-M43</f>
        <v>0</v>
      </c>
    </row>
    <row r="44" spans="1:19">
      <c r="A44" s="17" t="s">
        <v>26</v>
      </c>
      <c r="B44" s="27"/>
      <c r="C44" s="28"/>
      <c r="D44" s="28"/>
      <c r="E44" s="27"/>
      <c r="F44" s="27"/>
      <c r="G44" s="28"/>
      <c r="H44" s="28"/>
      <c r="I44" s="28"/>
      <c r="J44" s="28"/>
      <c r="K44" s="28"/>
      <c r="L44" s="32">
        <f>SUM(B44:K44)</f>
        <v>0</v>
      </c>
      <c r="M44" s="52">
        <f>L44*60</f>
        <v>0</v>
      </c>
      <c r="N44" s="49"/>
      <c r="O44" s="6"/>
    </row>
    <row r="45" spans="1:19" ht="15.75" thickBot="1">
      <c r="A45" s="18" t="s">
        <v>30</v>
      </c>
      <c r="B45" s="33"/>
      <c r="C45" s="34"/>
      <c r="D45" s="34"/>
      <c r="E45" s="33"/>
      <c r="F45" s="33"/>
      <c r="G45" s="34"/>
      <c r="H45" s="34"/>
      <c r="I45" s="34"/>
      <c r="J45" s="34"/>
      <c r="K45" s="34"/>
      <c r="L45" s="35">
        <f>SUM(B45:K45)</f>
        <v>0</v>
      </c>
      <c r="M45" s="52">
        <f>L45*60</f>
        <v>0</v>
      </c>
      <c r="N45" s="49"/>
      <c r="O45" s="6"/>
    </row>
    <row r="48" spans="1:19">
      <c r="O48" t="s">
        <v>40</v>
      </c>
    </row>
    <row r="49" spans="12:15">
      <c r="L49" s="1" t="s">
        <v>31</v>
      </c>
      <c r="M49" s="58">
        <f>M40+M18+M19+M9</f>
        <v>26462451.712580003</v>
      </c>
      <c r="N49" s="58">
        <f>N40+N18+N19+N9</f>
        <v>26462451</v>
      </c>
      <c r="O49" s="25">
        <f>N49-M49</f>
        <v>-0.71258000284433365</v>
      </c>
    </row>
    <row r="50" spans="12:15">
      <c r="L50" s="1" t="s">
        <v>6</v>
      </c>
      <c r="M50" s="58">
        <f>M21+M10</f>
        <v>10625199.07188</v>
      </c>
      <c r="N50" s="58">
        <f>N21+N10</f>
        <v>10625199</v>
      </c>
      <c r="O50" s="25">
        <f>N50-M50</f>
        <v>-7.1879999712109566E-2</v>
      </c>
    </row>
    <row r="54" spans="12:15">
      <c r="M54" s="5"/>
      <c r="O54" s="6"/>
    </row>
    <row r="55" spans="12:15">
      <c r="M55" s="5"/>
      <c r="O55" s="6"/>
    </row>
  </sheetData>
  <mergeCells count="12">
    <mergeCell ref="A37:A38"/>
    <mergeCell ref="B37:D37"/>
    <mergeCell ref="E37:K37"/>
    <mergeCell ref="L37:L38"/>
    <mergeCell ref="B6:D6"/>
    <mergeCell ref="A6:A7"/>
    <mergeCell ref="L6:L7"/>
    <mergeCell ref="E6:K6"/>
    <mergeCell ref="A14:A15"/>
    <mergeCell ref="B14:D14"/>
    <mergeCell ref="E14:K14"/>
    <mergeCell ref="L14:L15"/>
  </mergeCells>
  <pageMargins left="0.31496062992125984" right="0" top="0.15748031496062992" bottom="0" header="0.31496062992125984" footer="0.31496062992125984"/>
  <pageSetup paperSize="9" scale="77" orientation="landscape" horizontalDpi="180" verticalDpi="180" r:id="rId1"/>
  <rowBreaks count="1" manualBreakCount="1">
    <brk id="3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H7" sqref="H7"/>
    </sheetView>
  </sheetViews>
  <sheetFormatPr defaultRowHeight="15"/>
  <cols>
    <col min="1" max="1" width="18.28515625" customWidth="1"/>
    <col min="2" max="2" width="10.140625" customWidth="1"/>
    <col min="3" max="3" width="14" customWidth="1"/>
    <col min="4" max="5" width="14.5703125" customWidth="1"/>
    <col min="6" max="6" width="15.7109375" customWidth="1"/>
    <col min="7" max="7" width="16.7109375" customWidth="1"/>
    <col min="8" max="8" width="17.7109375" customWidth="1"/>
    <col min="9" max="9" width="12.85546875" customWidth="1"/>
  </cols>
  <sheetData>
    <row r="1" spans="1:9">
      <c r="A1" t="s">
        <v>0</v>
      </c>
    </row>
    <row r="2" spans="1:9" ht="18.75">
      <c r="A2" s="11" t="s">
        <v>32</v>
      </c>
      <c r="B2" s="1"/>
      <c r="C2" s="1"/>
      <c r="D2" s="1"/>
      <c r="E2" s="1"/>
      <c r="F2" s="1"/>
      <c r="G2" s="1"/>
      <c r="H2" s="1"/>
      <c r="I2" s="1"/>
    </row>
    <row r="3" spans="1:9" ht="15.75" customHeight="1" thickBot="1"/>
    <row r="4" spans="1:9">
      <c r="A4" s="76" t="s">
        <v>20</v>
      </c>
      <c r="B4" s="78" t="s">
        <v>21</v>
      </c>
      <c r="C4" s="78" t="s">
        <v>22</v>
      </c>
      <c r="D4" s="78"/>
      <c r="E4" s="78"/>
      <c r="F4" s="80" t="s">
        <v>23</v>
      </c>
      <c r="G4" s="78" t="s">
        <v>24</v>
      </c>
      <c r="H4" s="78"/>
      <c r="I4" s="82" t="s">
        <v>25</v>
      </c>
    </row>
    <row r="5" spans="1:9" ht="39" thickBot="1">
      <c r="A5" s="77"/>
      <c r="B5" s="79"/>
      <c r="C5" s="12" t="s">
        <v>26</v>
      </c>
      <c r="D5" s="12" t="s">
        <v>27</v>
      </c>
      <c r="E5" s="12" t="s">
        <v>28</v>
      </c>
      <c r="F5" s="81"/>
      <c r="G5" s="13" t="s">
        <v>16</v>
      </c>
      <c r="H5" s="13" t="s">
        <v>29</v>
      </c>
      <c r="I5" s="83"/>
    </row>
    <row r="6" spans="1:9" s="44" customFormat="1">
      <c r="A6" s="41" t="s">
        <v>31</v>
      </c>
      <c r="B6" s="63">
        <v>66636</v>
      </c>
      <c r="C6" s="41"/>
      <c r="D6" s="41">
        <v>204.72522000000001</v>
      </c>
      <c r="E6" s="65">
        <f>D6+C6</f>
        <v>204.72522000000001</v>
      </c>
      <c r="F6" s="43">
        <v>204.72522000000001</v>
      </c>
      <c r="G6" s="42">
        <f>F6*B6</f>
        <v>13642069.759920001</v>
      </c>
      <c r="H6" s="42">
        <f>10617700+9450+4245790-1236400+5530</f>
        <v>13642070</v>
      </c>
      <c r="I6" s="43">
        <f>H6/G6</f>
        <v>1.0000000175985024</v>
      </c>
    </row>
    <row r="7" spans="1:9" s="21" customFormat="1">
      <c r="A7" s="36" t="s">
        <v>6</v>
      </c>
      <c r="B7" s="64">
        <v>28224</v>
      </c>
      <c r="C7" s="36"/>
      <c r="D7" s="36">
        <v>370.89782000000002</v>
      </c>
      <c r="E7" s="37">
        <f t="shared" ref="E7" si="0">D7+C7</f>
        <v>370.89782000000002</v>
      </c>
      <c r="F7" s="37">
        <f>F6</f>
        <v>204.72522000000001</v>
      </c>
      <c r="G7" s="38">
        <f>F7*B7</f>
        <v>5778164.6092800004</v>
      </c>
      <c r="H7" s="26">
        <f>4472100+6900+5989220</f>
        <v>10468220</v>
      </c>
      <c r="I7" s="37">
        <f t="shared" ref="I7" si="1">H7/G7</f>
        <v>1.8116860124039307</v>
      </c>
    </row>
    <row r="8" spans="1:9">
      <c r="B8">
        <f>SUM(B6:B7)</f>
        <v>94860</v>
      </c>
      <c r="H8" s="25">
        <f>SUM(H6:H7)</f>
        <v>24110290</v>
      </c>
      <c r="I8" s="22"/>
    </row>
    <row r="9" spans="1:9" ht="18.75">
      <c r="A9" s="11" t="s">
        <v>19</v>
      </c>
      <c r="B9" s="1"/>
      <c r="C9" s="1"/>
      <c r="D9" s="16"/>
      <c r="E9" s="1"/>
      <c r="F9" s="1"/>
      <c r="G9" s="1"/>
      <c r="H9" s="1"/>
      <c r="I9" s="23"/>
    </row>
    <row r="10" spans="1:9" ht="15.75" thickBot="1">
      <c r="I10" s="22"/>
    </row>
    <row r="11" spans="1:9">
      <c r="A11" s="76" t="s">
        <v>20</v>
      </c>
      <c r="B11" s="78" t="s">
        <v>21</v>
      </c>
      <c r="C11" s="78" t="s">
        <v>22</v>
      </c>
      <c r="D11" s="78"/>
      <c r="E11" s="78"/>
      <c r="F11" s="80" t="s">
        <v>23</v>
      </c>
      <c r="G11" s="78" t="s">
        <v>24</v>
      </c>
      <c r="H11" s="78"/>
      <c r="I11" s="74" t="s">
        <v>25</v>
      </c>
    </row>
    <row r="12" spans="1:9" ht="39" thickBot="1">
      <c r="A12" s="77"/>
      <c r="B12" s="79"/>
      <c r="C12" s="12" t="s">
        <v>26</v>
      </c>
      <c r="D12" s="12" t="s">
        <v>27</v>
      </c>
      <c r="E12" s="12" t="s">
        <v>28</v>
      </c>
      <c r="F12" s="81"/>
      <c r="G12" s="13" t="s">
        <v>16</v>
      </c>
      <c r="H12" s="13" t="s">
        <v>29</v>
      </c>
      <c r="I12" s="75"/>
    </row>
    <row r="13" spans="1:9">
      <c r="A13" s="14" t="s">
        <v>31</v>
      </c>
      <c r="B13" s="62">
        <v>449</v>
      </c>
      <c r="C13" s="24">
        <v>16078.710569999999</v>
      </c>
      <c r="D13" s="37">
        <v>9720.8025699999998</v>
      </c>
      <c r="E13" s="24">
        <f>D13+C13</f>
        <v>25799.513139999999</v>
      </c>
      <c r="F13" s="37">
        <v>2616.3166700000002</v>
      </c>
      <c r="G13" s="15">
        <f>F13*B13</f>
        <v>1174726.1848300002</v>
      </c>
      <c r="H13" s="15">
        <f>182791+4364140+6577050+459500+500</f>
        <v>11583981</v>
      </c>
      <c r="I13" s="24">
        <f>H13/G13</f>
        <v>9.8610051853712353</v>
      </c>
    </row>
    <row r="14" spans="1:9" s="21" customFormat="1">
      <c r="A14" s="67" t="s">
        <v>6</v>
      </c>
      <c r="B14" s="68">
        <v>60</v>
      </c>
      <c r="C14" s="71">
        <v>2616.3166700000002</v>
      </c>
      <c r="D14" s="37"/>
      <c r="E14" s="66">
        <f t="shared" ref="E14" si="2">D14+C14</f>
        <v>2616.3166700000002</v>
      </c>
      <c r="F14" s="69">
        <f>E14</f>
        <v>2616.3166700000002</v>
      </c>
      <c r="G14" s="70">
        <f>F14*B14</f>
        <v>156979.00020000001</v>
      </c>
      <c r="H14" s="70">
        <v>156979</v>
      </c>
      <c r="I14" s="69">
        <f t="shared" ref="I14" si="3">H14/G14</f>
        <v>0.99999999872594414</v>
      </c>
    </row>
    <row r="15" spans="1:9">
      <c r="B15">
        <f>SUM(B13:B14)</f>
        <v>509</v>
      </c>
      <c r="H15" s="25">
        <f>SUM(H13:H14)</f>
        <v>11740960</v>
      </c>
    </row>
    <row r="17" spans="1:9" ht="18.75">
      <c r="A17" s="11" t="s">
        <v>37</v>
      </c>
      <c r="B17" s="1"/>
      <c r="C17" s="1"/>
      <c r="D17" s="16"/>
      <c r="E17" s="1"/>
      <c r="F17" s="1"/>
      <c r="G17" s="1"/>
      <c r="H17" s="1"/>
      <c r="I17" s="23"/>
    </row>
    <row r="18" spans="1:9" ht="15.75" thickBot="1">
      <c r="I18" s="22"/>
    </row>
    <row r="19" spans="1:9">
      <c r="A19" s="76" t="s">
        <v>20</v>
      </c>
      <c r="B19" s="78" t="s">
        <v>21</v>
      </c>
      <c r="C19" s="78" t="s">
        <v>22</v>
      </c>
      <c r="D19" s="78"/>
      <c r="E19" s="78"/>
      <c r="F19" s="80" t="s">
        <v>23</v>
      </c>
      <c r="G19" s="78" t="s">
        <v>24</v>
      </c>
      <c r="H19" s="78"/>
      <c r="I19" s="74" t="s">
        <v>25</v>
      </c>
    </row>
    <row r="20" spans="1:9" ht="39" thickBot="1">
      <c r="A20" s="77"/>
      <c r="B20" s="79"/>
      <c r="C20" s="12" t="s">
        <v>26</v>
      </c>
      <c r="D20" s="12" t="s">
        <v>27</v>
      </c>
      <c r="E20" s="12" t="s">
        <v>28</v>
      </c>
      <c r="F20" s="81"/>
      <c r="G20" s="40" t="s">
        <v>16</v>
      </c>
      <c r="H20" s="40" t="s">
        <v>29</v>
      </c>
      <c r="I20" s="75"/>
    </row>
    <row r="21" spans="1:9">
      <c r="A21" s="14" t="s">
        <v>31</v>
      </c>
      <c r="B21" s="62">
        <v>12</v>
      </c>
      <c r="C21" s="24"/>
      <c r="D21" s="24">
        <v>103033.37940000001</v>
      </c>
      <c r="E21" s="24">
        <f>D21+C21</f>
        <v>103033.37940000001</v>
      </c>
      <c r="F21" s="24">
        <f>E21</f>
        <v>103033.37940000001</v>
      </c>
      <c r="G21" s="15">
        <f>F21*B21</f>
        <v>1236400.5528000002</v>
      </c>
      <c r="H21" s="48">
        <v>1236400</v>
      </c>
      <c r="I21" s="24">
        <f>H21/G21</f>
        <v>0.99999955289570286</v>
      </c>
    </row>
    <row r="22" spans="1:9">
      <c r="A22" s="36"/>
      <c r="B22" s="36"/>
      <c r="C22" s="37"/>
      <c r="D22" s="37"/>
      <c r="E22" s="39"/>
      <c r="F22" s="37"/>
      <c r="G22" s="38"/>
      <c r="H22" s="38"/>
      <c r="I22" s="37" t="e">
        <f t="shared" ref="I22" si="4">H22/G22</f>
        <v>#DIV/0!</v>
      </c>
    </row>
    <row r="25" spans="1:9">
      <c r="G25" t="s">
        <v>41</v>
      </c>
      <c r="H25" t="s">
        <v>38</v>
      </c>
      <c r="I25" t="s">
        <v>39</v>
      </c>
    </row>
    <row r="26" spans="1:9">
      <c r="F26" s="14" t="s">
        <v>31</v>
      </c>
      <c r="G26" s="15">
        <f>H21+H13+H6</f>
        <v>26462451</v>
      </c>
      <c r="H26" s="15">
        <f>10617700+9450+4245790+182791+4364140+6577050+459500+500+5530</f>
        <v>26462451</v>
      </c>
      <c r="I26" s="15">
        <f>G26-H26</f>
        <v>0</v>
      </c>
    </row>
    <row r="27" spans="1:9">
      <c r="F27" s="45" t="s">
        <v>6</v>
      </c>
      <c r="G27" s="15">
        <f>H14+H7</f>
        <v>10625199</v>
      </c>
      <c r="H27" s="15">
        <f>H7+H14</f>
        <v>10625199</v>
      </c>
      <c r="I27" s="15">
        <f>G27-H27</f>
        <v>0</v>
      </c>
    </row>
    <row r="28" spans="1:9">
      <c r="G28" s="15">
        <f>SUM(G26:G27)</f>
        <v>37087650</v>
      </c>
      <c r="H28" s="15">
        <f t="shared" ref="H28:I28" si="5">SUM(H26:H27)</f>
        <v>37087650</v>
      </c>
      <c r="I28" s="46">
        <f t="shared" si="5"/>
        <v>0</v>
      </c>
    </row>
  </sheetData>
  <mergeCells count="18">
    <mergeCell ref="I11:I12"/>
    <mergeCell ref="A4:A5"/>
    <mergeCell ref="B4:B5"/>
    <mergeCell ref="C4:E4"/>
    <mergeCell ref="F4:F5"/>
    <mergeCell ref="G4:H4"/>
    <mergeCell ref="I4:I5"/>
    <mergeCell ref="A11:A12"/>
    <mergeCell ref="B11:B12"/>
    <mergeCell ref="C11:E11"/>
    <mergeCell ref="F11:F12"/>
    <mergeCell ref="G11:H11"/>
    <mergeCell ref="I19:I20"/>
    <mergeCell ref="A19:A20"/>
    <mergeCell ref="B19:B20"/>
    <mergeCell ref="C19:E19"/>
    <mergeCell ref="F19:F20"/>
    <mergeCell ref="G19:H19"/>
  </mergeCells>
  <pageMargins left="0.70866141732283472" right="0.70866141732283472" top="0.74803149606299213" bottom="0.74803149606299213" header="0.31496062992125984" footer="0.31496062992125984"/>
  <pageSetup paperSize="9" scale="96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доп.обр.</vt:lpstr>
      <vt:lpstr>свод</vt:lpstr>
      <vt:lpstr>доп.обр.!Область_печати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2021-12-09T09:12:55Z</dcterms:modified>
</cp:coreProperties>
</file>