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з.пл." sheetId="1" r:id="rId1"/>
    <sheet name="материалы" sheetId="4" r:id="rId2"/>
    <sheet name="иные" sheetId="5" r:id="rId3"/>
  </sheets>
  <calcPr calcId="124519"/>
</workbook>
</file>

<file path=xl/calcChain.xml><?xml version="1.0" encoding="utf-8"?>
<calcChain xmlns="http://schemas.openxmlformats.org/spreadsheetml/2006/main">
  <c r="H25" i="5"/>
  <c r="J23"/>
  <c r="J25" s="1"/>
  <c r="G23"/>
  <c r="H26"/>
  <c r="K13" i="4"/>
  <c r="K8"/>
  <c r="I26" i="5"/>
  <c r="F24"/>
  <c r="H24" s="1"/>
  <c r="K23" i="4"/>
  <c r="H23"/>
  <c r="I24" i="5" l="1"/>
  <c r="F21" i="4" l="1"/>
  <c r="K24" l="1"/>
  <c r="D12" i="1" l="1"/>
  <c r="D7"/>
  <c r="D27"/>
  <c r="D32"/>
  <c r="L35"/>
  <c r="I13" l="1"/>
  <c r="I14"/>
  <c r="I8"/>
  <c r="I9"/>
  <c r="I10"/>
  <c r="I7"/>
  <c r="I12"/>
  <c r="I46"/>
  <c r="I47"/>
  <c r="I45"/>
  <c r="I33"/>
  <c r="I32"/>
  <c r="I31"/>
  <c r="I30"/>
  <c r="I29"/>
  <c r="I28"/>
  <c r="I27"/>
  <c r="I26"/>
  <c r="I25"/>
  <c r="I24"/>
  <c r="I23"/>
  <c r="L36"/>
  <c r="D47"/>
  <c r="H45"/>
  <c r="E8" i="5" l="1"/>
  <c r="E12"/>
  <c r="E11"/>
  <c r="E7"/>
  <c r="E12" i="4"/>
  <c r="E13"/>
  <c r="E11"/>
  <c r="E10"/>
  <c r="E8"/>
  <c r="E7"/>
  <c r="E6"/>
  <c r="K25" l="1"/>
  <c r="F13"/>
  <c r="I13" l="1"/>
  <c r="J13" s="1"/>
  <c r="F12"/>
  <c r="I12" s="1"/>
  <c r="G47" i="1" l="1"/>
  <c r="H47" s="1"/>
  <c r="G45"/>
  <c r="G46"/>
  <c r="H46" s="1"/>
  <c r="C48"/>
  <c r="F22" i="4"/>
  <c r="I22" s="1"/>
  <c r="F23"/>
  <c r="I23" s="1"/>
  <c r="F11"/>
  <c r="I11" s="1"/>
  <c r="J11" s="1"/>
  <c r="I21"/>
  <c r="J21" s="1"/>
  <c r="F10"/>
  <c r="I10" s="1"/>
  <c r="I25" l="1"/>
  <c r="J25" s="1"/>
  <c r="I24"/>
  <c r="J24" s="1"/>
  <c r="J22"/>
  <c r="J23"/>
  <c r="J26"/>
  <c r="J10"/>
  <c r="I14"/>
  <c r="J14" s="1"/>
  <c r="J46" i="1"/>
  <c r="J45"/>
  <c r="J47"/>
  <c r="J48" l="1"/>
  <c r="J49"/>
  <c r="K49" s="1"/>
  <c r="M49" l="1"/>
  <c r="F8" i="5"/>
  <c r="H8" s="1"/>
  <c r="F23"/>
  <c r="H23" s="1"/>
  <c r="F22"/>
  <c r="H22" s="1"/>
  <c r="I22" s="1"/>
  <c r="I23" l="1"/>
  <c r="K23" s="1"/>
  <c r="I25"/>
  <c r="G27" i="1" l="1"/>
  <c r="C12"/>
  <c r="G30" l="1"/>
  <c r="H30" s="1"/>
  <c r="G31"/>
  <c r="H31" s="1"/>
  <c r="G32"/>
  <c r="H32" s="1"/>
  <c r="G33"/>
  <c r="H33" s="1"/>
  <c r="J31" l="1"/>
  <c r="J33"/>
  <c r="J32"/>
  <c r="J30"/>
  <c r="G26"/>
  <c r="H26" s="1"/>
  <c r="H27"/>
  <c r="G28"/>
  <c r="H28" s="1"/>
  <c r="G29"/>
  <c r="H29" s="1"/>
  <c r="C34"/>
  <c r="G25"/>
  <c r="H25" s="1"/>
  <c r="H24"/>
  <c r="G24"/>
  <c r="J26" l="1"/>
  <c r="J24"/>
  <c r="J28"/>
  <c r="J29"/>
  <c r="J27"/>
  <c r="J25"/>
  <c r="G23"/>
  <c r="H23" s="1"/>
  <c r="H34" s="1"/>
  <c r="J36" l="1"/>
  <c r="K36" s="1"/>
  <c r="J23"/>
  <c r="J35" s="1"/>
  <c r="K35" s="1"/>
  <c r="M35" s="1"/>
  <c r="J34" l="1"/>
  <c r="J14" i="5"/>
  <c r="I13"/>
  <c r="J10"/>
  <c r="I9"/>
  <c r="K14" i="4"/>
  <c r="K9"/>
  <c r="M36" i="1" l="1"/>
  <c r="F28" i="4"/>
  <c r="I28" s="1"/>
  <c r="I31" s="1"/>
  <c r="C11" i="1" l="1"/>
  <c r="F27" i="4" l="1"/>
  <c r="I27" l="1"/>
  <c r="I30" l="1"/>
  <c r="I29"/>
  <c r="J29" s="1"/>
  <c r="J12"/>
  <c r="F8"/>
  <c r="F7"/>
  <c r="F12" i="5"/>
  <c r="H12" s="1"/>
  <c r="I12" s="1"/>
  <c r="H9"/>
  <c r="I8" i="4" l="1"/>
  <c r="J8" s="1"/>
  <c r="H13" i="5"/>
  <c r="F11"/>
  <c r="H11" s="1"/>
  <c r="I11" s="1"/>
  <c r="I8"/>
  <c r="F7"/>
  <c r="H7" s="1"/>
  <c r="I7" s="1"/>
  <c r="F6" i="4"/>
  <c r="I6" s="1"/>
  <c r="J6" l="1"/>
  <c r="K8" i="5"/>
  <c r="H10"/>
  <c r="I10" s="1"/>
  <c r="H14"/>
  <c r="I14" s="1"/>
  <c r="I7" i="4"/>
  <c r="J7" s="1"/>
  <c r="I9" l="1"/>
  <c r="J9" s="1"/>
  <c r="G14" i="1"/>
  <c r="H14" s="1"/>
  <c r="J14" s="1"/>
  <c r="G13"/>
  <c r="H13" s="1"/>
  <c r="J13" s="1"/>
  <c r="G10"/>
  <c r="H10" s="1"/>
  <c r="G9"/>
  <c r="H9" s="1"/>
  <c r="G8"/>
  <c r="H8" s="1"/>
  <c r="G7"/>
  <c r="H7" s="1"/>
  <c r="J8" l="1"/>
  <c r="H11"/>
  <c r="J9"/>
  <c r="J7"/>
  <c r="C15"/>
  <c r="J10"/>
  <c r="G12"/>
  <c r="H12" s="1"/>
  <c r="J11" l="1"/>
  <c r="K11" s="1"/>
  <c r="H15"/>
  <c r="J12"/>
  <c r="J15" s="1"/>
  <c r="K15" s="1"/>
  <c r="M15" l="1"/>
  <c r="M11"/>
</calcChain>
</file>

<file path=xl/sharedStrings.xml><?xml version="1.0" encoding="utf-8"?>
<sst xmlns="http://schemas.openxmlformats.org/spreadsheetml/2006/main" count="185" uniqueCount="73">
  <si>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</si>
  <si>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</si>
  <si>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</si>
  <si>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</si>
  <si>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УСЛУГА "Реализация дополнительных общеобразовательных общеразвивающих программ"</t>
  </si>
  <si>
    <t>ДПиШ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</si>
  <si>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</si>
  <si>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</si>
  <si>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</si>
  <si>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</si>
  <si>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</si>
  <si>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</si>
  <si>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</si>
  <si>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</si>
  <si>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</si>
  <si>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</si>
  <si>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педагог доп.образ.</t>
  </si>
  <si>
    <t>педагог - организатор</t>
  </si>
  <si>
    <t>методист</t>
  </si>
  <si>
    <t>СЮТ</t>
  </si>
  <si>
    <t>Заработная плата на 1 ставку</t>
  </si>
  <si>
    <t>Затраты на приобретение материальных запасов и особо ценного движимого имущества, потребляемых в процессе оказания услуги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</si>
  <si>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</si>
  <si>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</si>
  <si>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Норма на 1 учащегося, шт.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</si>
  <si>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</si>
  <si>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</si>
  <si>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</si>
  <si>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</si>
  <si>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</si>
  <si>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</si>
  <si>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</si>
  <si>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Иные затраты, непосредственно связанные с оказанием услуги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</si>
  <si>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</si>
  <si>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</si>
  <si>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</si>
  <si>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</si>
  <si>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</si>
  <si>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</si>
  <si>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призы</t>
  </si>
  <si>
    <t>УСЛУГА "Организация отдыха детей и молодежи"</t>
  </si>
  <si>
    <t>Затраты на приобретение материальных запасов , потребляемых в процессе оказания услуги</t>
  </si>
  <si>
    <t>продукты питания</t>
  </si>
  <si>
    <t>норма</t>
  </si>
  <si>
    <t>в бюджете</t>
  </si>
  <si>
    <t>краевой бюджет</t>
  </si>
  <si>
    <t>муниципальный бюджет</t>
  </si>
  <si>
    <t>бюджет</t>
  </si>
  <si>
    <t>Показатель объема, человекочасы (кол-во детей и часы по программе)</t>
  </si>
  <si>
    <t>ДШ</t>
  </si>
  <si>
    <t>Руководитель</t>
  </si>
  <si>
    <t>Заведующий хозяйством</t>
  </si>
  <si>
    <t>Водитель</t>
  </si>
  <si>
    <t>Специалист по обесп.БДД</t>
  </si>
  <si>
    <t>Дворник</t>
  </si>
  <si>
    <t>Сторож</t>
  </si>
  <si>
    <t>Уборщик</t>
  </si>
  <si>
    <t>местный бюджет</t>
  </si>
  <si>
    <t>Врач</t>
  </si>
  <si>
    <t>мед.сестра</t>
  </si>
  <si>
    <t>Шеф-повар</t>
  </si>
  <si>
    <t>Ст.воспитатель</t>
  </si>
  <si>
    <t>по норме</t>
  </si>
  <si>
    <t>РАБОТА "Методическое обеспечение образовательной деятельности"</t>
  </si>
  <si>
    <t>Показатель объема, мероприятия</t>
  </si>
  <si>
    <t>руководитель</t>
  </si>
  <si>
    <t>педагог организатор</t>
  </si>
  <si>
    <t>канцтовары</t>
  </si>
  <si>
    <t>спецодежда</t>
  </si>
  <si>
    <t>организация отдыха</t>
  </si>
  <si>
    <t>путевки</t>
  </si>
  <si>
    <t>прочие расходы</t>
  </si>
  <si>
    <t>бланки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</si>
</sst>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2" fontId="0" fillId="0" borderId="3" xfId="0" applyNumberForma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0" fillId="0" borderId="12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5" fontId="1" fillId="0" borderId="14" xfId="0" applyNumberFormat="1" applyFont="1" applyBorder="1"/>
    <xf numFmtId="0" fontId="0" fillId="0" borderId="15" xfId="0" applyBorder="1"/>
    <xf numFmtId="0" fontId="1" fillId="0" borderId="2" xfId="0" applyFont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165" fontId="8" fillId="0" borderId="3" xfId="0" applyNumberFormat="1" applyFont="1" applyBorder="1"/>
    <xf numFmtId="1" fontId="9" fillId="0" borderId="3" xfId="0" applyNumberFormat="1" applyFont="1" applyBorder="1" applyAlignment="1">
      <alignment horizontal="center"/>
    </xf>
    <xf numFmtId="2" fontId="9" fillId="0" borderId="3" xfId="0" applyNumberFormat="1" applyFont="1" applyBorder="1"/>
    <xf numFmtId="0" fontId="9" fillId="0" borderId="7" xfId="0" applyFont="1" applyBorder="1"/>
    <xf numFmtId="0" fontId="11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165" fontId="8" fillId="0" borderId="1" xfId="0" applyNumberFormat="1" applyFont="1" applyBorder="1"/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2" fontId="8" fillId="0" borderId="0" xfId="0" applyNumberFormat="1" applyFont="1"/>
    <xf numFmtId="0" fontId="1" fillId="0" borderId="14" xfId="0" applyFont="1" applyBorder="1"/>
    <xf numFmtId="0" fontId="13" fillId="0" borderId="1" xfId="0" applyFont="1" applyBorder="1" applyAlignment="1">
      <alignment horizontal="center" vertical="center" wrapText="1"/>
    </xf>
    <xf numFmtId="2" fontId="1" fillId="0" borderId="14" xfId="0" applyNumberFormat="1" applyFont="1" applyBorder="1"/>
    <xf numFmtId="2" fontId="1" fillId="0" borderId="2" xfId="0" applyNumberFormat="1" applyFont="1" applyBorder="1"/>
    <xf numFmtId="2" fontId="2" fillId="0" borderId="16" xfId="0" applyNumberFormat="1" applyFont="1" applyBorder="1"/>
    <xf numFmtId="0" fontId="0" fillId="0" borderId="17" xfId="0" applyBorder="1"/>
    <xf numFmtId="2" fontId="0" fillId="0" borderId="14" xfId="0" applyNumberFormat="1" applyBorder="1"/>
    <xf numFmtId="2" fontId="2" fillId="0" borderId="14" xfId="0" applyNumberFormat="1" applyFont="1" applyBorder="1"/>
    <xf numFmtId="0" fontId="0" fillId="0" borderId="19" xfId="0" applyBorder="1"/>
    <xf numFmtId="0" fontId="1" fillId="0" borderId="20" xfId="0" applyFont="1" applyBorder="1"/>
    <xf numFmtId="2" fontId="0" fillId="0" borderId="20" xfId="0" applyNumberFormat="1" applyBorder="1"/>
    <xf numFmtId="2" fontId="2" fillId="0" borderId="20" xfId="0" applyNumberFormat="1" applyFont="1" applyBorder="1"/>
    <xf numFmtId="2" fontId="1" fillId="0" borderId="20" xfId="0" applyNumberFormat="1" applyFont="1" applyBorder="1"/>
    <xf numFmtId="166" fontId="1" fillId="0" borderId="2" xfId="0" applyNumberFormat="1" applyFont="1" applyBorder="1"/>
    <xf numFmtId="0" fontId="1" fillId="2" borderId="1" xfId="0" applyFont="1" applyFill="1" applyBorder="1"/>
    <xf numFmtId="0" fontId="8" fillId="0" borderId="14" xfId="0" applyFont="1" applyBorder="1"/>
    <xf numFmtId="1" fontId="9" fillId="0" borderId="14" xfId="0" applyNumberFormat="1" applyFont="1" applyBorder="1" applyAlignment="1">
      <alignment horizontal="center"/>
    </xf>
    <xf numFmtId="2" fontId="9" fillId="0" borderId="14" xfId="0" applyNumberFormat="1" applyFont="1" applyBorder="1"/>
    <xf numFmtId="0" fontId="9" fillId="0" borderId="17" xfId="0" applyFont="1" applyBorder="1"/>
    <xf numFmtId="0" fontId="9" fillId="0" borderId="1" xfId="0" applyFont="1" applyBorder="1"/>
    <xf numFmtId="164" fontId="8" fillId="0" borderId="0" xfId="0" applyNumberFormat="1" applyFont="1"/>
    <xf numFmtId="0" fontId="7" fillId="0" borderId="1" xfId="0" applyFont="1" applyBorder="1"/>
    <xf numFmtId="165" fontId="7" fillId="0" borderId="3" xfId="0" applyNumberFormat="1" applyFont="1" applyBorder="1"/>
    <xf numFmtId="1" fontId="14" fillId="0" borderId="1" xfId="0" applyNumberFormat="1" applyFont="1" applyBorder="1" applyAlignment="1">
      <alignment horizontal="center"/>
    </xf>
    <xf numFmtId="2" fontId="7" fillId="0" borderId="1" xfId="0" applyNumberFormat="1" applyFont="1" applyBorder="1"/>
    <xf numFmtId="165" fontId="1" fillId="0" borderId="6" xfId="0" applyNumberFormat="1" applyFont="1" applyBorder="1"/>
    <xf numFmtId="165" fontId="1" fillId="0" borderId="8" xfId="0" applyNumberFormat="1" applyFont="1" applyBorder="1"/>
    <xf numFmtId="165" fontId="2" fillId="0" borderId="11" xfId="0" applyNumberFormat="1" applyFont="1" applyBorder="1"/>
    <xf numFmtId="165" fontId="2" fillId="0" borderId="1" xfId="0" applyNumberFormat="1" applyFont="1" applyBorder="1"/>
    <xf numFmtId="165" fontId="1" fillId="0" borderId="13" xfId="0" applyNumberFormat="1" applyFont="1" applyBorder="1"/>
    <xf numFmtId="165" fontId="8" fillId="0" borderId="18" xfId="0" applyNumberFormat="1" applyFont="1" applyBorder="1"/>
    <xf numFmtId="165" fontId="8" fillId="0" borderId="13" xfId="0" applyNumberFormat="1" applyFont="1" applyBorder="1"/>
    <xf numFmtId="165" fontId="7" fillId="0" borderId="8" xfId="0" applyNumberFormat="1" applyFont="1" applyBorder="1"/>
    <xf numFmtId="165" fontId="7" fillId="0" borderId="11" xfId="0" applyNumberFormat="1" applyFont="1" applyBorder="1"/>
    <xf numFmtId="165" fontId="2" fillId="0" borderId="16" xfId="0" applyNumberFormat="1" applyFont="1" applyBorder="1"/>
    <xf numFmtId="165" fontId="2" fillId="0" borderId="18" xfId="0" applyNumberFormat="1" applyFont="1" applyBorder="1"/>
    <xf numFmtId="165" fontId="2" fillId="0" borderId="21" xfId="0" applyNumberFormat="1" applyFont="1" applyBorder="1"/>
    <xf numFmtId="2" fontId="0" fillId="0" borderId="0" xfId="0" applyNumberFormat="1"/>
    <xf numFmtId="0" fontId="15" fillId="0" borderId="0" xfId="0" applyFont="1"/>
    <xf numFmtId="166" fontId="1" fillId="0" borderId="0" xfId="0" applyNumberFormat="1" applyFont="1"/>
    <xf numFmtId="164" fontId="1" fillId="0" borderId="0" xfId="0" applyNumberFormat="1" applyFont="1"/>
    <xf numFmtId="0" fontId="0" fillId="0" borderId="22" xfId="0" applyBorder="1"/>
    <xf numFmtId="0" fontId="1" fillId="0" borderId="23" xfId="0" applyFont="1" applyBorder="1"/>
    <xf numFmtId="2" fontId="0" fillId="0" borderId="23" xfId="0" applyNumberFormat="1" applyBorder="1"/>
    <xf numFmtId="165" fontId="2" fillId="0" borderId="26" xfId="0" applyNumberFormat="1" applyFont="1" applyBorder="1"/>
    <xf numFmtId="0" fontId="1" fillId="3" borderId="1" xfId="0" applyFont="1" applyFill="1" applyBorder="1"/>
    <xf numFmtId="0" fontId="1" fillId="3" borderId="10" xfId="0" applyFont="1" applyFill="1" applyBorder="1"/>
    <xf numFmtId="0" fontId="1" fillId="3" borderId="5" xfId="0" applyFont="1" applyFill="1" applyBorder="1"/>
    <xf numFmtId="0" fontId="1" fillId="3" borderId="23" xfId="0" applyFont="1" applyFill="1" applyBorder="1"/>
    <xf numFmtId="0" fontId="8" fillId="3" borderId="14" xfId="0" applyFont="1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" fillId="3" borderId="3" xfId="0" applyFont="1" applyFill="1" applyBorder="1"/>
    <xf numFmtId="0" fontId="1" fillId="3" borderId="14" xfId="0" applyFont="1" applyFill="1" applyBorder="1"/>
    <xf numFmtId="0" fontId="1" fillId="3" borderId="2" xfId="0" applyFont="1" applyFill="1" applyBorder="1"/>
    <xf numFmtId="166" fontId="1" fillId="3" borderId="0" xfId="0" applyNumberFormat="1" applyFont="1" applyFill="1"/>
    <xf numFmtId="2" fontId="1" fillId="3" borderId="1" xfId="0" applyNumberFormat="1" applyFont="1" applyFill="1" applyBorder="1"/>
    <xf numFmtId="0" fontId="1" fillId="3" borderId="0" xfId="0" applyFont="1" applyFill="1"/>
    <xf numFmtId="2" fontId="1" fillId="3" borderId="0" xfId="0" applyNumberFormat="1" applyFont="1" applyFill="1"/>
    <xf numFmtId="2" fontId="8" fillId="3" borderId="0" xfId="0" applyNumberFormat="1" applyFont="1" applyFill="1"/>
    <xf numFmtId="0" fontId="8" fillId="3" borderId="0" xfId="0" applyFont="1" applyFill="1"/>
    <xf numFmtId="165" fontId="2" fillId="0" borderId="29" xfId="0" applyNumberFormat="1" applyFont="1" applyBorder="1"/>
    <xf numFmtId="0" fontId="0" fillId="0" borderId="30" xfId="0" applyBorder="1"/>
    <xf numFmtId="0" fontId="1" fillId="0" borderId="31" xfId="0" applyFont="1" applyBorder="1"/>
    <xf numFmtId="0" fontId="6" fillId="0" borderId="0" xfId="0" applyFont="1" applyAlignment="1">
      <alignment horizontal="left"/>
    </xf>
    <xf numFmtId="1" fontId="0" fillId="0" borderId="24" xfId="0" applyNumberFormat="1" applyBorder="1" applyAlignment="1">
      <alignment horizontal="right"/>
    </xf>
    <xf numFmtId="1" fontId="0" fillId="0" borderId="25" xfId="0" applyNumberFormat="1" applyBorder="1" applyAlignment="1">
      <alignment horizontal="right"/>
    </xf>
    <xf numFmtId="2" fontId="9" fillId="0" borderId="9" xfId="0" applyNumberFormat="1" applyFont="1" applyBorder="1" applyAlignment="1">
      <alignment horizontal="right"/>
    </xf>
    <xf numFmtId="2" fontId="9" fillId="0" borderId="10" xfId="0" applyNumberFormat="1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" fontId="9" fillId="0" borderId="7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right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T49"/>
  <sheetViews>
    <sheetView workbookViewId="0">
      <selection activeCell="D23" sqref="D23"/>
    </sheetView>
  </sheetViews>
  <sheetFormatPr defaultRowHeight="15"/>
  <cols>
    <col min="1" max="1" width="8.85546875" customWidth="1"/>
    <col min="2" max="2" width="19.42578125" style="1" customWidth="1"/>
    <col min="3" max="3" width="9.85546875" style="1" customWidth="1"/>
    <col min="4" max="4" width="12.7109375" style="1" customWidth="1"/>
    <col min="5" max="5" width="8.85546875" style="1" customWidth="1"/>
    <col min="6" max="6" width="11.5703125" style="1" customWidth="1"/>
    <col min="7" max="7" width="12.5703125" customWidth="1"/>
    <col min="8" max="8" width="14.5703125" customWidth="1"/>
    <col min="9" max="9" width="13.42578125" style="1" customWidth="1"/>
    <col min="10" max="10" width="15.42578125" style="1" customWidth="1"/>
    <col min="11" max="12" width="12.42578125" style="1" customWidth="1"/>
    <col min="13" max="13" width="6.5703125" style="1" customWidth="1"/>
    <col min="14" max="14" width="9.42578125" style="1" bestFit="1" customWidth="1"/>
    <col min="15" max="20" width="9.140625" style="1"/>
  </cols>
  <sheetData>
    <row r="1" spans="1:13">
      <c r="A1" s="3" t="s">
        <v>4</v>
      </c>
    </row>
    <row r="3" spans="1:13" ht="18.75">
      <c r="A3" s="133" t="s">
        <v>0</v>
      </c>
      <c r="B3" s="133"/>
      <c r="C3" s="133"/>
      <c r="D3" s="133"/>
      <c r="E3" s="133"/>
      <c r="F3" s="133"/>
      <c r="G3" s="133"/>
      <c r="H3" s="133"/>
      <c r="I3" s="133"/>
      <c r="J3" s="133"/>
    </row>
    <row r="5" spans="1:13" ht="114.75">
      <c r="A5" s="5" t="s">
        <v>3</v>
      </c>
      <c r="B5" s="5" t="s">
        <v>7</v>
      </c>
      <c r="C5" s="5" t="s">
        <v>1</v>
      </c>
      <c r="D5" s="5" t="s">
        <v>20</v>
      </c>
      <c r="E5" s="70" t="s">
        <v>48</v>
      </c>
      <c r="F5" s="5" t="s">
        <v>2</v>
      </c>
      <c r="G5" s="5" t="s">
        <v>8</v>
      </c>
      <c r="H5" s="5" t="s">
        <v>10</v>
      </c>
      <c r="I5" s="5" t="s">
        <v>12</v>
      </c>
      <c r="J5" s="5" t="s">
        <v>14</v>
      </c>
      <c r="K5" s="2" t="s">
        <v>43</v>
      </c>
      <c r="L5" s="2" t="s">
        <v>44</v>
      </c>
      <c r="M5" s="2"/>
    </row>
    <row r="6" spans="1:13" ht="15.75" thickBot="1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9</v>
      </c>
      <c r="H6" s="12" t="s">
        <v>11</v>
      </c>
      <c r="I6" s="13" t="s">
        <v>13</v>
      </c>
      <c r="J6" s="13" t="s">
        <v>15</v>
      </c>
    </row>
    <row r="7" spans="1:13">
      <c r="A7" s="16" t="s">
        <v>5</v>
      </c>
      <c r="B7" s="17" t="s">
        <v>16</v>
      </c>
      <c r="C7" s="116">
        <v>18.940000000000001</v>
      </c>
      <c r="D7" s="19">
        <f>20468+234.266</f>
        <v>20702.266</v>
      </c>
      <c r="E7" s="114">
        <v>66636</v>
      </c>
      <c r="F7" s="7">
        <v>1973</v>
      </c>
      <c r="G7" s="18">
        <f>C7*F7</f>
        <v>37368.620000000003</v>
      </c>
      <c r="H7" s="18">
        <f>G7/E7</f>
        <v>0.56078726214058472</v>
      </c>
      <c r="I7" s="125">
        <f>D7*12*1.302/1973</f>
        <v>163.93928230309172</v>
      </c>
      <c r="J7" s="94">
        <f>I7*H7</f>
        <v>91.935061280043215</v>
      </c>
    </row>
    <row r="8" spans="1:13">
      <c r="A8" s="20"/>
      <c r="B8" s="7" t="s">
        <v>17</v>
      </c>
      <c r="C8" s="114">
        <v>2.5</v>
      </c>
      <c r="D8" s="7">
        <v>20468</v>
      </c>
      <c r="E8" s="114">
        <v>66636</v>
      </c>
      <c r="F8" s="7">
        <v>1973</v>
      </c>
      <c r="G8" s="8">
        <f t="shared" ref="G8:G10" si="0">C8*F8</f>
        <v>4932.5</v>
      </c>
      <c r="H8" s="8">
        <f t="shared" ref="H8:H10" si="1">G8/E8</f>
        <v>7.4021549912959964E-2</v>
      </c>
      <c r="I8" s="125">
        <f t="shared" ref="I8:I10" si="2">D8*12*1.302/1973</f>
        <v>162.0841520527116</v>
      </c>
      <c r="J8" s="95">
        <f t="shared" ref="J8:J10" si="3">I8*H8</f>
        <v>11.997720151269585</v>
      </c>
    </row>
    <row r="9" spans="1:13">
      <c r="A9" s="20"/>
      <c r="B9" s="7" t="s">
        <v>18</v>
      </c>
      <c r="C9" s="114">
        <v>1</v>
      </c>
      <c r="D9" s="7">
        <v>20468</v>
      </c>
      <c r="E9" s="114">
        <v>66636</v>
      </c>
      <c r="F9" s="7">
        <v>1973</v>
      </c>
      <c r="G9" s="8">
        <f t="shared" si="0"/>
        <v>1973</v>
      </c>
      <c r="H9" s="8">
        <f t="shared" si="1"/>
        <v>2.9608619965183984E-2</v>
      </c>
      <c r="I9" s="125">
        <f t="shared" si="2"/>
        <v>162.0841520527116</v>
      </c>
      <c r="J9" s="95">
        <f t="shared" si="3"/>
        <v>4.7990880605078337</v>
      </c>
    </row>
    <row r="10" spans="1:13">
      <c r="A10" s="20"/>
      <c r="B10" s="7"/>
      <c r="C10" s="114"/>
      <c r="D10" s="7"/>
      <c r="E10" s="114">
        <v>66636</v>
      </c>
      <c r="F10" s="7">
        <v>1973</v>
      </c>
      <c r="G10" s="8">
        <f t="shared" si="0"/>
        <v>0</v>
      </c>
      <c r="H10" s="8">
        <f t="shared" si="1"/>
        <v>0</v>
      </c>
      <c r="I10" s="125">
        <f t="shared" si="2"/>
        <v>0</v>
      </c>
      <c r="J10" s="95">
        <f t="shared" si="3"/>
        <v>0</v>
      </c>
    </row>
    <row r="11" spans="1:13" ht="15.75" thickBot="1">
      <c r="A11" s="21"/>
      <c r="B11" s="22"/>
      <c r="C11" s="22">
        <f>SUM(C7:C10)</f>
        <v>22.44</v>
      </c>
      <c r="D11" s="22"/>
      <c r="E11" s="115"/>
      <c r="F11" s="22"/>
      <c r="G11" s="23"/>
      <c r="H11" s="25">
        <f>SUM(H7:H10)</f>
        <v>0.6644174320187286</v>
      </c>
      <c r="I11" s="24"/>
      <c r="J11" s="96">
        <f>SUM(J7:J10)</f>
        <v>108.73186949182063</v>
      </c>
      <c r="K11" s="126">
        <f>J11*E10</f>
        <v>7245456.8554569595</v>
      </c>
      <c r="L11" s="127">
        <v>7245456.8300000001</v>
      </c>
      <c r="M11" s="4">
        <f>L11-K11</f>
        <v>-2.5456959381699562E-2</v>
      </c>
    </row>
    <row r="12" spans="1:13">
      <c r="A12" s="6" t="s">
        <v>19</v>
      </c>
      <c r="B12" s="7" t="s">
        <v>16</v>
      </c>
      <c r="C12" s="114">
        <f>1.78+9.22</f>
        <v>11</v>
      </c>
      <c r="D12" s="9">
        <f>26000+320.02</f>
        <v>26320.02</v>
      </c>
      <c r="E12" s="114">
        <v>28224</v>
      </c>
      <c r="F12" s="7">
        <v>1973</v>
      </c>
      <c r="G12" s="8">
        <f t="shared" ref="G12:G14" si="4">C12*F12</f>
        <v>21703</v>
      </c>
      <c r="H12" s="8">
        <f>G12/E12</f>
        <v>0.76895549886621317</v>
      </c>
      <c r="I12" s="125">
        <f>D12*12*1.302/1973</f>
        <v>208.4257437810441</v>
      </c>
      <c r="J12" s="40">
        <f t="shared" ref="J12:J14" si="5">I12*H12</f>
        <v>160.27012178571431</v>
      </c>
      <c r="L12" s="126"/>
    </row>
    <row r="13" spans="1:13">
      <c r="A13" s="6"/>
      <c r="B13" s="7" t="s">
        <v>17</v>
      </c>
      <c r="C13" s="114">
        <v>1</v>
      </c>
      <c r="D13" s="7">
        <v>20468</v>
      </c>
      <c r="E13" s="114">
        <v>28224</v>
      </c>
      <c r="F13" s="7">
        <v>1973</v>
      </c>
      <c r="G13" s="8">
        <f t="shared" si="4"/>
        <v>1973</v>
      </c>
      <c r="H13" s="8">
        <f t="shared" ref="H13:H14" si="6">G13/E13</f>
        <v>6.9905045351473918E-2</v>
      </c>
      <c r="I13" s="125">
        <f t="shared" ref="I13:I14" si="7">D13*12*1.302/1973</f>
        <v>162.0841520527116</v>
      </c>
      <c r="J13" s="40">
        <f t="shared" si="5"/>
        <v>11.330499999999999</v>
      </c>
      <c r="L13" s="126"/>
    </row>
    <row r="14" spans="1:13">
      <c r="A14" s="6"/>
      <c r="B14" s="7" t="s">
        <v>18</v>
      </c>
      <c r="C14" s="114">
        <v>2</v>
      </c>
      <c r="D14" s="7">
        <v>20468</v>
      </c>
      <c r="E14" s="114">
        <v>28224</v>
      </c>
      <c r="F14" s="7">
        <v>1973</v>
      </c>
      <c r="G14" s="8">
        <f t="shared" si="4"/>
        <v>3946</v>
      </c>
      <c r="H14" s="8">
        <f t="shared" si="6"/>
        <v>0.13981009070294784</v>
      </c>
      <c r="I14" s="125">
        <f t="shared" si="7"/>
        <v>162.0841520527116</v>
      </c>
      <c r="J14" s="40">
        <f t="shared" si="5"/>
        <v>22.660999999999998</v>
      </c>
      <c r="L14" s="126"/>
    </row>
    <row r="15" spans="1:13">
      <c r="A15" s="6"/>
      <c r="B15" s="7"/>
      <c r="C15" s="9">
        <f>C12+C13+C14</f>
        <v>14</v>
      </c>
      <c r="D15" s="7"/>
      <c r="E15" s="7"/>
      <c r="F15" s="7">
        <v>1973</v>
      </c>
      <c r="G15" s="6"/>
      <c r="H15" s="10">
        <f>SUM(H12:H14)</f>
        <v>0.97867063492063489</v>
      </c>
      <c r="I15" s="11"/>
      <c r="J15" s="97">
        <f>SUM(J12:J14)</f>
        <v>194.26162178571431</v>
      </c>
      <c r="K15" s="126">
        <f>J15*E14</f>
        <v>5482840.0132800005</v>
      </c>
      <c r="L15" s="127">
        <v>5482840.4800000004</v>
      </c>
      <c r="M15" s="4">
        <f>L15-K15</f>
        <v>0.46671999990940094</v>
      </c>
    </row>
    <row r="17" spans="1:13">
      <c r="A17" s="47" t="s">
        <v>40</v>
      </c>
    </row>
    <row r="19" spans="1:13" ht="18.75">
      <c r="A19" s="133" t="s">
        <v>0</v>
      </c>
      <c r="B19" s="133"/>
      <c r="C19" s="133"/>
      <c r="D19" s="133"/>
      <c r="E19" s="133"/>
      <c r="F19" s="133"/>
      <c r="G19" s="133"/>
      <c r="H19" s="133"/>
      <c r="I19" s="133"/>
      <c r="J19" s="133"/>
    </row>
    <row r="21" spans="1:13" ht="114.75">
      <c r="A21" s="5" t="s">
        <v>3</v>
      </c>
      <c r="B21" s="5" t="s">
        <v>7</v>
      </c>
      <c r="C21" s="5" t="s">
        <v>1</v>
      </c>
      <c r="D21" s="5" t="s">
        <v>20</v>
      </c>
      <c r="E21" s="70" t="s">
        <v>48</v>
      </c>
      <c r="F21" s="5" t="s">
        <v>2</v>
      </c>
      <c r="G21" s="5" t="s">
        <v>8</v>
      </c>
      <c r="H21" s="5" t="s">
        <v>10</v>
      </c>
      <c r="I21" s="5" t="s">
        <v>12</v>
      </c>
      <c r="J21" s="5" t="s">
        <v>14</v>
      </c>
      <c r="K21" s="2" t="s">
        <v>43</v>
      </c>
      <c r="L21" s="2" t="s">
        <v>44</v>
      </c>
      <c r="M21" s="2"/>
    </row>
    <row r="22" spans="1:13" ht="15.75" thickBot="1">
      <c r="A22" s="12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 t="s">
        <v>9</v>
      </c>
      <c r="H22" s="12" t="s">
        <v>11</v>
      </c>
      <c r="I22" s="13" t="s">
        <v>13</v>
      </c>
      <c r="J22" s="13" t="s">
        <v>15</v>
      </c>
    </row>
    <row r="23" spans="1:13">
      <c r="A23" s="16" t="s">
        <v>5</v>
      </c>
      <c r="B23" s="17" t="s">
        <v>50</v>
      </c>
      <c r="C23" s="116">
        <v>1</v>
      </c>
      <c r="D23" s="19">
        <v>54000</v>
      </c>
      <c r="E23" s="114">
        <v>449</v>
      </c>
      <c r="F23" s="7">
        <v>1973</v>
      </c>
      <c r="G23" s="18">
        <f>C23*F23</f>
        <v>1973</v>
      </c>
      <c r="H23" s="18">
        <f>G23/E23</f>
        <v>4.3942093541202674</v>
      </c>
      <c r="I23" s="125">
        <f>D23*12*1.302/1973</f>
        <v>427.62088190572734</v>
      </c>
      <c r="J23" s="94">
        <f>I23*H23</f>
        <v>1879.0556792873053</v>
      </c>
    </row>
    <row r="24" spans="1:13">
      <c r="A24" s="20">
        <v>449</v>
      </c>
      <c r="B24" s="7" t="s">
        <v>51</v>
      </c>
      <c r="C24" s="114">
        <v>1</v>
      </c>
      <c r="D24" s="7">
        <v>45000</v>
      </c>
      <c r="E24" s="114">
        <v>449</v>
      </c>
      <c r="F24" s="7">
        <v>1973</v>
      </c>
      <c r="G24" s="8">
        <f t="shared" ref="G24:G29" si="8">C24*F24</f>
        <v>1973</v>
      </c>
      <c r="H24" s="8">
        <f t="shared" ref="H24:H29" si="9">G24/E24</f>
        <v>4.3942093541202674</v>
      </c>
      <c r="I24" s="125">
        <f t="shared" ref="I24:I33" si="10">D24*12*1.302/1973</f>
        <v>356.35073492143943</v>
      </c>
      <c r="J24" s="95">
        <f t="shared" ref="J24:J29" si="11">I24*H24</f>
        <v>1565.8797327394209</v>
      </c>
    </row>
    <row r="25" spans="1:13">
      <c r="A25" s="20"/>
      <c r="B25" s="7" t="s">
        <v>52</v>
      </c>
      <c r="C25" s="114">
        <v>1</v>
      </c>
      <c r="D25" s="7">
        <v>36000</v>
      </c>
      <c r="E25" s="114">
        <v>449</v>
      </c>
      <c r="F25" s="7">
        <v>1973</v>
      </c>
      <c r="G25" s="8">
        <f t="shared" si="8"/>
        <v>1973</v>
      </c>
      <c r="H25" s="8">
        <f t="shared" si="9"/>
        <v>4.3942093541202674</v>
      </c>
      <c r="I25" s="125">
        <f t="shared" si="10"/>
        <v>285.08058793715156</v>
      </c>
      <c r="J25" s="95">
        <f t="shared" si="11"/>
        <v>1252.7037861915369</v>
      </c>
    </row>
    <row r="26" spans="1:13">
      <c r="A26" s="20"/>
      <c r="B26" s="7" t="s">
        <v>54</v>
      </c>
      <c r="C26" s="114">
        <v>0.5</v>
      </c>
      <c r="D26" s="7">
        <v>20468</v>
      </c>
      <c r="E26" s="114">
        <v>449</v>
      </c>
      <c r="F26" s="7">
        <v>1973</v>
      </c>
      <c r="G26" s="8">
        <f t="shared" si="8"/>
        <v>986.5</v>
      </c>
      <c r="H26" s="8">
        <f t="shared" ref="H26:H28" si="12">G26/E26</f>
        <v>2.1971046770601337</v>
      </c>
      <c r="I26" s="125">
        <f t="shared" si="10"/>
        <v>162.0841520527116</v>
      </c>
      <c r="J26" s="95">
        <f t="shared" ref="J26:J28" si="13">I26*H26</f>
        <v>356.11584855233855</v>
      </c>
    </row>
    <row r="27" spans="1:13">
      <c r="A27" s="20"/>
      <c r="B27" s="7" t="s">
        <v>55</v>
      </c>
      <c r="C27" s="114">
        <v>4.5</v>
      </c>
      <c r="D27" s="7">
        <f>31500+320.63</f>
        <v>31820.63</v>
      </c>
      <c r="E27" s="114">
        <v>449</v>
      </c>
      <c r="F27" s="7">
        <v>1973</v>
      </c>
      <c r="G27" s="8">
        <f>C27*F27</f>
        <v>8878.5</v>
      </c>
      <c r="H27" s="8">
        <f t="shared" si="12"/>
        <v>19.773942093541201</v>
      </c>
      <c r="I27" s="125">
        <f t="shared" si="10"/>
        <v>251.98455302584898</v>
      </c>
      <c r="J27" s="95">
        <f t="shared" si="13"/>
        <v>4982.7279600000002</v>
      </c>
    </row>
    <row r="28" spans="1:13">
      <c r="A28" s="20"/>
      <c r="B28" s="7" t="s">
        <v>56</v>
      </c>
      <c r="C28" s="83"/>
      <c r="D28" s="7"/>
      <c r="E28" s="114">
        <v>449</v>
      </c>
      <c r="F28" s="7">
        <v>1973</v>
      </c>
      <c r="G28" s="8">
        <f t="shared" si="8"/>
        <v>0</v>
      </c>
      <c r="H28" s="8">
        <f t="shared" si="12"/>
        <v>0</v>
      </c>
      <c r="I28" s="125">
        <f t="shared" si="10"/>
        <v>0</v>
      </c>
      <c r="J28" s="95">
        <f t="shared" si="13"/>
        <v>0</v>
      </c>
    </row>
    <row r="29" spans="1:13">
      <c r="A29" s="20"/>
      <c r="B29" s="7" t="s">
        <v>53</v>
      </c>
      <c r="C29" s="114">
        <v>0.125</v>
      </c>
      <c r="D29" s="7">
        <v>10612</v>
      </c>
      <c r="E29" s="114">
        <v>449</v>
      </c>
      <c r="F29" s="7">
        <v>1973</v>
      </c>
      <c r="G29" s="8">
        <f t="shared" si="8"/>
        <v>246.625</v>
      </c>
      <c r="H29" s="8">
        <f t="shared" si="9"/>
        <v>0.54927616926503342</v>
      </c>
      <c r="I29" s="125">
        <f t="shared" si="10"/>
        <v>84.035422199695901</v>
      </c>
      <c r="J29" s="95">
        <f t="shared" si="11"/>
        <v>46.158654788418715</v>
      </c>
    </row>
    <row r="30" spans="1:13">
      <c r="A30" s="43"/>
      <c r="B30" s="44" t="s">
        <v>58</v>
      </c>
      <c r="C30" s="123">
        <v>1</v>
      </c>
      <c r="D30" s="44">
        <v>50000</v>
      </c>
      <c r="E30" s="114">
        <v>449</v>
      </c>
      <c r="F30" s="7">
        <v>1973</v>
      </c>
      <c r="G30" s="8">
        <f t="shared" ref="G30:G33" si="14">C30*F30</f>
        <v>1973</v>
      </c>
      <c r="H30" s="8">
        <f t="shared" ref="H30:H33" si="15">G30/E30</f>
        <v>4.3942093541202674</v>
      </c>
      <c r="I30" s="125">
        <f t="shared" si="10"/>
        <v>395.94526102382162</v>
      </c>
      <c r="J30" s="95">
        <f t="shared" ref="J30:J33" si="16">I30*H30</f>
        <v>1739.8663697104678</v>
      </c>
    </row>
    <row r="31" spans="1:13">
      <c r="A31" s="43"/>
      <c r="B31" s="44" t="s">
        <v>59</v>
      </c>
      <c r="C31" s="123">
        <v>1</v>
      </c>
      <c r="D31" s="82">
        <v>45000</v>
      </c>
      <c r="E31" s="114">
        <v>449</v>
      </c>
      <c r="F31" s="7">
        <v>1973</v>
      </c>
      <c r="G31" s="8">
        <f t="shared" si="14"/>
        <v>1973</v>
      </c>
      <c r="H31" s="8">
        <f t="shared" si="15"/>
        <v>4.3942093541202674</v>
      </c>
      <c r="I31" s="125">
        <f t="shared" si="10"/>
        <v>356.35073492143943</v>
      </c>
      <c r="J31" s="95">
        <f t="shared" si="16"/>
        <v>1565.8797327394209</v>
      </c>
    </row>
    <row r="32" spans="1:13">
      <c r="A32" s="43"/>
      <c r="B32" s="44" t="s">
        <v>60</v>
      </c>
      <c r="C32" s="123">
        <v>1</v>
      </c>
      <c r="D32" s="82">
        <f>32000+771.74</f>
        <v>32771.74</v>
      </c>
      <c r="E32" s="114">
        <v>449</v>
      </c>
      <c r="F32" s="7">
        <v>1973</v>
      </c>
      <c r="G32" s="8">
        <f t="shared" si="14"/>
        <v>1973</v>
      </c>
      <c r="H32" s="8">
        <f t="shared" si="15"/>
        <v>4.3942093541202674</v>
      </c>
      <c r="I32" s="125">
        <f t="shared" si="10"/>
        <v>259.51630297009632</v>
      </c>
      <c r="J32" s="95">
        <f t="shared" si="16"/>
        <v>1140.3689660579066</v>
      </c>
    </row>
    <row r="33" spans="1:13">
      <c r="A33" s="43"/>
      <c r="B33" s="44" t="s">
        <v>61</v>
      </c>
      <c r="C33" s="123">
        <v>1</v>
      </c>
      <c r="D33" s="82">
        <v>35000</v>
      </c>
      <c r="E33" s="114">
        <v>449</v>
      </c>
      <c r="F33" s="7">
        <v>1973</v>
      </c>
      <c r="G33" s="8">
        <f t="shared" si="14"/>
        <v>1973</v>
      </c>
      <c r="H33" s="8">
        <f t="shared" si="15"/>
        <v>4.3942093541202674</v>
      </c>
      <c r="I33" s="125">
        <f t="shared" si="10"/>
        <v>277.1616827166751</v>
      </c>
      <c r="J33" s="95">
        <f t="shared" si="16"/>
        <v>1217.9064587973273</v>
      </c>
    </row>
    <row r="34" spans="1:13" ht="15.75" thickBot="1">
      <c r="A34" s="43"/>
      <c r="B34" s="44"/>
      <c r="C34" s="44">
        <f>SUM(C23:C29)</f>
        <v>8.125</v>
      </c>
      <c r="D34" s="44"/>
      <c r="E34" s="44"/>
      <c r="F34" s="44"/>
      <c r="G34" s="46"/>
      <c r="H34" s="73">
        <f>SUM(H23:H29)</f>
        <v>35.702951002227174</v>
      </c>
      <c r="I34" s="72"/>
      <c r="J34" s="103">
        <f>SUM(J23:J33)</f>
        <v>15746.663188864144</v>
      </c>
      <c r="L34" s="4"/>
      <c r="M34" s="4"/>
    </row>
    <row r="35" spans="1:13" ht="15.75" thickBot="1">
      <c r="A35" s="74"/>
      <c r="B35" s="69"/>
      <c r="C35" s="69"/>
      <c r="D35" s="69"/>
      <c r="E35" s="69"/>
      <c r="F35" s="69"/>
      <c r="G35" s="75" t="s">
        <v>45</v>
      </c>
      <c r="H35" s="76"/>
      <c r="I35" s="71"/>
      <c r="J35" s="104">
        <f>J33+J32+J31+J30+J23+J24</f>
        <v>9108.9569393318488</v>
      </c>
      <c r="K35" s="126">
        <f>J35*E32</f>
        <v>4089921.6657600002</v>
      </c>
      <c r="L35" s="127">
        <f>459500+3630421.62</f>
        <v>4089921.62</v>
      </c>
      <c r="M35" s="4">
        <f t="shared" ref="M35:M36" si="17">L35-K35</f>
        <v>-4.5760000124573708E-2</v>
      </c>
    </row>
    <row r="36" spans="1:13" ht="15.75" thickBot="1">
      <c r="A36" s="77"/>
      <c r="B36" s="78"/>
      <c r="C36" s="78"/>
      <c r="D36" s="78"/>
      <c r="E36" s="78"/>
      <c r="F36" s="78"/>
      <c r="G36" s="79" t="s">
        <v>57</v>
      </c>
      <c r="H36" s="80"/>
      <c r="I36" s="81"/>
      <c r="J36" s="105">
        <f>J25+J26+J27+J28+J29</f>
        <v>6637.7062495322944</v>
      </c>
      <c r="K36" s="126">
        <f>J36*E31</f>
        <v>2980330.10604</v>
      </c>
      <c r="L36" s="127">
        <f>500+2288660+691170</f>
        <v>2980330</v>
      </c>
      <c r="M36" s="4">
        <f t="shared" si="17"/>
        <v>-0.10603999998420477</v>
      </c>
    </row>
    <row r="42" spans="1:13" ht="18.75">
      <c r="A42" s="107" t="s">
        <v>63</v>
      </c>
    </row>
    <row r="43" spans="1:13" ht="79.150000000000006" customHeight="1">
      <c r="A43" s="5" t="s">
        <v>3</v>
      </c>
      <c r="B43" s="5" t="s">
        <v>7</v>
      </c>
      <c r="C43" s="70" t="s">
        <v>1</v>
      </c>
      <c r="D43" s="70" t="s">
        <v>20</v>
      </c>
      <c r="E43" s="70" t="s">
        <v>64</v>
      </c>
      <c r="F43" s="70" t="s">
        <v>2</v>
      </c>
      <c r="G43" s="70" t="s">
        <v>8</v>
      </c>
      <c r="H43" s="70" t="s">
        <v>10</v>
      </c>
      <c r="I43" s="70" t="s">
        <v>12</v>
      </c>
      <c r="J43" s="70" t="s">
        <v>14</v>
      </c>
      <c r="K43" s="2" t="s">
        <v>62</v>
      </c>
      <c r="L43" s="2" t="s">
        <v>44</v>
      </c>
      <c r="M43" s="2"/>
    </row>
    <row r="44" spans="1:13" ht="15.75" thickBot="1">
      <c r="A44" s="12">
        <v>1</v>
      </c>
      <c r="B44" s="13">
        <v>2</v>
      </c>
      <c r="C44" s="13">
        <v>3</v>
      </c>
      <c r="D44" s="13">
        <v>4</v>
      </c>
      <c r="E44" s="13">
        <v>5</v>
      </c>
      <c r="F44" s="13">
        <v>6</v>
      </c>
      <c r="G44" s="13" t="s">
        <v>9</v>
      </c>
      <c r="H44" s="12" t="s">
        <v>11</v>
      </c>
      <c r="I44" s="13" t="s">
        <v>13</v>
      </c>
      <c r="J44" s="13" t="s">
        <v>15</v>
      </c>
    </row>
    <row r="45" spans="1:13" ht="15.75" thickBot="1">
      <c r="A45" s="16" t="s">
        <v>49</v>
      </c>
      <c r="B45" s="17" t="s">
        <v>65</v>
      </c>
      <c r="C45" s="116">
        <v>1</v>
      </c>
      <c r="D45" s="17">
        <v>30000</v>
      </c>
      <c r="E45" s="116">
        <v>12</v>
      </c>
      <c r="F45" s="69">
        <v>1973</v>
      </c>
      <c r="G45" s="18">
        <f>C45*F45</f>
        <v>1973</v>
      </c>
      <c r="H45" s="18">
        <f>G45/E45</f>
        <v>164.41666666666666</v>
      </c>
      <c r="I45" s="125">
        <f>D45*12*1.302/1973</f>
        <v>237.56715661429294</v>
      </c>
      <c r="J45" s="94">
        <f>I45*H45</f>
        <v>39059.999999999993</v>
      </c>
    </row>
    <row r="46" spans="1:13" ht="15.75" thickBot="1">
      <c r="A46" s="20"/>
      <c r="B46" s="7" t="s">
        <v>66</v>
      </c>
      <c r="C46" s="114">
        <v>1</v>
      </c>
      <c r="D46" s="7">
        <v>25000</v>
      </c>
      <c r="E46" s="114">
        <v>12</v>
      </c>
      <c r="F46" s="69">
        <v>1973</v>
      </c>
      <c r="G46" s="8">
        <f>C46*F46</f>
        <v>1973</v>
      </c>
      <c r="H46" s="8">
        <f>G46/E46</f>
        <v>164.41666666666666</v>
      </c>
      <c r="I46" s="125">
        <f t="shared" ref="I46:I47" si="18">D46*12*1.302/1973</f>
        <v>197.97263051191081</v>
      </c>
      <c r="J46" s="95">
        <f t="shared" ref="J46" si="19">I46*H46</f>
        <v>32550</v>
      </c>
    </row>
    <row r="47" spans="1:13">
      <c r="A47" s="20"/>
      <c r="B47" s="7" t="s">
        <v>18</v>
      </c>
      <c r="C47" s="114">
        <v>1</v>
      </c>
      <c r="D47" s="7">
        <f>24000+134.7</f>
        <v>24134.7</v>
      </c>
      <c r="E47" s="114">
        <v>12</v>
      </c>
      <c r="F47" s="69">
        <v>1973</v>
      </c>
      <c r="G47" s="8">
        <f>C47*F47</f>
        <v>1973</v>
      </c>
      <c r="H47" s="8">
        <f>G47/E47</f>
        <v>164.41666666666666</v>
      </c>
      <c r="I47" s="125">
        <f t="shared" si="18"/>
        <v>191.12040182463258</v>
      </c>
      <c r="J47" s="95">
        <f t="shared" ref="J47" si="20">I47*H47</f>
        <v>31423.379400000005</v>
      </c>
    </row>
    <row r="48" spans="1:13" ht="15.75" thickBot="1">
      <c r="A48" s="21"/>
      <c r="B48" s="22"/>
      <c r="C48" s="115">
        <f>SUM(C45:C47)</f>
        <v>3</v>
      </c>
      <c r="D48" s="22"/>
      <c r="E48" s="115"/>
      <c r="F48" s="22"/>
      <c r="G48" s="23"/>
      <c r="H48" s="23"/>
      <c r="I48" s="24"/>
      <c r="J48" s="96">
        <f>SUM(J45:J47)</f>
        <v>103033.37940000001</v>
      </c>
    </row>
    <row r="49" spans="1:14" ht="15.75" thickBot="1">
      <c r="A49" s="110"/>
      <c r="B49" s="111"/>
      <c r="C49" s="117"/>
      <c r="D49" s="111"/>
      <c r="E49" s="117"/>
      <c r="F49" s="111"/>
      <c r="G49" s="112"/>
      <c r="H49" s="134" t="s">
        <v>46</v>
      </c>
      <c r="I49" s="135"/>
      <c r="J49" s="113">
        <f>J45+J46+J47</f>
        <v>103033.37940000001</v>
      </c>
      <c r="K49" s="124">
        <f>J49*E45</f>
        <v>1236400.5528000002</v>
      </c>
      <c r="L49" s="124">
        <v>1236400</v>
      </c>
      <c r="M49" s="108">
        <f>L49-K49</f>
        <v>-0.55280000017955899</v>
      </c>
      <c r="N49" s="109"/>
    </row>
  </sheetData>
  <mergeCells count="3">
    <mergeCell ref="A3:J3"/>
    <mergeCell ref="A19:J19"/>
    <mergeCell ref="H49:I49"/>
  </mergeCells>
  <pageMargins left="0.31496062992125984" right="0" top="0.15748031496062992" bottom="0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S31"/>
  <sheetViews>
    <sheetView topLeftCell="A4" workbookViewId="0">
      <selection activeCell="J10" sqref="J10:K14"/>
    </sheetView>
  </sheetViews>
  <sheetFormatPr defaultRowHeight="15"/>
  <cols>
    <col min="1" max="1" width="8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1" customWidth="1"/>
    <col min="6" max="6" width="14.42578125" style="1" customWidth="1"/>
    <col min="7" max="7" width="12.5703125" customWidth="1"/>
    <col min="8" max="8" width="11.5703125" customWidth="1"/>
    <col min="9" max="9" width="12.7109375" style="1" customWidth="1"/>
    <col min="10" max="10" width="10.7109375" style="1" customWidth="1"/>
    <col min="11" max="11" width="9.140625" style="1"/>
    <col min="12" max="12" width="12.85546875" style="1" customWidth="1"/>
    <col min="13" max="13" width="11" style="1" bestFit="1" customWidth="1"/>
    <col min="14" max="15" width="9.140625" style="1"/>
    <col min="16" max="16" width="10.42578125" style="1" bestFit="1" customWidth="1"/>
    <col min="17" max="19" width="9.140625" style="1"/>
  </cols>
  <sheetData>
    <row r="1" spans="1:19">
      <c r="A1" s="3" t="s">
        <v>4</v>
      </c>
    </row>
    <row r="2" spans="1:19" ht="38.25" customHeight="1">
      <c r="A2" s="138" t="s">
        <v>21</v>
      </c>
      <c r="B2" s="138"/>
      <c r="C2" s="138"/>
      <c r="D2" s="138"/>
      <c r="E2" s="138"/>
      <c r="F2" s="138"/>
      <c r="G2" s="138"/>
      <c r="H2" s="138"/>
      <c r="I2" s="138"/>
    </row>
    <row r="3" spans="1:19" ht="15.75" thickBot="1"/>
    <row r="4" spans="1:19" ht="89.25">
      <c r="A4" s="31" t="s">
        <v>3</v>
      </c>
      <c r="B4" s="32" t="s">
        <v>22</v>
      </c>
      <c r="C4" s="32" t="s">
        <v>28</v>
      </c>
      <c r="D4" s="32" t="s">
        <v>23</v>
      </c>
      <c r="E4" s="70" t="s">
        <v>48</v>
      </c>
      <c r="F4" s="32" t="s">
        <v>24</v>
      </c>
      <c r="G4" s="32" t="s">
        <v>25</v>
      </c>
      <c r="H4" s="32" t="s">
        <v>26</v>
      </c>
      <c r="I4" s="33" t="s">
        <v>14</v>
      </c>
      <c r="J4" s="2" t="s">
        <v>43</v>
      </c>
      <c r="K4" s="2" t="s">
        <v>47</v>
      </c>
      <c r="L4" s="2"/>
    </row>
    <row r="5" spans="1:19" ht="15.75" thickBot="1">
      <c r="A5" s="34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27</v>
      </c>
      <c r="G5" s="35">
        <v>7</v>
      </c>
      <c r="H5" s="36">
        <v>8</v>
      </c>
      <c r="I5" s="37" t="s">
        <v>29</v>
      </c>
    </row>
    <row r="6" spans="1:19">
      <c r="A6" s="30" t="s">
        <v>49</v>
      </c>
      <c r="B6" s="14" t="s">
        <v>30</v>
      </c>
      <c r="C6" s="14" t="s">
        <v>31</v>
      </c>
      <c r="D6" s="14">
        <v>40</v>
      </c>
      <c r="E6" s="121">
        <f>з.пл.!E7</f>
        <v>66636</v>
      </c>
      <c r="F6" s="41">
        <f>D6/E6</f>
        <v>6.002761270184285E-4</v>
      </c>
      <c r="G6" s="27">
        <v>1</v>
      </c>
      <c r="H6" s="15">
        <v>250</v>
      </c>
      <c r="I6" s="98">
        <f>F6*H6</f>
        <v>0.15006903175460712</v>
      </c>
      <c r="J6" s="126">
        <f>I6*E6</f>
        <v>10000</v>
      </c>
      <c r="K6" s="126">
        <v>10000</v>
      </c>
    </row>
    <row r="7" spans="1:19">
      <c r="A7" s="20"/>
      <c r="B7" s="7" t="s">
        <v>72</v>
      </c>
      <c r="C7" s="7" t="s">
        <v>36</v>
      </c>
      <c r="D7" s="7">
        <v>1</v>
      </c>
      <c r="E7" s="121">
        <f>E6</f>
        <v>66636</v>
      </c>
      <c r="F7" s="41">
        <f>D7/E7</f>
        <v>1.5006903175460712E-5</v>
      </c>
      <c r="G7" s="26">
        <v>1</v>
      </c>
      <c r="H7" s="8">
        <v>4500</v>
      </c>
      <c r="I7" s="95">
        <f t="shared" ref="I7:I8" si="0">F7*H7</f>
        <v>6.7531064289573201E-2</v>
      </c>
      <c r="J7" s="126">
        <f t="shared" ref="J7:J8" si="1">I7*E7</f>
        <v>4500</v>
      </c>
      <c r="K7" s="126">
        <v>4500</v>
      </c>
    </row>
    <row r="8" spans="1:19">
      <c r="A8" s="43"/>
      <c r="B8" s="44" t="s">
        <v>67</v>
      </c>
      <c r="C8" s="44" t="s">
        <v>36</v>
      </c>
      <c r="D8" s="44">
        <v>1</v>
      </c>
      <c r="E8" s="121">
        <f>E7</f>
        <v>66636</v>
      </c>
      <c r="F8" s="41">
        <f>D8/E8</f>
        <v>1.5006903175460712E-5</v>
      </c>
      <c r="G8" s="45">
        <v>1</v>
      </c>
      <c r="H8" s="46">
        <v>31100</v>
      </c>
      <c r="I8" s="95">
        <f t="shared" si="0"/>
        <v>0.46671468875682814</v>
      </c>
      <c r="J8" s="126">
        <f t="shared" si="1"/>
        <v>31100</v>
      </c>
      <c r="K8" s="126">
        <f>21100+20000-10000</f>
        <v>31100</v>
      </c>
    </row>
    <row r="9" spans="1:19" s="1" customFormat="1" ht="15.75" thickBot="1">
      <c r="A9" s="21"/>
      <c r="B9" s="22"/>
      <c r="C9" s="22"/>
      <c r="D9" s="22"/>
      <c r="E9" s="115"/>
      <c r="F9" s="22"/>
      <c r="G9" s="23"/>
      <c r="H9" s="29"/>
      <c r="I9" s="96">
        <f>SUM(I6:I8)</f>
        <v>0.68431478480100849</v>
      </c>
      <c r="J9" s="126">
        <f>I9*E8</f>
        <v>45600</v>
      </c>
      <c r="K9" s="126">
        <f>K6+K7+K8</f>
        <v>45600</v>
      </c>
    </row>
    <row r="10" spans="1:19" s="1" customFormat="1" ht="15.75" thickBot="1">
      <c r="A10" s="16" t="s">
        <v>19</v>
      </c>
      <c r="B10" s="17" t="s">
        <v>30</v>
      </c>
      <c r="C10" s="17" t="s">
        <v>31</v>
      </c>
      <c r="D10" s="17">
        <v>40</v>
      </c>
      <c r="E10" s="122">
        <f>з.пл.!E12</f>
        <v>28224</v>
      </c>
      <c r="F10" s="42">
        <f>D10/E10</f>
        <v>1.4172335600907029E-3</v>
      </c>
      <c r="G10" s="28">
        <v>1</v>
      </c>
      <c r="H10" s="18">
        <v>250</v>
      </c>
      <c r="I10" s="94">
        <f>F10*H10</f>
        <v>0.35430839002267572</v>
      </c>
      <c r="J10" s="126">
        <f>I10*E10</f>
        <v>10000</v>
      </c>
      <c r="K10" s="126">
        <v>10000</v>
      </c>
    </row>
    <row r="11" spans="1:19" s="1" customFormat="1" ht="15.75" thickBot="1">
      <c r="A11" s="20"/>
      <c r="B11" s="7" t="s">
        <v>39</v>
      </c>
      <c r="C11" s="7" t="s">
        <v>36</v>
      </c>
      <c r="D11" s="7">
        <v>1</v>
      </c>
      <c r="E11" s="122">
        <f>E10</f>
        <v>28224</v>
      </c>
      <c r="F11" s="40">
        <f>D11/E11</f>
        <v>3.5430839002267575E-5</v>
      </c>
      <c r="G11" s="26">
        <v>1</v>
      </c>
      <c r="H11" s="8">
        <v>20000</v>
      </c>
      <c r="I11" s="95">
        <f>F11*H11</f>
        <v>0.70861678004535145</v>
      </c>
      <c r="J11" s="126">
        <f>I11*E11</f>
        <v>20000</v>
      </c>
      <c r="K11" s="126">
        <v>20000</v>
      </c>
    </row>
    <row r="12" spans="1:19" s="1" customFormat="1" ht="15.75" thickBot="1">
      <c r="A12" s="20"/>
      <c r="B12" s="7" t="s">
        <v>68</v>
      </c>
      <c r="C12" s="7" t="s">
        <v>36</v>
      </c>
      <c r="D12" s="7">
        <v>1</v>
      </c>
      <c r="E12" s="122">
        <f t="shared" ref="E12:E13" si="2">E11</f>
        <v>28224</v>
      </c>
      <c r="F12" s="40">
        <f t="shared" ref="F12" si="3">D12/E12</f>
        <v>3.5430839002267575E-5</v>
      </c>
      <c r="G12" s="26">
        <v>1</v>
      </c>
      <c r="H12" s="8">
        <v>7050</v>
      </c>
      <c r="I12" s="95">
        <f t="shared" ref="I12:I13" si="4">F12*H12</f>
        <v>0.24978741496598639</v>
      </c>
      <c r="J12" s="126">
        <f t="shared" ref="J12:J13" si="5">I12*E12</f>
        <v>7050</v>
      </c>
      <c r="K12" s="126">
        <v>7050</v>
      </c>
    </row>
    <row r="13" spans="1:19" s="1" customFormat="1">
      <c r="A13" s="20"/>
      <c r="B13" s="44" t="s">
        <v>67</v>
      </c>
      <c r="C13" s="7" t="s">
        <v>36</v>
      </c>
      <c r="D13" s="7">
        <v>1</v>
      </c>
      <c r="E13" s="122">
        <f t="shared" si="2"/>
        <v>28224</v>
      </c>
      <c r="F13" s="40">
        <f>D13/E13</f>
        <v>3.5430839002267575E-5</v>
      </c>
      <c r="G13" s="26">
        <v>1</v>
      </c>
      <c r="H13" s="8">
        <v>73239</v>
      </c>
      <c r="I13" s="95">
        <f t="shared" si="4"/>
        <v>2.594919217687075</v>
      </c>
      <c r="J13" s="126">
        <f t="shared" si="5"/>
        <v>73239</v>
      </c>
      <c r="K13" s="126">
        <f>73239</f>
        <v>73239</v>
      </c>
    </row>
    <row r="14" spans="1:19" s="1" customFormat="1" ht="15.75" thickBot="1">
      <c r="A14" s="21"/>
      <c r="B14" s="22"/>
      <c r="C14" s="24"/>
      <c r="D14" s="22"/>
      <c r="E14" s="22"/>
      <c r="F14" s="22"/>
      <c r="G14" s="38"/>
      <c r="H14" s="29"/>
      <c r="I14" s="96">
        <f>SUM(I10:I13)</f>
        <v>3.9076318027210886</v>
      </c>
      <c r="J14" s="124">
        <f>I14*E12</f>
        <v>110289</v>
      </c>
      <c r="K14" s="126">
        <f>K10+K11+K12+K13</f>
        <v>110289</v>
      </c>
    </row>
    <row r="16" spans="1:19" s="49" customFormat="1">
      <c r="A16" s="47" t="s">
        <v>40</v>
      </c>
      <c r="B16" s="48"/>
      <c r="C16" s="48"/>
      <c r="D16" s="48"/>
      <c r="E16" s="48"/>
      <c r="F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</row>
    <row r="17" spans="1:19" s="49" customFormat="1" ht="14.25" customHeight="1">
      <c r="A17" s="139" t="s">
        <v>41</v>
      </c>
      <c r="B17" s="139"/>
      <c r="C17" s="139"/>
      <c r="D17" s="139"/>
      <c r="E17" s="139"/>
      <c r="F17" s="139"/>
      <c r="G17" s="139"/>
      <c r="H17" s="139"/>
      <c r="I17" s="139"/>
      <c r="J17" s="48"/>
      <c r="K17" s="48"/>
      <c r="L17" s="48"/>
      <c r="M17" s="48"/>
      <c r="N17" s="48"/>
      <c r="O17" s="48"/>
      <c r="P17" s="48"/>
      <c r="Q17" s="48"/>
      <c r="R17" s="48"/>
      <c r="S17" s="48"/>
    </row>
    <row r="18" spans="1:19" s="49" customFormat="1" ht="15.75" thickBot="1">
      <c r="B18" s="48"/>
      <c r="C18" s="48"/>
      <c r="D18" s="48"/>
      <c r="E18" s="48"/>
      <c r="F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</row>
    <row r="19" spans="1:19" s="49" customFormat="1" ht="75">
      <c r="A19" s="50" t="s">
        <v>3</v>
      </c>
      <c r="B19" s="51" t="s">
        <v>22</v>
      </c>
      <c r="C19" s="51" t="s">
        <v>28</v>
      </c>
      <c r="D19" s="51" t="s">
        <v>23</v>
      </c>
      <c r="E19" s="51" t="s">
        <v>6</v>
      </c>
      <c r="F19" s="51" t="s">
        <v>24</v>
      </c>
      <c r="G19" s="51" t="s">
        <v>25</v>
      </c>
      <c r="H19" s="51" t="s">
        <v>26</v>
      </c>
      <c r="I19" s="52" t="s">
        <v>14</v>
      </c>
      <c r="J19" s="53"/>
      <c r="K19" s="53"/>
      <c r="L19" s="53"/>
      <c r="M19" s="48"/>
      <c r="N19" s="48"/>
      <c r="O19" s="48"/>
      <c r="P19" s="48"/>
      <c r="Q19" s="48"/>
      <c r="R19" s="48"/>
      <c r="S19" s="48"/>
    </row>
    <row r="20" spans="1:19" s="49" customFormat="1" ht="15.75" thickBot="1">
      <c r="A20" s="61">
        <v>1</v>
      </c>
      <c r="B20" s="62">
        <v>2</v>
      </c>
      <c r="C20" s="62">
        <v>3</v>
      </c>
      <c r="D20" s="62">
        <v>4</v>
      </c>
      <c r="E20" s="62">
        <v>5</v>
      </c>
      <c r="F20" s="62" t="s">
        <v>27</v>
      </c>
      <c r="G20" s="62">
        <v>7</v>
      </c>
      <c r="H20" s="63">
        <v>8</v>
      </c>
      <c r="I20" s="64" t="s">
        <v>29</v>
      </c>
      <c r="J20" s="48"/>
      <c r="K20" s="48"/>
      <c r="L20" s="48"/>
      <c r="M20" s="48"/>
      <c r="N20" s="48"/>
      <c r="O20" s="48"/>
      <c r="P20" s="48"/>
      <c r="Q20" s="48"/>
      <c r="R20" s="48"/>
      <c r="S20" s="48"/>
    </row>
    <row r="21" spans="1:19" s="49" customFormat="1">
      <c r="A21" s="87" t="s">
        <v>49</v>
      </c>
      <c r="B21" s="56" t="s">
        <v>42</v>
      </c>
      <c r="C21" s="56" t="s">
        <v>36</v>
      </c>
      <c r="D21" s="84">
        <v>1</v>
      </c>
      <c r="E21" s="118">
        <v>449</v>
      </c>
      <c r="F21" s="65">
        <f>D21/E21</f>
        <v>2.2271714922048997E-3</v>
      </c>
      <c r="G21" s="85">
        <v>1</v>
      </c>
      <c r="H21" s="86"/>
      <c r="I21" s="99">
        <f>F21*H21</f>
        <v>0</v>
      </c>
      <c r="J21" s="129">
        <f>I21*E21</f>
        <v>0</v>
      </c>
      <c r="K21" s="129"/>
      <c r="L21" s="48"/>
      <c r="M21" s="48"/>
      <c r="N21" s="48"/>
      <c r="O21" s="48"/>
      <c r="P21" s="48"/>
      <c r="Q21" s="48"/>
      <c r="R21" s="48"/>
      <c r="S21" s="48"/>
    </row>
    <row r="22" spans="1:19" s="49" customFormat="1">
      <c r="A22" s="88"/>
      <c r="B22" s="56" t="s">
        <v>69</v>
      </c>
      <c r="C22" s="56" t="s">
        <v>36</v>
      </c>
      <c r="D22" s="56">
        <v>1</v>
      </c>
      <c r="E22" s="119">
        <v>449</v>
      </c>
      <c r="F22" s="65">
        <f>D22/E22</f>
        <v>2.2271714922048997E-3</v>
      </c>
      <c r="G22" s="66">
        <v>1</v>
      </c>
      <c r="H22" s="67"/>
      <c r="I22" s="65">
        <f>F22*H22</f>
        <v>0</v>
      </c>
      <c r="J22" s="129">
        <f>I22*E22</f>
        <v>0</v>
      </c>
      <c r="K22" s="129"/>
      <c r="L22" s="48"/>
      <c r="M22" s="48"/>
      <c r="N22" s="48"/>
      <c r="O22" s="48"/>
      <c r="P22" s="48"/>
      <c r="Q22" s="48"/>
      <c r="R22" s="48"/>
      <c r="S22" s="48"/>
    </row>
    <row r="23" spans="1:19" s="49" customFormat="1">
      <c r="A23" s="88"/>
      <c r="B23" s="56" t="s">
        <v>69</v>
      </c>
      <c r="C23" s="56" t="s">
        <v>70</v>
      </c>
      <c r="D23" s="56">
        <v>1</v>
      </c>
      <c r="E23" s="120">
        <v>449</v>
      </c>
      <c r="F23" s="57">
        <f>D23/E23</f>
        <v>2.2271714922048997E-3</v>
      </c>
      <c r="G23" s="58">
        <v>1</v>
      </c>
      <c r="H23" s="59">
        <f>182791+2946628.38-851714.38</f>
        <v>2277705</v>
      </c>
      <c r="I23" s="100">
        <f>H23*F23</f>
        <v>5072.8396436525609</v>
      </c>
      <c r="J23" s="129">
        <f>I23*E23</f>
        <v>2277705</v>
      </c>
      <c r="K23" s="129">
        <f>6577050-3630421.62+182791-851714.38</f>
        <v>2277705</v>
      </c>
      <c r="L23" s="89"/>
      <c r="M23" s="48"/>
      <c r="N23" s="48"/>
      <c r="O23" s="48"/>
      <c r="P23" s="68"/>
      <c r="Q23" s="48"/>
      <c r="R23" s="48"/>
      <c r="S23" s="48"/>
    </row>
    <row r="24" spans="1:19" s="49" customFormat="1">
      <c r="A24" s="60"/>
      <c r="B24" s="56"/>
      <c r="C24" s="56"/>
      <c r="D24" s="90">
        <v>1</v>
      </c>
      <c r="E24" s="90"/>
      <c r="F24" s="91"/>
      <c r="G24" s="92"/>
      <c r="H24" s="93"/>
      <c r="I24" s="101">
        <f>I23+I22+I21</f>
        <v>5072.8396436525609</v>
      </c>
      <c r="J24" s="129">
        <f>I24*449</f>
        <v>2277705</v>
      </c>
      <c r="K24" s="129">
        <f>K23+K22+K21</f>
        <v>2277705</v>
      </c>
      <c r="L24" s="48"/>
      <c r="M24" s="48"/>
      <c r="N24" s="48"/>
      <c r="O24" s="48"/>
      <c r="P24" s="48"/>
      <c r="Q24" s="48"/>
      <c r="R24" s="48"/>
      <c r="S24" s="48"/>
    </row>
    <row r="25" spans="1:19" s="49" customFormat="1">
      <c r="A25" s="140" t="s">
        <v>45</v>
      </c>
      <c r="B25" s="141"/>
      <c r="C25" s="141"/>
      <c r="D25" s="141"/>
      <c r="E25" s="141"/>
      <c r="F25" s="141"/>
      <c r="G25" s="141"/>
      <c r="H25" s="141"/>
      <c r="I25" s="101">
        <f>I23+I21+I22</f>
        <v>5072.8396436525609</v>
      </c>
      <c r="J25" s="129">
        <f>I25*449</f>
        <v>2277705</v>
      </c>
      <c r="K25" s="129">
        <f>K24-K26</f>
        <v>2277705</v>
      </c>
      <c r="L25" s="48"/>
      <c r="M25" s="48"/>
      <c r="N25" s="48"/>
      <c r="O25" s="48"/>
      <c r="P25" s="48"/>
      <c r="Q25" s="48"/>
      <c r="R25" s="48"/>
      <c r="S25" s="48"/>
    </row>
    <row r="26" spans="1:19" s="48" customFormat="1" ht="15.75" thickBot="1">
      <c r="A26" s="136" t="s">
        <v>46</v>
      </c>
      <c r="B26" s="137"/>
      <c r="C26" s="137"/>
      <c r="D26" s="137"/>
      <c r="E26" s="137"/>
      <c r="F26" s="137"/>
      <c r="G26" s="137"/>
      <c r="H26" s="137"/>
      <c r="I26" s="102">
        <v>0</v>
      </c>
      <c r="J26" s="129">
        <f>I26*449</f>
        <v>0</v>
      </c>
      <c r="K26" s="129">
        <v>0</v>
      </c>
    </row>
    <row r="27" spans="1:19" s="48" customFormat="1">
      <c r="A27" s="54" t="s">
        <v>19</v>
      </c>
      <c r="B27" s="55" t="s">
        <v>42</v>
      </c>
      <c r="C27" s="55" t="s">
        <v>36</v>
      </c>
      <c r="D27" s="55">
        <v>1</v>
      </c>
      <c r="E27" s="120">
        <v>60</v>
      </c>
      <c r="F27" s="57">
        <f>D27/E27</f>
        <v>1.6666666666666666E-2</v>
      </c>
      <c r="G27" s="58">
        <v>1</v>
      </c>
      <c r="H27" s="59">
        <v>156979</v>
      </c>
      <c r="I27" s="100">
        <f>F27*H27</f>
        <v>2616.3166666666666</v>
      </c>
      <c r="J27" s="129"/>
      <c r="K27" s="129"/>
    </row>
    <row r="28" spans="1:19" s="49" customFormat="1">
      <c r="A28" s="60"/>
      <c r="B28" s="55" t="s">
        <v>42</v>
      </c>
      <c r="C28" s="55" t="s">
        <v>36</v>
      </c>
      <c r="D28" s="55">
        <v>1</v>
      </c>
      <c r="E28" s="120">
        <v>60</v>
      </c>
      <c r="F28" s="57">
        <f>D28/E28</f>
        <v>1.6666666666666666E-2</v>
      </c>
      <c r="G28" s="58">
        <v>1</v>
      </c>
      <c r="H28" s="59"/>
      <c r="I28" s="100">
        <f>F28*H28</f>
        <v>0</v>
      </c>
      <c r="J28" s="129"/>
      <c r="K28" s="129"/>
      <c r="L28" s="48"/>
      <c r="M28" s="48"/>
      <c r="N28" s="48"/>
      <c r="O28" s="48"/>
      <c r="P28" s="48"/>
      <c r="Q28" s="48"/>
      <c r="R28" s="48"/>
      <c r="S28" s="48"/>
    </row>
    <row r="29" spans="1:19" s="49" customFormat="1">
      <c r="A29" s="60"/>
      <c r="B29" s="56"/>
      <c r="C29" s="56"/>
      <c r="D29" s="56"/>
      <c r="E29" s="56"/>
      <c r="F29" s="65"/>
      <c r="G29" s="66"/>
      <c r="H29" s="67"/>
      <c r="I29" s="101">
        <f>I28+I27</f>
        <v>2616.3166666666666</v>
      </c>
      <c r="J29" s="128">
        <f>I29*E27</f>
        <v>156979</v>
      </c>
      <c r="K29" s="129">
        <v>156979</v>
      </c>
      <c r="L29" s="48"/>
      <c r="M29" s="48"/>
      <c r="N29" s="48"/>
      <c r="O29" s="48"/>
      <c r="P29" s="48"/>
      <c r="Q29" s="48"/>
      <c r="R29" s="48"/>
      <c r="S29" s="48"/>
    </row>
    <row r="30" spans="1:19" s="49" customFormat="1">
      <c r="A30" s="140" t="s">
        <v>45</v>
      </c>
      <c r="B30" s="141"/>
      <c r="C30" s="141"/>
      <c r="D30" s="141"/>
      <c r="E30" s="141"/>
      <c r="F30" s="141"/>
      <c r="G30" s="141"/>
      <c r="H30" s="141"/>
      <c r="I30" s="101">
        <f>I27</f>
        <v>2616.3166666666666</v>
      </c>
      <c r="J30" s="48"/>
      <c r="K30" s="48"/>
      <c r="L30" s="48"/>
      <c r="M30" s="48"/>
      <c r="N30" s="48"/>
      <c r="O30" s="48"/>
      <c r="P30" s="48"/>
      <c r="Q30" s="48"/>
      <c r="R30" s="48"/>
      <c r="S30" s="48"/>
    </row>
    <row r="31" spans="1:19" s="48" customFormat="1" ht="15.75" thickBot="1">
      <c r="A31" s="136" t="s">
        <v>46</v>
      </c>
      <c r="B31" s="137"/>
      <c r="C31" s="137"/>
      <c r="D31" s="137"/>
      <c r="E31" s="137"/>
      <c r="F31" s="137"/>
      <c r="G31" s="137"/>
      <c r="H31" s="137"/>
      <c r="I31" s="102">
        <f>I28</f>
        <v>0</v>
      </c>
    </row>
  </sheetData>
  <mergeCells count="6">
    <mergeCell ref="A31:H31"/>
    <mergeCell ref="A2:I2"/>
    <mergeCell ref="A17:I17"/>
    <mergeCell ref="A25:H25"/>
    <mergeCell ref="A26:H26"/>
    <mergeCell ref="A30:H30"/>
  </mergeCells>
  <pageMargins left="0.70866141732283472" right="0.70866141732283472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T29"/>
  <sheetViews>
    <sheetView tabSelected="1" workbookViewId="0">
      <selection activeCell="U31" sqref="U31"/>
    </sheetView>
  </sheetViews>
  <sheetFormatPr defaultRowHeight="15"/>
  <cols>
    <col min="1" max="1" width="8.85546875" customWidth="1"/>
    <col min="2" max="2" width="21.140625" style="1" customWidth="1"/>
    <col min="3" max="3" width="13.42578125" style="1" customWidth="1"/>
    <col min="4" max="4" width="9.85546875" style="1" customWidth="1"/>
    <col min="5" max="5" width="11.42578125" style="1" customWidth="1"/>
    <col min="6" max="6" width="14.42578125" style="1" customWidth="1"/>
    <col min="7" max="7" width="11.7109375" customWidth="1"/>
    <col min="8" max="8" width="12.28515625" style="1" customWidth="1"/>
    <col min="9" max="9" width="9.5703125" style="1" customWidth="1"/>
    <col min="10" max="10" width="12" style="1" customWidth="1"/>
    <col min="11" max="11" width="4.28515625" style="1" customWidth="1"/>
    <col min="12" max="18" width="9.140625" style="1"/>
  </cols>
  <sheetData>
    <row r="1" spans="1:20">
      <c r="A1" s="3" t="s">
        <v>4</v>
      </c>
    </row>
    <row r="3" spans="1:20" ht="18.75">
      <c r="A3" s="133" t="s">
        <v>32</v>
      </c>
      <c r="B3" s="133"/>
      <c r="C3" s="133"/>
      <c r="D3" s="133"/>
      <c r="E3" s="133"/>
      <c r="F3" s="133"/>
      <c r="G3" s="133"/>
      <c r="H3" s="133"/>
    </row>
    <row r="4" spans="1:20" ht="15.75" thickBot="1"/>
    <row r="5" spans="1:20" ht="60">
      <c r="A5" s="31" t="s">
        <v>3</v>
      </c>
      <c r="B5" s="32" t="s">
        <v>33</v>
      </c>
      <c r="C5" s="32" t="s">
        <v>28</v>
      </c>
      <c r="D5" s="32" t="s">
        <v>34</v>
      </c>
      <c r="E5" s="32" t="s">
        <v>6</v>
      </c>
      <c r="F5" s="32" t="s">
        <v>24</v>
      </c>
      <c r="G5" s="32" t="s">
        <v>37</v>
      </c>
      <c r="H5" s="33" t="s">
        <v>14</v>
      </c>
      <c r="I5" s="2" t="s">
        <v>43</v>
      </c>
      <c r="J5" s="2" t="s">
        <v>47</v>
      </c>
      <c r="K5" s="2"/>
    </row>
    <row r="6" spans="1:20" ht="15.75" thickBot="1">
      <c r="A6" s="34">
        <v>1</v>
      </c>
      <c r="B6" s="35">
        <v>2</v>
      </c>
      <c r="C6" s="35">
        <v>3</v>
      </c>
      <c r="D6" s="35">
        <v>4</v>
      </c>
      <c r="E6" s="35">
        <v>5</v>
      </c>
      <c r="F6" s="35" t="s">
        <v>27</v>
      </c>
      <c r="G6" s="36">
        <v>8</v>
      </c>
      <c r="H6" s="37" t="s">
        <v>29</v>
      </c>
    </row>
    <row r="7" spans="1:20">
      <c r="A7" s="16" t="s">
        <v>5</v>
      </c>
      <c r="B7" s="17" t="s">
        <v>35</v>
      </c>
      <c r="C7" s="17" t="s">
        <v>36</v>
      </c>
      <c r="D7" s="17">
        <v>1</v>
      </c>
      <c r="E7" s="121">
        <f>з.пл.!E7</f>
        <v>66636</v>
      </c>
      <c r="F7" s="42">
        <f>D7/E7</f>
        <v>1.5006903175460712E-5</v>
      </c>
      <c r="G7" s="18">
        <v>85560</v>
      </c>
      <c r="H7" s="94">
        <f>F7*G7</f>
        <v>1.2839906356924184</v>
      </c>
      <c r="I7" s="127">
        <f>H7*E7</f>
        <v>85560</v>
      </c>
      <c r="J7" s="127">
        <v>85560</v>
      </c>
    </row>
    <row r="8" spans="1:20" s="1" customFormat="1">
      <c r="A8" s="20"/>
      <c r="B8" s="7" t="s">
        <v>38</v>
      </c>
      <c r="C8" s="7"/>
      <c r="D8" s="7">
        <v>12</v>
      </c>
      <c r="E8" s="121">
        <f>E7</f>
        <v>66636</v>
      </c>
      <c r="F8" s="40">
        <f>D8/E8</f>
        <v>1.8008283810552856E-4</v>
      </c>
      <c r="G8" s="8"/>
      <c r="H8" s="95">
        <f>F8*G8</f>
        <v>0</v>
      </c>
      <c r="I8" s="127">
        <f>H8*E8</f>
        <v>0</v>
      </c>
      <c r="J8" s="127"/>
      <c r="K8" s="1">
        <f>J8-I8</f>
        <v>0</v>
      </c>
    </row>
    <row r="9" spans="1:20" s="1" customFormat="1">
      <c r="A9" s="20"/>
      <c r="B9" s="7"/>
      <c r="C9" s="7"/>
      <c r="D9" s="7"/>
      <c r="E9" s="114"/>
      <c r="F9" s="40"/>
      <c r="G9" s="8"/>
      <c r="H9" s="95">
        <f>F9*G9</f>
        <v>0</v>
      </c>
      <c r="I9" s="127">
        <f t="shared" ref="I9" si="0">H9*125040</f>
        <v>0</v>
      </c>
      <c r="J9" s="127"/>
    </row>
    <row r="10" spans="1:20" s="1" customFormat="1" ht="15.75" thickBot="1">
      <c r="A10" s="21"/>
      <c r="B10" s="22"/>
      <c r="C10" s="22"/>
      <c r="D10" s="22"/>
      <c r="E10" s="22"/>
      <c r="F10" s="22"/>
      <c r="G10" s="29"/>
      <c r="H10" s="96">
        <f>SUM(H7:H8)</f>
        <v>1.2839906356924184</v>
      </c>
      <c r="I10" s="127">
        <f>H10*E7</f>
        <v>85560</v>
      </c>
      <c r="J10" s="127">
        <f>J9+J8+J7</f>
        <v>85560</v>
      </c>
    </row>
    <row r="11" spans="1:20" s="1" customFormat="1">
      <c r="A11" s="16" t="s">
        <v>19</v>
      </c>
      <c r="B11" s="17" t="s">
        <v>35</v>
      </c>
      <c r="C11" s="17" t="s">
        <v>36</v>
      </c>
      <c r="D11" s="17">
        <v>1</v>
      </c>
      <c r="E11" s="116">
        <f>з.пл.!E12</f>
        <v>28224</v>
      </c>
      <c r="F11" s="39">
        <f t="shared" ref="F11:F12" si="1">D11/E11</f>
        <v>3.5430839002267575E-5</v>
      </c>
      <c r="G11" s="18">
        <v>84537</v>
      </c>
      <c r="H11" s="94">
        <f>F11*G11</f>
        <v>2.9952168367346941</v>
      </c>
      <c r="I11" s="127">
        <f>H11*E11</f>
        <v>84537</v>
      </c>
      <c r="J11" s="127">
        <v>84537</v>
      </c>
    </row>
    <row r="12" spans="1:20" s="1" customFormat="1">
      <c r="A12" s="20"/>
      <c r="B12" s="7" t="s">
        <v>38</v>
      </c>
      <c r="C12" s="7"/>
      <c r="D12" s="7">
        <v>1</v>
      </c>
      <c r="E12" s="114">
        <f>E11</f>
        <v>28224</v>
      </c>
      <c r="F12" s="40">
        <f t="shared" si="1"/>
        <v>3.5430839002267575E-5</v>
      </c>
      <c r="G12" s="8">
        <v>31250</v>
      </c>
      <c r="H12" s="95">
        <f>F12*G12</f>
        <v>1.1072137188208617</v>
      </c>
      <c r="I12" s="127">
        <f>H12*E12</f>
        <v>31250</v>
      </c>
      <c r="J12" s="127">
        <v>31250</v>
      </c>
    </row>
    <row r="13" spans="1:20" s="1" customFormat="1">
      <c r="A13" s="20"/>
      <c r="B13" s="7"/>
      <c r="C13" s="7"/>
      <c r="D13" s="7"/>
      <c r="E13" s="7"/>
      <c r="F13" s="40"/>
      <c r="G13" s="8"/>
      <c r="H13" s="95">
        <f>F13*G13</f>
        <v>0</v>
      </c>
      <c r="I13" s="127">
        <f t="shared" ref="I13" si="2">H13*59897</f>
        <v>0</v>
      </c>
      <c r="J13" s="127"/>
    </row>
    <row r="14" spans="1:20" s="1" customFormat="1" ht="15.75" thickBot="1">
      <c r="A14" s="21"/>
      <c r="B14" s="22"/>
      <c r="C14" s="24"/>
      <c r="D14" s="22"/>
      <c r="E14" s="22"/>
      <c r="F14" s="22"/>
      <c r="G14" s="29"/>
      <c r="H14" s="96">
        <f>SUM(H11:H13)</f>
        <v>4.1024305555555554</v>
      </c>
      <c r="I14" s="127">
        <f>H14*E11</f>
        <v>115787</v>
      </c>
      <c r="J14" s="127">
        <f>J13+J12+J11</f>
        <v>115787</v>
      </c>
    </row>
    <row r="16" spans="1:20">
      <c r="A16" s="47" t="s">
        <v>40</v>
      </c>
      <c r="H16"/>
      <c r="S16" s="1"/>
      <c r="T16" s="1"/>
    </row>
    <row r="18" spans="1:11" ht="18.75">
      <c r="A18" s="133" t="s">
        <v>32</v>
      </c>
      <c r="B18" s="133"/>
      <c r="C18" s="133"/>
      <c r="D18" s="133"/>
      <c r="E18" s="133"/>
      <c r="F18" s="133"/>
      <c r="G18" s="133"/>
      <c r="H18" s="133"/>
    </row>
    <row r="19" spans="1:11" ht="15.75" thickBot="1"/>
    <row r="20" spans="1:11" ht="60">
      <c r="A20" s="31" t="s">
        <v>3</v>
      </c>
      <c r="B20" s="32" t="s">
        <v>33</v>
      </c>
      <c r="C20" s="32" t="s">
        <v>28</v>
      </c>
      <c r="D20" s="32" t="s">
        <v>34</v>
      </c>
      <c r="E20" s="32" t="s">
        <v>6</v>
      </c>
      <c r="F20" s="32" t="s">
        <v>24</v>
      </c>
      <c r="G20" s="32" t="s">
        <v>37</v>
      </c>
      <c r="H20" s="33" t="s">
        <v>14</v>
      </c>
      <c r="I20" s="2" t="s">
        <v>43</v>
      </c>
      <c r="J20" s="2" t="s">
        <v>47</v>
      </c>
      <c r="K20" s="2"/>
    </row>
    <row r="21" spans="1:11" ht="15.75" thickBot="1">
      <c r="A21" s="34">
        <v>1</v>
      </c>
      <c r="B21" s="35">
        <v>2</v>
      </c>
      <c r="C21" s="35">
        <v>3</v>
      </c>
      <c r="D21" s="35">
        <v>4</v>
      </c>
      <c r="E21" s="35">
        <v>5</v>
      </c>
      <c r="F21" s="35" t="s">
        <v>27</v>
      </c>
      <c r="G21" s="36">
        <v>8</v>
      </c>
      <c r="H21" s="37" t="s">
        <v>29</v>
      </c>
    </row>
    <row r="22" spans="1:11">
      <c r="A22" s="16" t="s">
        <v>5</v>
      </c>
      <c r="B22" s="17" t="s">
        <v>35</v>
      </c>
      <c r="C22" s="17" t="s">
        <v>36</v>
      </c>
      <c r="D22" s="17">
        <v>1</v>
      </c>
      <c r="E22" s="121">
        <v>449</v>
      </c>
      <c r="F22" s="42">
        <f>D22/E22</f>
        <v>2.2271714922048997E-3</v>
      </c>
      <c r="G22" s="18">
        <v>247294</v>
      </c>
      <c r="H22" s="94">
        <f>F22*G22</f>
        <v>550.76614699331844</v>
      </c>
      <c r="I22" s="127">
        <f>H22*E22</f>
        <v>247293.99999999997</v>
      </c>
      <c r="J22" s="127">
        <v>247294</v>
      </c>
    </row>
    <row r="23" spans="1:11" s="1" customFormat="1" ht="15.75" thickBot="1">
      <c r="A23" s="20"/>
      <c r="B23" s="7" t="s">
        <v>71</v>
      </c>
      <c r="C23" s="7" t="s">
        <v>36</v>
      </c>
      <c r="D23" s="7">
        <v>1</v>
      </c>
      <c r="E23" s="121">
        <v>449</v>
      </c>
      <c r="F23" s="40">
        <f t="shared" ref="F23" si="3">D23/E23</f>
        <v>2.2271714922048997E-3</v>
      </c>
      <c r="G23" s="8">
        <f>17600+65068+521752.38</f>
        <v>604420.38</v>
      </c>
      <c r="H23" s="95">
        <f>F23*G23</f>
        <v>1346.1478396436526</v>
      </c>
      <c r="I23" s="127">
        <f>H23*E23</f>
        <v>604420.38</v>
      </c>
      <c r="J23" s="127">
        <f>604420.38</f>
        <v>604420.38</v>
      </c>
      <c r="K23" s="1">
        <f>J23-I23</f>
        <v>0</v>
      </c>
    </row>
    <row r="24" spans="1:11" s="1" customFormat="1">
      <c r="A24" s="20"/>
      <c r="B24" s="17" t="s">
        <v>35</v>
      </c>
      <c r="C24" s="17" t="s">
        <v>36</v>
      </c>
      <c r="D24" s="17">
        <v>1</v>
      </c>
      <c r="E24" s="121">
        <v>449</v>
      </c>
      <c r="F24" s="42">
        <f>D24/E24</f>
        <v>2.2271714922048997E-3</v>
      </c>
      <c r="G24" s="18">
        <v>21389.759999999998</v>
      </c>
      <c r="H24" s="94">
        <f>F24*G24</f>
        <v>47.638663697104668</v>
      </c>
      <c r="I24" s="127">
        <f>H24*E24</f>
        <v>21389.759999999995</v>
      </c>
      <c r="J24" s="127">
        <v>21389.759999999998</v>
      </c>
    </row>
    <row r="25" spans="1:11" s="1" customFormat="1" ht="15.75" thickBot="1">
      <c r="A25" s="21"/>
      <c r="B25" s="22"/>
      <c r="C25" s="22"/>
      <c r="D25" s="22"/>
      <c r="E25" s="22"/>
      <c r="F25" s="142" t="s">
        <v>45</v>
      </c>
      <c r="G25" s="143"/>
      <c r="H25" s="96">
        <f>H22+H23</f>
        <v>1896.913986636971</v>
      </c>
      <c r="I25" s="127">
        <f>H25*E22</f>
        <v>851714.38</v>
      </c>
      <c r="J25" s="127">
        <f>J23+J22</f>
        <v>851714.38</v>
      </c>
    </row>
    <row r="26" spans="1:11" ht="15.75" thickBot="1">
      <c r="A26" s="131"/>
      <c r="B26" s="132"/>
      <c r="C26" s="132"/>
      <c r="D26" s="132"/>
      <c r="E26" s="132"/>
      <c r="F26" s="144" t="s">
        <v>46</v>
      </c>
      <c r="G26" s="145"/>
      <c r="H26" s="130">
        <f>H24</f>
        <v>47.638663697104668</v>
      </c>
      <c r="I26" s="126">
        <f>H26*E24</f>
        <v>21389.759999999995</v>
      </c>
      <c r="J26" s="126">
        <v>21389.759999999998</v>
      </c>
    </row>
    <row r="29" spans="1:11">
      <c r="G29" s="106"/>
    </row>
  </sheetData>
  <mergeCells count="4">
    <mergeCell ref="A3:H3"/>
    <mergeCell ref="A18:H18"/>
    <mergeCell ref="F25:G25"/>
    <mergeCell ref="F26:G2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з.пл.</vt:lpstr>
      <vt:lpstr>материалы</vt:lpstr>
      <vt:lpstr>иные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2021-12-09T09:05:24Z</dcterms:modified>
</cp:coreProperties>
</file>