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570" windowHeight="10755" firstSheet="2" activeTab="4"/>
  </bookViews>
  <sheets>
    <sheet name="Работа №1 на 01.01.2022" sheetId="13" r:id="rId1"/>
    <sheet name="Работа №2 на 01.01.2022" sheetId="14" r:id="rId2"/>
    <sheet name="Работа №3 на 01.01.2022" sheetId="15" r:id="rId3"/>
    <sheet name="Работа №4 на 01.01.2021" sheetId="16" r:id="rId4"/>
    <sheet name="Работа №5 на 01.01.2021" sheetId="17" r:id="rId5"/>
    <sheet name="свод" sheetId="18" state="hidden" r:id="rId6"/>
  </sheets>
  <definedNames>
    <definedName name="_xlnm.Print_Area" localSheetId="0">'Работа №1 на 01.01.2022'!$A$1:$M$197</definedName>
    <definedName name="_xlnm.Print_Area" localSheetId="1">'Работа №2 на 01.01.2022'!$A$1:$M$211</definedName>
    <definedName name="_xlnm.Print_Area" localSheetId="2">'Работа №3 на 01.01.2022'!$A$1:$M$200</definedName>
    <definedName name="_xlnm.Print_Area" localSheetId="3">'Работа №4 на 01.01.2021'!$A$1:$M$200</definedName>
    <definedName name="_xlnm.Print_Area" localSheetId="4">'Работа №5 на 01.01.2021'!$A$1:$M$220</definedName>
  </definedNames>
  <calcPr calcId="162913"/>
</workbook>
</file>

<file path=xl/calcChain.xml><?xml version="1.0" encoding="utf-8"?>
<calcChain xmlns="http://schemas.openxmlformats.org/spreadsheetml/2006/main">
  <c r="I180" i="15" l="1"/>
  <c r="J223" i="17" l="1"/>
  <c r="J199" i="13"/>
  <c r="H113" i="17"/>
  <c r="I173" i="15" l="1"/>
  <c r="H203" i="13" l="1"/>
  <c r="I186" i="17" l="1"/>
  <c r="K186" i="17" s="1"/>
  <c r="L129" i="17"/>
  <c r="J121" i="17"/>
  <c r="J120" i="17"/>
  <c r="L120" i="17" s="1"/>
  <c r="L121" i="17"/>
  <c r="H112" i="17"/>
  <c r="J112" i="17" s="1"/>
  <c r="H111" i="17"/>
  <c r="J111" i="17" s="1"/>
  <c r="H110" i="17"/>
  <c r="J110" i="17" s="1"/>
  <c r="I104" i="17"/>
  <c r="I103" i="17"/>
  <c r="I102" i="17"/>
  <c r="I101" i="17"/>
  <c r="I100" i="17"/>
  <c r="I99" i="17"/>
  <c r="I105" i="17" s="1"/>
  <c r="K104" i="17"/>
  <c r="K103" i="17"/>
  <c r="K102" i="17"/>
  <c r="K101" i="17"/>
  <c r="K100" i="17"/>
  <c r="K99" i="17"/>
  <c r="K105" i="17" s="1"/>
  <c r="I92" i="17"/>
  <c r="I91" i="17"/>
  <c r="K91" i="17" s="1"/>
  <c r="I90" i="17"/>
  <c r="I94" i="17"/>
  <c r="K94" i="17" s="1"/>
  <c r="I93" i="17"/>
  <c r="K93" i="17" s="1"/>
  <c r="G92" i="17"/>
  <c r="G93" i="17"/>
  <c r="G91" i="17"/>
  <c r="K90" i="17"/>
  <c r="L53" i="17"/>
  <c r="M25" i="17"/>
  <c r="F18" i="17"/>
  <c r="M24" i="17"/>
  <c r="M23" i="17"/>
  <c r="M22" i="17"/>
  <c r="M21" i="17"/>
  <c r="M20" i="17"/>
  <c r="M19" i="17"/>
  <c r="M18" i="17"/>
  <c r="M45" i="17" s="1"/>
  <c r="G90" i="17" l="1"/>
  <c r="K92" i="17"/>
  <c r="G94" i="17"/>
  <c r="F22" i="17" l="1"/>
  <c r="F21" i="17"/>
  <c r="F20" i="17"/>
  <c r="F19" i="17"/>
  <c r="I170" i="16"/>
  <c r="K170" i="16" s="1"/>
  <c r="K177" i="16"/>
  <c r="L113" i="16"/>
  <c r="J105" i="16"/>
  <c r="L105" i="16" s="1"/>
  <c r="J104" i="16"/>
  <c r="L104" i="16" s="1"/>
  <c r="H96" i="16"/>
  <c r="J96" i="16" s="1"/>
  <c r="H95" i="16"/>
  <c r="H94" i="16"/>
  <c r="J94" i="16" s="1"/>
  <c r="J95" i="16"/>
  <c r="H97" i="16"/>
  <c r="N97" i="16" s="1"/>
  <c r="I89" i="16"/>
  <c r="I88" i="16"/>
  <c r="K88" i="16" s="1"/>
  <c r="I87" i="16"/>
  <c r="K87" i="16" s="1"/>
  <c r="I86" i="16"/>
  <c r="K86" i="16" s="1"/>
  <c r="I85" i="16"/>
  <c r="K85" i="16" s="1"/>
  <c r="I84" i="16"/>
  <c r="I90" i="16" s="1"/>
  <c r="K89" i="16"/>
  <c r="I75" i="16"/>
  <c r="G75" i="16" s="1"/>
  <c r="I79" i="16"/>
  <c r="K79" i="16" s="1"/>
  <c r="G79" i="16"/>
  <c r="I78" i="16"/>
  <c r="G78" i="16" s="1"/>
  <c r="I77" i="16"/>
  <c r="K77" i="16" s="1"/>
  <c r="I76" i="16"/>
  <c r="K76" i="16" s="1"/>
  <c r="K75" i="16"/>
  <c r="K84" i="16" l="1"/>
  <c r="F45" i="17"/>
  <c r="J97" i="16"/>
  <c r="K186" i="16" s="1"/>
  <c r="K90" i="16"/>
  <c r="E186" i="16" s="1"/>
  <c r="N90" i="16"/>
  <c r="I80" i="16"/>
  <c r="N80" i="16" s="1"/>
  <c r="G77" i="16"/>
  <c r="G76" i="16"/>
  <c r="K78" i="16"/>
  <c r="K80" i="16" s="1"/>
  <c r="D186" i="16" s="1"/>
  <c r="L38" i="16"/>
  <c r="K38" i="16"/>
  <c r="F38" i="16"/>
  <c r="F19" i="16"/>
  <c r="F18" i="16"/>
  <c r="F30" i="16" s="1"/>
  <c r="M25" i="16"/>
  <c r="M24" i="16"/>
  <c r="M23" i="16"/>
  <c r="M22" i="16"/>
  <c r="F22" i="16"/>
  <c r="M21" i="16"/>
  <c r="F21" i="16"/>
  <c r="M20" i="16"/>
  <c r="F20" i="16"/>
  <c r="M19" i="16"/>
  <c r="M18" i="16"/>
  <c r="K173" i="15"/>
  <c r="L116" i="15"/>
  <c r="J106" i="15"/>
  <c r="L106" i="15" s="1"/>
  <c r="J107" i="15"/>
  <c r="L107" i="15" s="1"/>
  <c r="H100" i="15"/>
  <c r="J100" i="15" s="1"/>
  <c r="H99" i="15"/>
  <c r="J99" i="15" s="1"/>
  <c r="H101" i="15"/>
  <c r="J101" i="15" s="1"/>
  <c r="I79" i="15"/>
  <c r="K79" i="15" s="1"/>
  <c r="I83" i="15"/>
  <c r="I82" i="15"/>
  <c r="G82" i="15" s="1"/>
  <c r="I81" i="15"/>
  <c r="K81" i="15" s="1"/>
  <c r="I80" i="15"/>
  <c r="I94" i="15"/>
  <c r="K94" i="15" s="1"/>
  <c r="I93" i="15"/>
  <c r="K93" i="15" s="1"/>
  <c r="I92" i="15"/>
  <c r="I91" i="15"/>
  <c r="K91" i="15" s="1"/>
  <c r="I90" i="15"/>
  <c r="K90" i="15" s="1"/>
  <c r="I89" i="15"/>
  <c r="K89" i="15" s="1"/>
  <c r="K92" i="15"/>
  <c r="L43" i="15"/>
  <c r="M30" i="16" l="1"/>
  <c r="G79" i="15"/>
  <c r="J102" i="15"/>
  <c r="H102" i="15"/>
  <c r="N102" i="15" s="1"/>
  <c r="I84" i="15"/>
  <c r="N84" i="15" s="1"/>
  <c r="K80" i="15"/>
  <c r="G81" i="15"/>
  <c r="K95" i="15"/>
  <c r="E188" i="15" s="1"/>
  <c r="I95" i="15"/>
  <c r="N95" i="15" s="1"/>
  <c r="G83" i="15"/>
  <c r="K83" i="15"/>
  <c r="G80" i="15"/>
  <c r="K82" i="15"/>
  <c r="M18" i="15"/>
  <c r="M18" i="14"/>
  <c r="F20" i="15"/>
  <c r="F18" i="15"/>
  <c r="M25" i="15"/>
  <c r="M24" i="15"/>
  <c r="M23" i="15"/>
  <c r="M22" i="15"/>
  <c r="F22" i="15"/>
  <c r="M21" i="15"/>
  <c r="F21" i="15"/>
  <c r="M20" i="15"/>
  <c r="M19" i="15"/>
  <c r="F19" i="15"/>
  <c r="I159" i="14"/>
  <c r="I162" i="14" s="1"/>
  <c r="N162" i="14" s="1"/>
  <c r="A198" i="14"/>
  <c r="F18" i="14"/>
  <c r="F19" i="13"/>
  <c r="F20" i="13"/>
  <c r="F21" i="14"/>
  <c r="F22" i="14"/>
  <c r="I155" i="14"/>
  <c r="K154" i="14"/>
  <c r="K155" i="14" s="1"/>
  <c r="I153" i="14"/>
  <c r="M152" i="14"/>
  <c r="I152" i="14"/>
  <c r="I144" i="14"/>
  <c r="K143" i="14"/>
  <c r="K144" i="14" s="1"/>
  <c r="M137" i="14"/>
  <c r="I136" i="14"/>
  <c r="H136" i="14"/>
  <c r="I135" i="14"/>
  <c r="H135" i="14"/>
  <c r="I134" i="14"/>
  <c r="H134" i="14"/>
  <c r="I129" i="14"/>
  <c r="N129" i="14" s="1"/>
  <c r="K128" i="14"/>
  <c r="M128" i="14" s="1"/>
  <c r="M127" i="14"/>
  <c r="M126" i="14"/>
  <c r="K125" i="14"/>
  <c r="I125" i="14"/>
  <c r="J125" i="14" s="1"/>
  <c r="K124" i="14"/>
  <c r="I124" i="14"/>
  <c r="J124" i="14" s="1"/>
  <c r="K123" i="14"/>
  <c r="I123" i="14"/>
  <c r="J123" i="14" s="1"/>
  <c r="M123" i="14" s="1"/>
  <c r="K122" i="14"/>
  <c r="I122" i="14"/>
  <c r="J122" i="14" s="1"/>
  <c r="K121" i="14"/>
  <c r="I121" i="14"/>
  <c r="J121" i="14" s="1"/>
  <c r="M121" i="14" s="1"/>
  <c r="K120" i="14"/>
  <c r="I120" i="14"/>
  <c r="J120" i="14" s="1"/>
  <c r="K119" i="14"/>
  <c r="I119" i="14"/>
  <c r="J119" i="14" s="1"/>
  <c r="M119" i="14" s="1"/>
  <c r="K118" i="14"/>
  <c r="I118" i="14"/>
  <c r="J118" i="14" s="1"/>
  <c r="K117" i="14"/>
  <c r="I117" i="14"/>
  <c r="J117" i="14" s="1"/>
  <c r="M117" i="14" s="1"/>
  <c r="K116" i="14"/>
  <c r="I116" i="14"/>
  <c r="J116" i="14" s="1"/>
  <c r="K115" i="14"/>
  <c r="I115" i="14"/>
  <c r="J115" i="14" s="1"/>
  <c r="M115" i="14" s="1"/>
  <c r="K114" i="14"/>
  <c r="I114" i="14"/>
  <c r="J114" i="14" s="1"/>
  <c r="K113" i="14"/>
  <c r="I113" i="14"/>
  <c r="J113" i="14" s="1"/>
  <c r="M113" i="14" s="1"/>
  <c r="K112" i="14"/>
  <c r="I112" i="14"/>
  <c r="J112" i="14" s="1"/>
  <c r="K111" i="14"/>
  <c r="I111" i="14"/>
  <c r="J111" i="14" s="1"/>
  <c r="M111" i="14" s="1"/>
  <c r="K110" i="14"/>
  <c r="I110" i="14"/>
  <c r="J110" i="14" s="1"/>
  <c r="K109" i="14"/>
  <c r="I109" i="14"/>
  <c r="J109" i="14" s="1"/>
  <c r="M109" i="14" s="1"/>
  <c r="K108" i="14"/>
  <c r="I108" i="14"/>
  <c r="J108" i="14" s="1"/>
  <c r="K107" i="14"/>
  <c r="I107" i="14"/>
  <c r="J107" i="14" s="1"/>
  <c r="M107" i="14" s="1"/>
  <c r="K106" i="14"/>
  <c r="I106" i="14"/>
  <c r="J106" i="14" s="1"/>
  <c r="K105" i="14"/>
  <c r="I105" i="14"/>
  <c r="L105" i="14" s="1"/>
  <c r="K104" i="14"/>
  <c r="I104" i="14"/>
  <c r="J104" i="14" s="1"/>
  <c r="L103" i="14"/>
  <c r="K103" i="14"/>
  <c r="K129" i="14" s="1"/>
  <c r="I198" i="14" s="1"/>
  <c r="F103" i="14"/>
  <c r="J95" i="14"/>
  <c r="L95" i="14" s="1"/>
  <c r="J94" i="14"/>
  <c r="L94" i="14" s="1"/>
  <c r="H89" i="14"/>
  <c r="J89" i="14" s="1"/>
  <c r="H88" i="14"/>
  <c r="J88" i="14" s="1"/>
  <c r="H87" i="14"/>
  <c r="J87" i="14" s="1"/>
  <c r="I81" i="14"/>
  <c r="K81" i="14" s="1"/>
  <c r="I80" i="14"/>
  <c r="K80" i="14" s="1"/>
  <c r="I79" i="14"/>
  <c r="K79" i="14" s="1"/>
  <c r="I78" i="14"/>
  <c r="K78" i="14" s="1"/>
  <c r="I77" i="14"/>
  <c r="K77" i="14" s="1"/>
  <c r="I76" i="14"/>
  <c r="K76" i="14" s="1"/>
  <c r="I70" i="14"/>
  <c r="K70" i="14" s="1"/>
  <c r="I69" i="14"/>
  <c r="G69" i="14" s="1"/>
  <c r="I68" i="14"/>
  <c r="G68" i="14" s="1"/>
  <c r="I67" i="14"/>
  <c r="G67" i="14" s="1"/>
  <c r="I66" i="14"/>
  <c r="K66" i="14" s="1"/>
  <c r="I57" i="14"/>
  <c r="N57" i="14" s="1"/>
  <c r="L54" i="14"/>
  <c r="K54" i="14"/>
  <c r="K57" i="14" s="1"/>
  <c r="M25" i="14"/>
  <c r="M24" i="14"/>
  <c r="M23" i="14"/>
  <c r="M22" i="14"/>
  <c r="M21" i="14"/>
  <c r="M20" i="14"/>
  <c r="F20" i="14"/>
  <c r="F45" i="14" s="1"/>
  <c r="G54" i="14" s="1"/>
  <c r="F54" i="14" s="1"/>
  <c r="M19" i="14"/>
  <c r="F19" i="14"/>
  <c r="J105" i="14" l="1"/>
  <c r="M105" i="14" s="1"/>
  <c r="K69" i="14"/>
  <c r="M112" i="14"/>
  <c r="M114" i="14"/>
  <c r="M116" i="14"/>
  <c r="M118" i="14"/>
  <c r="M120" i="14"/>
  <c r="M122" i="14"/>
  <c r="M124" i="14"/>
  <c r="F35" i="15"/>
  <c r="K84" i="15"/>
  <c r="M35" i="15"/>
  <c r="K159" i="14"/>
  <c r="M104" i="14"/>
  <c r="M45" i="14"/>
  <c r="M125" i="14"/>
  <c r="K67" i="14"/>
  <c r="I82" i="14"/>
  <c r="N82" i="14" s="1"/>
  <c r="L96" i="14"/>
  <c r="G198" i="14" s="1"/>
  <c r="K82" i="14"/>
  <c r="E198" i="14" s="1"/>
  <c r="M106" i="14"/>
  <c r="M108" i="14"/>
  <c r="M110" i="14"/>
  <c r="K162" i="14"/>
  <c r="J198" i="14" s="1"/>
  <c r="J90" i="14"/>
  <c r="K198" i="14" s="1"/>
  <c r="G66" i="14"/>
  <c r="K68" i="14"/>
  <c r="G70" i="14"/>
  <c r="J96" i="14"/>
  <c r="N96" i="14" s="1"/>
  <c r="I71" i="14"/>
  <c r="N71" i="14" s="1"/>
  <c r="H90" i="14"/>
  <c r="N90" i="14" s="1"/>
  <c r="I161" i="13"/>
  <c r="L105" i="13"/>
  <c r="J96" i="13"/>
  <c r="J95" i="13"/>
  <c r="H90" i="13"/>
  <c r="J90" i="13" s="1"/>
  <c r="H89" i="13"/>
  <c r="J89" i="13" s="1"/>
  <c r="H88" i="13"/>
  <c r="H91" i="13" s="1"/>
  <c r="I82" i="13"/>
  <c r="I81" i="13"/>
  <c r="I80" i="13"/>
  <c r="I79" i="13"/>
  <c r="I78" i="13"/>
  <c r="I77" i="13"/>
  <c r="I213" i="14" l="1"/>
  <c r="I214" i="14" s="1"/>
  <c r="I83" i="13"/>
  <c r="K71" i="14"/>
  <c r="D198" i="14" s="1"/>
  <c r="I71" i="13"/>
  <c r="G71" i="13" s="1"/>
  <c r="I70" i="13"/>
  <c r="G70" i="13" s="1"/>
  <c r="I69" i="13"/>
  <c r="G69" i="13" s="1"/>
  <c r="I68" i="13"/>
  <c r="G68" i="13" s="1"/>
  <c r="I67" i="13"/>
  <c r="G67" i="13" s="1"/>
  <c r="L55" i="13" l="1"/>
  <c r="M26" i="13"/>
  <c r="M25" i="13"/>
  <c r="M24" i="13"/>
  <c r="M23" i="13"/>
  <c r="M22" i="13"/>
  <c r="M21" i="13"/>
  <c r="M20" i="13"/>
  <c r="M19" i="13"/>
  <c r="F23" i="13"/>
  <c r="F22" i="13"/>
  <c r="F21" i="13"/>
  <c r="F46" i="13" s="1"/>
  <c r="G55" i="13" s="1"/>
  <c r="F55" i="13" s="1"/>
  <c r="N207" i="17"/>
  <c r="I178" i="16"/>
  <c r="I190" i="14"/>
  <c r="K201" i="14" s="1"/>
  <c r="M46" i="13" l="1"/>
  <c r="K193" i="17"/>
  <c r="K192" i="17"/>
  <c r="H203" i="17" l="1"/>
  <c r="J116" i="17"/>
  <c r="J115" i="17"/>
  <c r="L106" i="16"/>
  <c r="G186" i="16" s="1"/>
  <c r="K188" i="17" l="1"/>
  <c r="J203" i="17" s="1"/>
  <c r="K175" i="15"/>
  <c r="J188" i="15" s="1"/>
  <c r="I188" i="17"/>
  <c r="K95" i="17"/>
  <c r="D203" i="17" s="1"/>
  <c r="L122" i="17"/>
  <c r="G203" i="17" s="1"/>
  <c r="E203" i="17"/>
  <c r="J113" i="17"/>
  <c r="K203" i="17" s="1"/>
  <c r="N113" i="17"/>
  <c r="N105" i="17"/>
  <c r="J122" i="17"/>
  <c r="I95" i="17"/>
  <c r="I172" i="16"/>
  <c r="J106" i="16"/>
  <c r="L108" i="15"/>
  <c r="G188" i="15" s="1"/>
  <c r="K188" i="15"/>
  <c r="D188" i="15"/>
  <c r="I175" i="15"/>
  <c r="N188" i="17" l="1"/>
  <c r="N172" i="16"/>
  <c r="K172" i="16"/>
  <c r="J186" i="16" s="1"/>
  <c r="N95" i="17"/>
  <c r="N175" i="15"/>
  <c r="F105" i="13" l="1"/>
  <c r="I131" i="13"/>
  <c r="K71" i="13"/>
  <c r="K67" i="13"/>
  <c r="N91" i="13" l="1"/>
  <c r="I72" i="13"/>
  <c r="N72" i="13" s="1"/>
  <c r="F129" i="17" l="1"/>
  <c r="F53" i="17"/>
  <c r="O17" i="17"/>
  <c r="F113" i="16"/>
  <c r="F116" i="15"/>
  <c r="F43" i="15"/>
  <c r="K53" i="17" l="1"/>
  <c r="I195" i="17" l="1"/>
  <c r="I155" i="17"/>
  <c r="K154" i="17"/>
  <c r="M154" i="17" s="1"/>
  <c r="M153" i="17"/>
  <c r="M152" i="17"/>
  <c r="K151" i="17"/>
  <c r="I151" i="17"/>
  <c r="J151" i="17" s="1"/>
  <c r="M151" i="17" s="1"/>
  <c r="K150" i="17"/>
  <c r="I150" i="17"/>
  <c r="J150" i="17" s="1"/>
  <c r="K149" i="17"/>
  <c r="I149" i="17"/>
  <c r="J149" i="17" s="1"/>
  <c r="K148" i="17"/>
  <c r="I148" i="17"/>
  <c r="J148" i="17" s="1"/>
  <c r="K147" i="17"/>
  <c r="I147" i="17"/>
  <c r="J147" i="17" s="1"/>
  <c r="K146" i="17"/>
  <c r="I146" i="17"/>
  <c r="J146" i="17" s="1"/>
  <c r="K145" i="17"/>
  <c r="I145" i="17"/>
  <c r="J145" i="17" s="1"/>
  <c r="K144" i="17"/>
  <c r="I144" i="17"/>
  <c r="J144" i="17" s="1"/>
  <c r="M144" i="17" s="1"/>
  <c r="K143" i="17"/>
  <c r="I143" i="17"/>
  <c r="J143" i="17" s="1"/>
  <c r="K142" i="17"/>
  <c r="I142" i="17"/>
  <c r="J142" i="17" s="1"/>
  <c r="K141" i="17"/>
  <c r="I141" i="17"/>
  <c r="J141" i="17" s="1"/>
  <c r="K140" i="17"/>
  <c r="I140" i="17"/>
  <c r="J140" i="17" s="1"/>
  <c r="K139" i="17"/>
  <c r="I139" i="17"/>
  <c r="J139" i="17" s="1"/>
  <c r="K138" i="17"/>
  <c r="J138" i="17"/>
  <c r="I138" i="17"/>
  <c r="K137" i="17"/>
  <c r="I137" i="17"/>
  <c r="J137" i="17" s="1"/>
  <c r="K136" i="17"/>
  <c r="I136" i="17"/>
  <c r="J136" i="17" s="1"/>
  <c r="K135" i="17"/>
  <c r="I135" i="17"/>
  <c r="J135" i="17" s="1"/>
  <c r="K134" i="17"/>
  <c r="I134" i="17"/>
  <c r="J134" i="17" s="1"/>
  <c r="K133" i="17"/>
  <c r="I133" i="17"/>
  <c r="J133" i="17" s="1"/>
  <c r="K132" i="17"/>
  <c r="I132" i="17"/>
  <c r="J132" i="17" s="1"/>
  <c r="K131" i="17"/>
  <c r="I131" i="17"/>
  <c r="J131" i="17" s="1"/>
  <c r="K130" i="17"/>
  <c r="I130" i="17"/>
  <c r="J130" i="17" s="1"/>
  <c r="K129" i="17"/>
  <c r="K155" i="17" s="1"/>
  <c r="I203" i="17" s="1"/>
  <c r="I139" i="16"/>
  <c r="K138" i="16"/>
  <c r="M138" i="16" s="1"/>
  <c r="M137" i="16"/>
  <c r="M136" i="16"/>
  <c r="K135" i="16"/>
  <c r="I135" i="16"/>
  <c r="J135" i="16" s="1"/>
  <c r="K134" i="16"/>
  <c r="I134" i="16"/>
  <c r="J134" i="16" s="1"/>
  <c r="K133" i="16"/>
  <c r="I133" i="16"/>
  <c r="J133" i="16" s="1"/>
  <c r="K132" i="16"/>
  <c r="I132" i="16"/>
  <c r="J132" i="16" s="1"/>
  <c r="K131" i="16"/>
  <c r="I131" i="16"/>
  <c r="J131" i="16" s="1"/>
  <c r="K130" i="16"/>
  <c r="I130" i="16"/>
  <c r="J130" i="16" s="1"/>
  <c r="K129" i="16"/>
  <c r="I129" i="16"/>
  <c r="J129" i="16" s="1"/>
  <c r="K128" i="16"/>
  <c r="I128" i="16"/>
  <c r="J128" i="16" s="1"/>
  <c r="K127" i="16"/>
  <c r="I127" i="16"/>
  <c r="J127" i="16" s="1"/>
  <c r="K126" i="16"/>
  <c r="I126" i="16"/>
  <c r="J126" i="16" s="1"/>
  <c r="K125" i="16"/>
  <c r="I125" i="16"/>
  <c r="J125" i="16" s="1"/>
  <c r="K124" i="16"/>
  <c r="I124" i="16"/>
  <c r="J124" i="16" s="1"/>
  <c r="K123" i="16"/>
  <c r="I123" i="16"/>
  <c r="J123" i="16" s="1"/>
  <c r="K122" i="16"/>
  <c r="I122" i="16"/>
  <c r="J122" i="16" s="1"/>
  <c r="K121" i="16"/>
  <c r="I121" i="16"/>
  <c r="J121" i="16" s="1"/>
  <c r="K120" i="16"/>
  <c r="I120" i="16"/>
  <c r="J120" i="16" s="1"/>
  <c r="K119" i="16"/>
  <c r="I119" i="16"/>
  <c r="J119" i="16" s="1"/>
  <c r="K118" i="16"/>
  <c r="I118" i="16"/>
  <c r="J118" i="16" s="1"/>
  <c r="K117" i="16"/>
  <c r="I117" i="16"/>
  <c r="J117" i="16" s="1"/>
  <c r="K116" i="16"/>
  <c r="I116" i="16"/>
  <c r="J116" i="16" s="1"/>
  <c r="K115" i="16"/>
  <c r="I115" i="16"/>
  <c r="J115" i="16" s="1"/>
  <c r="K114" i="16"/>
  <c r="I114" i="16"/>
  <c r="J114" i="16" s="1"/>
  <c r="K113" i="16"/>
  <c r="J100" i="16"/>
  <c r="J99" i="16"/>
  <c r="K40" i="16"/>
  <c r="A186" i="16" s="1"/>
  <c r="K141" i="15"/>
  <c r="M141" i="15" s="1"/>
  <c r="M140" i="15"/>
  <c r="M139" i="15"/>
  <c r="K138" i="15"/>
  <c r="I138" i="15"/>
  <c r="J138" i="15" s="1"/>
  <c r="K137" i="15"/>
  <c r="I137" i="15"/>
  <c r="J137" i="15" s="1"/>
  <c r="K136" i="15"/>
  <c r="I136" i="15"/>
  <c r="J136" i="15" s="1"/>
  <c r="K135" i="15"/>
  <c r="I135" i="15"/>
  <c r="J135" i="15" s="1"/>
  <c r="K134" i="15"/>
  <c r="I134" i="15"/>
  <c r="J134" i="15" s="1"/>
  <c r="K133" i="15"/>
  <c r="I133" i="15"/>
  <c r="J133" i="15" s="1"/>
  <c r="K132" i="15"/>
  <c r="I132" i="15"/>
  <c r="J132" i="15" s="1"/>
  <c r="K131" i="15"/>
  <c r="I131" i="15"/>
  <c r="J131" i="15" s="1"/>
  <c r="K130" i="15"/>
  <c r="I130" i="15"/>
  <c r="J130" i="15" s="1"/>
  <c r="K129" i="15"/>
  <c r="I129" i="15"/>
  <c r="J129" i="15" s="1"/>
  <c r="K128" i="15"/>
  <c r="I128" i="15"/>
  <c r="J128" i="15" s="1"/>
  <c r="K127" i="15"/>
  <c r="I127" i="15"/>
  <c r="J127" i="15" s="1"/>
  <c r="K126" i="15"/>
  <c r="I126" i="15"/>
  <c r="J126" i="15" s="1"/>
  <c r="K125" i="15"/>
  <c r="I125" i="15"/>
  <c r="J125" i="15" s="1"/>
  <c r="K124" i="15"/>
  <c r="I124" i="15"/>
  <c r="J124" i="15" s="1"/>
  <c r="K123" i="15"/>
  <c r="I123" i="15"/>
  <c r="J123" i="15" s="1"/>
  <c r="K122" i="15"/>
  <c r="I122" i="15"/>
  <c r="J122" i="15" s="1"/>
  <c r="K121" i="15"/>
  <c r="I121" i="15"/>
  <c r="J121" i="15" s="1"/>
  <c r="K120" i="15"/>
  <c r="I120" i="15"/>
  <c r="J120" i="15" s="1"/>
  <c r="K119" i="15"/>
  <c r="I119" i="15"/>
  <c r="J119" i="15" s="1"/>
  <c r="K118" i="15"/>
  <c r="I118" i="15"/>
  <c r="J118" i="15" s="1"/>
  <c r="K117" i="15"/>
  <c r="I117" i="15"/>
  <c r="J117" i="15" s="1"/>
  <c r="K116" i="15"/>
  <c r="K142" i="15" s="1"/>
  <c r="I188" i="15" s="1"/>
  <c r="I45" i="15"/>
  <c r="K43" i="15"/>
  <c r="M132" i="17" l="1"/>
  <c r="M136" i="17"/>
  <c r="M148" i="17"/>
  <c r="M139" i="17"/>
  <c r="D16" i="18"/>
  <c r="M135" i="17"/>
  <c r="K139" i="16"/>
  <c r="I186" i="16" s="1"/>
  <c r="M143" i="17"/>
  <c r="M140" i="17"/>
  <c r="M131" i="17"/>
  <c r="M147" i="17"/>
  <c r="M133" i="17"/>
  <c r="M137" i="17"/>
  <c r="M141" i="17"/>
  <c r="M145" i="17"/>
  <c r="M149" i="17"/>
  <c r="M130" i="17"/>
  <c r="L131" i="17"/>
  <c r="M134" i="17"/>
  <c r="M138" i="17"/>
  <c r="M142" i="17"/>
  <c r="M146" i="17"/>
  <c r="M150" i="17"/>
  <c r="M124" i="16"/>
  <c r="M135" i="16"/>
  <c r="M127" i="16"/>
  <c r="M120" i="16"/>
  <c r="M123" i="16"/>
  <c r="M132" i="16"/>
  <c r="M116" i="16"/>
  <c r="M131" i="16"/>
  <c r="M134" i="16"/>
  <c r="M119" i="16"/>
  <c r="M115" i="16"/>
  <c r="M128" i="16"/>
  <c r="M117" i="16"/>
  <c r="M125" i="16"/>
  <c r="M133" i="16"/>
  <c r="M114" i="16"/>
  <c r="L115" i="16"/>
  <c r="M118" i="16"/>
  <c r="M122" i="16"/>
  <c r="M126" i="16"/>
  <c r="M130" i="16"/>
  <c r="M121" i="16"/>
  <c r="M129" i="16"/>
  <c r="M122" i="15"/>
  <c r="M133" i="15"/>
  <c r="M136" i="15"/>
  <c r="M138" i="15"/>
  <c r="M125" i="15"/>
  <c r="M128" i="15"/>
  <c r="M130" i="15"/>
  <c r="M126" i="15"/>
  <c r="M134" i="15"/>
  <c r="M121" i="15"/>
  <c r="M129" i="15"/>
  <c r="M132" i="15"/>
  <c r="M137" i="15"/>
  <c r="M118" i="15"/>
  <c r="M123" i="15"/>
  <c r="M127" i="15"/>
  <c r="M135" i="15"/>
  <c r="M117" i="15"/>
  <c r="L118" i="15"/>
  <c r="M119" i="15"/>
  <c r="M131" i="15"/>
  <c r="M120" i="15"/>
  <c r="M124" i="15"/>
  <c r="I142" i="15"/>
  <c r="J108" i="15"/>
  <c r="K45" i="15"/>
  <c r="A188" i="15" s="1"/>
  <c r="K161" i="13"/>
  <c r="I202" i="15" l="1"/>
  <c r="I203" i="15" s="1"/>
  <c r="I204" i="15" s="1"/>
  <c r="K213" i="14"/>
  <c r="K215" i="14" s="1"/>
  <c r="K164" i="13"/>
  <c r="J179" i="13" s="1"/>
  <c r="N44" i="17"/>
  <c r="O44" i="17" s="1"/>
  <c r="N29" i="16"/>
  <c r="O29" i="16" s="1"/>
  <c r="I164" i="13"/>
  <c r="D29" i="18" l="1"/>
  <c r="D30" i="18" s="1"/>
  <c r="D14" i="18"/>
  <c r="K189" i="14"/>
  <c r="K188" i="14"/>
  <c r="K190" i="14" s="1"/>
  <c r="F198" i="14" s="1"/>
  <c r="L198" i="14" s="1"/>
  <c r="N200" i="14" s="1"/>
  <c r="D13" i="18"/>
  <c r="K194" i="17" l="1"/>
  <c r="I181" i="17"/>
  <c r="K180" i="17"/>
  <c r="K181" i="17" s="1"/>
  <c r="I179" i="17"/>
  <c r="M178" i="17"/>
  <c r="I178" i="17"/>
  <c r="I170" i="17"/>
  <c r="K169" i="17"/>
  <c r="K170" i="17" s="1"/>
  <c r="M163" i="17"/>
  <c r="I162" i="17"/>
  <c r="H162" i="17"/>
  <c r="I161" i="17"/>
  <c r="H161" i="17"/>
  <c r="I160" i="17"/>
  <c r="H160" i="17"/>
  <c r="M81" i="17"/>
  <c r="I80" i="17"/>
  <c r="M80" i="17" s="1"/>
  <c r="I79" i="17"/>
  <c r="M79" i="17" s="1"/>
  <c r="I78" i="17"/>
  <c r="M78" i="17" s="1"/>
  <c r="I77" i="17"/>
  <c r="M77" i="17" s="1"/>
  <c r="I76" i="17"/>
  <c r="M76" i="17" s="1"/>
  <c r="I75" i="17"/>
  <c r="M75" i="17" s="1"/>
  <c r="I74" i="17"/>
  <c r="M74" i="17" s="1"/>
  <c r="I73" i="17"/>
  <c r="M73" i="17" s="1"/>
  <c r="I72" i="17"/>
  <c r="M72" i="17" s="1"/>
  <c r="I71" i="17"/>
  <c r="M71" i="17" s="1"/>
  <c r="I70" i="17"/>
  <c r="M70" i="17" s="1"/>
  <c r="I69" i="17"/>
  <c r="M69" i="17" s="1"/>
  <c r="I68" i="17"/>
  <c r="M68" i="17" s="1"/>
  <c r="I67" i="17"/>
  <c r="M67" i="17" s="1"/>
  <c r="I66" i="17"/>
  <c r="M66" i="17" s="1"/>
  <c r="I65" i="17"/>
  <c r="M65" i="17" s="1"/>
  <c r="I64" i="17"/>
  <c r="M64" i="17" s="1"/>
  <c r="I63" i="17"/>
  <c r="M63" i="17" s="1"/>
  <c r="K176" i="16"/>
  <c r="K178" i="16" l="1"/>
  <c r="F186" i="16" s="1"/>
  <c r="D15" i="18"/>
  <c r="K195" i="17"/>
  <c r="F203" i="17" s="1"/>
  <c r="I55" i="17"/>
  <c r="K55" i="17"/>
  <c r="A203" i="17" s="1"/>
  <c r="M82" i="17"/>
  <c r="I165" i="16"/>
  <c r="K164" i="16"/>
  <c r="K165" i="16" s="1"/>
  <c r="H186" i="16" s="1"/>
  <c r="I163" i="16"/>
  <c r="M162" i="16"/>
  <c r="I162" i="16"/>
  <c r="I154" i="16"/>
  <c r="K153" i="16"/>
  <c r="K154" i="16" s="1"/>
  <c r="M147" i="16"/>
  <c r="I146" i="16"/>
  <c r="H146" i="16"/>
  <c r="I145" i="16"/>
  <c r="H145" i="16"/>
  <c r="I144" i="16"/>
  <c r="H144" i="16"/>
  <c r="M66" i="16"/>
  <c r="I65" i="16"/>
  <c r="M65" i="16" s="1"/>
  <c r="I64" i="16"/>
  <c r="M64" i="16" s="1"/>
  <c r="I63" i="16"/>
  <c r="M63" i="16" s="1"/>
  <c r="I62" i="16"/>
  <c r="M62" i="16" s="1"/>
  <c r="I61" i="16"/>
  <c r="M61" i="16" s="1"/>
  <c r="I60" i="16"/>
  <c r="M60" i="16" s="1"/>
  <c r="I59" i="16"/>
  <c r="M59" i="16" s="1"/>
  <c r="I58" i="16"/>
  <c r="M58" i="16" s="1"/>
  <c r="I57" i="16"/>
  <c r="M57" i="16" s="1"/>
  <c r="I56" i="16"/>
  <c r="M56" i="16" s="1"/>
  <c r="I55" i="16"/>
  <c r="M55" i="16" s="1"/>
  <c r="I54" i="16"/>
  <c r="M54" i="16" s="1"/>
  <c r="I53" i="16"/>
  <c r="M53" i="16" s="1"/>
  <c r="I52" i="16"/>
  <c r="M52" i="16" s="1"/>
  <c r="I51" i="16"/>
  <c r="M51" i="16" s="1"/>
  <c r="I50" i="16"/>
  <c r="M50" i="16" s="1"/>
  <c r="I49" i="16"/>
  <c r="M49" i="16" s="1"/>
  <c r="I48" i="16"/>
  <c r="M48" i="16" s="1"/>
  <c r="I40" i="16"/>
  <c r="K179" i="15"/>
  <c r="K180" i="15" s="1"/>
  <c r="I168" i="15"/>
  <c r="K167" i="15"/>
  <c r="K168" i="15" s="1"/>
  <c r="H188" i="15" s="1"/>
  <c r="I166" i="15"/>
  <c r="M165" i="15"/>
  <c r="I165" i="15"/>
  <c r="I157" i="15"/>
  <c r="K156" i="15"/>
  <c r="K157" i="15" s="1"/>
  <c r="M150" i="15"/>
  <c r="I149" i="15"/>
  <c r="H149" i="15"/>
  <c r="I148" i="15"/>
  <c r="H148" i="15"/>
  <c r="I147" i="15"/>
  <c r="H147" i="15"/>
  <c r="M70" i="15"/>
  <c r="I69" i="15"/>
  <c r="M69" i="15" s="1"/>
  <c r="I68" i="15"/>
  <c r="M68" i="15" s="1"/>
  <c r="I67" i="15"/>
  <c r="M67" i="15" s="1"/>
  <c r="I66" i="15"/>
  <c r="M66" i="15" s="1"/>
  <c r="I65" i="15"/>
  <c r="M65" i="15" s="1"/>
  <c r="I64" i="15"/>
  <c r="M64" i="15" s="1"/>
  <c r="I63" i="15"/>
  <c r="M63" i="15" s="1"/>
  <c r="I62" i="15"/>
  <c r="M62" i="15" s="1"/>
  <c r="I61" i="15"/>
  <c r="M61" i="15" s="1"/>
  <c r="I60" i="15"/>
  <c r="M60" i="15" s="1"/>
  <c r="I59" i="15"/>
  <c r="M59" i="15" s="1"/>
  <c r="I58" i="15"/>
  <c r="M58" i="15" s="1"/>
  <c r="I57" i="15"/>
  <c r="M57" i="15" s="1"/>
  <c r="I56" i="15"/>
  <c r="M56" i="15" s="1"/>
  <c r="I55" i="15"/>
  <c r="M55" i="15" s="1"/>
  <c r="I54" i="15"/>
  <c r="M54" i="15" s="1"/>
  <c r="I53" i="15"/>
  <c r="M53" i="15" s="1"/>
  <c r="I52" i="15"/>
  <c r="M52" i="15" s="1"/>
  <c r="K191" i="15" l="1"/>
  <c r="J207" i="13" s="1"/>
  <c r="J210" i="13" s="1"/>
  <c r="K206" i="17"/>
  <c r="J224" i="17"/>
  <c r="H202" i="16"/>
  <c r="H203" i="16" s="1"/>
  <c r="K189" i="16"/>
  <c r="F188" i="15"/>
  <c r="L188" i="15" s="1"/>
  <c r="N190" i="15" s="1"/>
  <c r="L203" i="17"/>
  <c r="N205" i="17" s="1"/>
  <c r="M67" i="16"/>
  <c r="L186" i="16"/>
  <c r="N188" i="16" s="1"/>
  <c r="M71" i="15"/>
  <c r="I183" i="14" l="1"/>
  <c r="K182" i="14"/>
  <c r="K183" i="14" s="1"/>
  <c r="I181" i="14"/>
  <c r="M180" i="14"/>
  <c r="I180" i="14"/>
  <c r="I172" i="14"/>
  <c r="K171" i="14"/>
  <c r="K172" i="14" s="1"/>
  <c r="M165" i="14"/>
  <c r="I164" i="14"/>
  <c r="H164" i="14"/>
  <c r="I163" i="14"/>
  <c r="H163" i="14"/>
  <c r="I171" i="13" l="1"/>
  <c r="K169" i="13"/>
  <c r="K168" i="13"/>
  <c r="K170" i="13"/>
  <c r="K171" i="13" l="1"/>
  <c r="F179" i="13" s="1"/>
  <c r="D12" i="18"/>
  <c r="D17" i="18" s="1"/>
  <c r="D18" i="18" s="1"/>
  <c r="H12" i="18" s="1"/>
  <c r="K81" i="13" l="1"/>
  <c r="L95" i="13"/>
  <c r="K156" i="13"/>
  <c r="N83" i="13" l="1"/>
  <c r="J97" i="13"/>
  <c r="K182" i="13" l="1"/>
  <c r="L96" i="13"/>
  <c r="L97" i="13" s="1"/>
  <c r="G179" i="13" s="1"/>
  <c r="J88" i="13"/>
  <c r="J91" i="13" s="1"/>
  <c r="K179" i="13" s="1"/>
  <c r="K105" i="13"/>
  <c r="I58" i="13"/>
  <c r="J198" i="13" s="1"/>
  <c r="I207" i="15" l="1"/>
  <c r="J204" i="13"/>
  <c r="J201" i="13"/>
  <c r="N58" i="13"/>
  <c r="N200" i="13" s="1"/>
  <c r="N201" i="13" s="1"/>
  <c r="K82" i="13" l="1"/>
  <c r="K145" i="13" l="1"/>
  <c r="K146" i="13" s="1"/>
  <c r="K157" i="13"/>
  <c r="H179" i="13" s="1"/>
  <c r="I146" i="13"/>
  <c r="I157" i="13"/>
  <c r="I155" i="13" l="1"/>
  <c r="M154" i="13"/>
  <c r="I154" i="13"/>
  <c r="M139" i="13"/>
  <c r="I138" i="13"/>
  <c r="H138" i="13"/>
  <c r="I137" i="13"/>
  <c r="H137" i="13"/>
  <c r="I136" i="13"/>
  <c r="H136" i="13"/>
  <c r="K130" i="13"/>
  <c r="M130" i="13" s="1"/>
  <c r="M129" i="13"/>
  <c r="M128" i="13"/>
  <c r="K127" i="13"/>
  <c r="I127" i="13"/>
  <c r="J127" i="13" s="1"/>
  <c r="K126" i="13"/>
  <c r="I126" i="13"/>
  <c r="J126" i="13" s="1"/>
  <c r="K125" i="13"/>
  <c r="I125" i="13"/>
  <c r="J125" i="13" s="1"/>
  <c r="K124" i="13"/>
  <c r="I124" i="13"/>
  <c r="J124" i="13" s="1"/>
  <c r="K123" i="13"/>
  <c r="I123" i="13"/>
  <c r="J123" i="13" s="1"/>
  <c r="K122" i="13"/>
  <c r="I122" i="13"/>
  <c r="J122" i="13" s="1"/>
  <c r="K121" i="13"/>
  <c r="I121" i="13"/>
  <c r="J121" i="13" s="1"/>
  <c r="K120" i="13"/>
  <c r="I120" i="13"/>
  <c r="J120" i="13" s="1"/>
  <c r="K119" i="13"/>
  <c r="I119" i="13"/>
  <c r="J119" i="13" s="1"/>
  <c r="K118" i="13"/>
  <c r="I118" i="13"/>
  <c r="J118" i="13" s="1"/>
  <c r="K117" i="13"/>
  <c r="I117" i="13"/>
  <c r="J117" i="13" s="1"/>
  <c r="K116" i="13"/>
  <c r="I116" i="13"/>
  <c r="J116" i="13" s="1"/>
  <c r="K115" i="13"/>
  <c r="I115" i="13"/>
  <c r="J115" i="13" s="1"/>
  <c r="K114" i="13"/>
  <c r="I114" i="13"/>
  <c r="J114" i="13" s="1"/>
  <c r="K113" i="13"/>
  <c r="I113" i="13"/>
  <c r="J113" i="13" s="1"/>
  <c r="K112" i="13"/>
  <c r="I112" i="13"/>
  <c r="J112" i="13" s="1"/>
  <c r="K111" i="13"/>
  <c r="I111" i="13"/>
  <c r="J111" i="13" s="1"/>
  <c r="K110" i="13"/>
  <c r="I110" i="13"/>
  <c r="J110" i="13" s="1"/>
  <c r="K109" i="13"/>
  <c r="I109" i="13"/>
  <c r="J109" i="13" s="1"/>
  <c r="K108" i="13"/>
  <c r="I108" i="13"/>
  <c r="J108" i="13" s="1"/>
  <c r="K107" i="13"/>
  <c r="I107" i="13"/>
  <c r="K106" i="13"/>
  <c r="I106" i="13"/>
  <c r="J106" i="13" s="1"/>
  <c r="K80" i="13"/>
  <c r="K79" i="13"/>
  <c r="K78" i="13"/>
  <c r="K77" i="13"/>
  <c r="K70" i="13"/>
  <c r="K69" i="13"/>
  <c r="K68" i="13"/>
  <c r="K83" i="13" l="1"/>
  <c r="E179" i="13" s="1"/>
  <c r="K72" i="13"/>
  <c r="D179" i="13" s="1"/>
  <c r="M106" i="13"/>
  <c r="M108" i="13"/>
  <c r="M109" i="13"/>
  <c r="M110" i="13"/>
  <c r="M111" i="13"/>
  <c r="M112" i="13"/>
  <c r="M113" i="13"/>
  <c r="M114" i="13"/>
  <c r="M115" i="13"/>
  <c r="M116" i="13"/>
  <c r="M117" i="13"/>
  <c r="M118" i="13"/>
  <c r="M119" i="13"/>
  <c r="M120" i="13"/>
  <c r="M121" i="13"/>
  <c r="M122" i="13"/>
  <c r="M123" i="13"/>
  <c r="M124" i="13"/>
  <c r="M125" i="13"/>
  <c r="M126" i="13"/>
  <c r="M127" i="13"/>
  <c r="J107" i="13"/>
  <c r="M107" i="13" s="1"/>
  <c r="L107" i="13"/>
  <c r="K131" i="13"/>
  <c r="I179" i="13" s="1"/>
  <c r="K55" i="13"/>
  <c r="K58" i="13" s="1"/>
  <c r="A179" i="13" s="1"/>
  <c r="L179" i="13" s="1"/>
  <c r="N181" i="13" s="1"/>
  <c r="B6" i="18" l="1"/>
</calcChain>
</file>

<file path=xl/sharedStrings.xml><?xml version="1.0" encoding="utf-8"?>
<sst xmlns="http://schemas.openxmlformats.org/spreadsheetml/2006/main" count="1160" uniqueCount="179">
  <si>
    <t>Кол-во ставок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</si>
  <si>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</si>
  <si>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</si>
  <si>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</si>
  <si>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</si>
  <si>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</si>
  <si>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</si>
  <si>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</si>
  <si>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</si>
  <si>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</si>
  <si>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</si>
  <si>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</si>
  <si>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</si>
  <si>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</si>
  <si>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</si>
  <si>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</si>
  <si>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</si>
  <si>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</si>
  <si>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</si>
  <si>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</si>
  <si>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</si>
  <si>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</si>
  <si>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</si>
  <si>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</si>
  <si>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</si>
  <si>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</si>
  <si>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</si>
  <si>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</si>
  <si>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</si>
  <si>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</si>
  <si>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</si>
  <si>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</si>
  <si>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</si>
  <si>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</si>
  <si>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</si>
  <si>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</si>
  <si>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</si>
  <si>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</si>
  <si>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</si>
  <si>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</si>
  <si>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</si>
  <si>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</si>
  <si>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</si>
  <si>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</si>
  <si>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</si>
  <si>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</si>
  <si>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</si>
  <si>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</si>
  <si>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</si>
  <si>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</si>
  <si>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</si>
  <si>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</si>
  <si>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</si>
  <si>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</si>
  <si>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УС</t>
  </si>
  <si>
    <t>ТУ</t>
  </si>
  <si>
    <t>ОТ2</t>
  </si>
  <si>
    <t>ПНЗ</t>
  </si>
  <si>
    <t>Базовый норматив затрат на оказание услуг, руб.</t>
  </si>
  <si>
    <t>5=3/4</t>
  </si>
  <si>
    <t>8=5*7</t>
  </si>
  <si>
    <t>8=6*7</t>
  </si>
  <si>
    <t>Фортепиано</t>
  </si>
  <si>
    <t xml:space="preserve">Рояль концертный </t>
  </si>
  <si>
    <t>Рояль электронный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</si>
  <si>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</si>
  <si>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</si>
  <si>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</si>
  <si>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</si>
  <si>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</si>
  <si>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</si>
  <si>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 xml:space="preserve">Тариф (цена), рублей </t>
  </si>
  <si>
    <t>Исполнитель: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</si>
  <si>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</si>
  <si>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</si>
  <si>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</si>
  <si>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</si>
  <si>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</si>
  <si>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</si>
  <si>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</si>
  <si>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</si>
  <si>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</si>
  <si>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</si>
  <si>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</si>
  <si>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</si>
  <si>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</si>
  <si>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</si>
  <si>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</si>
  <si>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</si>
  <si>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</si>
  <si>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 xml:space="preserve">Нормативный объем </t>
  </si>
  <si>
    <t>литры</t>
  </si>
  <si>
    <t xml:space="preserve">нормативный объем </t>
  </si>
  <si>
    <t xml:space="preserve">                                                                                                                                                                               Прочие расходы</t>
  </si>
  <si>
    <t>Итого прочие расходы</t>
  </si>
  <si>
    <t>Оплата по страховым взносам</t>
  </si>
  <si>
    <t>ПР</t>
  </si>
  <si>
    <t>Интернет</t>
  </si>
  <si>
    <t>кол-во точек, ед</t>
  </si>
  <si>
    <t>Затраты на прочие расходы</t>
  </si>
  <si>
    <t>Прочие затраты</t>
  </si>
  <si>
    <t xml:space="preserve">                     ИСХОДНЫЕ ДАННЫЕ И РЕЗУЛЬТАТЫ РАСЧЕТОВ  МБУ ММЦ "Бригантина"</t>
  </si>
  <si>
    <t>Количество мероприятий</t>
  </si>
  <si>
    <t>Нормативные затраты на одного потребителя</t>
  </si>
  <si>
    <t>ИТОГО по муниципальной работе</t>
  </si>
  <si>
    <t>Директор МБУ ММЦ "Бригантина"</t>
  </si>
  <si>
    <t>Кол-во штатных едениц</t>
  </si>
  <si>
    <t>Работники, непосредственно связанные с оказанием работ</t>
  </si>
  <si>
    <t>Работники, непосредственно не связанные с оказанием работ</t>
  </si>
  <si>
    <t>Оплата услуг по техническому обслуживанию, ремонту вычислительной техники и оборудования</t>
  </si>
  <si>
    <t>Оплата расходов по промывке сетей отопления</t>
  </si>
  <si>
    <t>Услуги по заправке картриджей к оргтехнике</t>
  </si>
  <si>
    <t>Техническое обслуживание установок пожарной сигнализации</t>
  </si>
  <si>
    <t>Оплата стоимости обучения на курсах повышения квалификации</t>
  </si>
  <si>
    <t>Оказание охранных услуг, пульт централизованного наблюдения (ПЦН)</t>
  </si>
  <si>
    <t>Оказание охранных услуг (кнопка тревожной сигнализации)</t>
  </si>
  <si>
    <t>Обслуживание видеонаблюдения</t>
  </si>
  <si>
    <t xml:space="preserve">Затраты на оплату труда (с начисленииями) работников, непосредственно связанных с оказанием работ. </t>
  </si>
  <si>
    <t>Затраты на оплату труда (с начислениями) работников, непосредственно не связанных с оказанием работ</t>
  </si>
  <si>
    <t>Методист</t>
  </si>
  <si>
    <t>Специалист по работе с молодежью</t>
  </si>
  <si>
    <t>Специалист по связям с общественностью</t>
  </si>
  <si>
    <t>Звукооператор</t>
  </si>
  <si>
    <t>Делопроизводитель</t>
  </si>
  <si>
    <t>Педагог-психолог</t>
  </si>
  <si>
    <t>Юрисконсульт</t>
  </si>
  <si>
    <t>Администратор</t>
  </si>
  <si>
    <t>Начальник хозяйственного отдела</t>
  </si>
  <si>
    <t>Уборщик служебных помещений</t>
  </si>
  <si>
    <t>Уборщик территорий</t>
  </si>
  <si>
    <t>Наименование</t>
  </si>
  <si>
    <t>Нормативные затраты на одно мероприятие</t>
  </si>
  <si>
    <t>Затраты на проведение мероприятий</t>
  </si>
  <si>
    <t>ЗНПР</t>
  </si>
  <si>
    <t>Профилактика безнадзорности и правонарушений среди несовершеннолетних граждан</t>
  </si>
  <si>
    <t>Информационная поддержка молодежной политики</t>
  </si>
  <si>
    <t>Поддержка одарённой, талантливой молодёжи,  молодежного творчества и молодежных субкультур.</t>
  </si>
  <si>
    <t>Мероприятия направленные на развитие молодежных патриотических объединений и клубов города Назарово</t>
  </si>
  <si>
    <t>Поддержка инновационной деятельности молодежи и молодежного предпринимательства</t>
  </si>
  <si>
    <t>Мероприятия направленные на развитие добровольческого движения на территории города Назарово</t>
  </si>
  <si>
    <t>Поддержка молодых граждан в сфере занятости, трудового воспитания,  профориентации, оздоровления, отдыха детей, подростков и молодежи.</t>
  </si>
  <si>
    <t>162 0707 0610000810 611</t>
  </si>
  <si>
    <t xml:space="preserve">2 работа </t>
  </si>
  <si>
    <t xml:space="preserve">3 работа </t>
  </si>
  <si>
    <t xml:space="preserve">4 работа </t>
  </si>
  <si>
    <t xml:space="preserve">5 работа </t>
  </si>
  <si>
    <t>итого:</t>
  </si>
  <si>
    <t xml:space="preserve">Сумма по всем 5 муниципальным работам: </t>
  </si>
  <si>
    <t>ВСЕГО:</t>
  </si>
  <si>
    <t xml:space="preserve">1 работа    </t>
  </si>
  <si>
    <t>Поддержка молодых семей</t>
  </si>
  <si>
    <t>ПЛАН ПО АССИГНОВАНИЯМ:</t>
  </si>
  <si>
    <t>Приложение № 1 к приказу от                                № ____</t>
  </si>
  <si>
    <t>Приложение № 5 к приказу от                           № ____</t>
  </si>
  <si>
    <t>Приложение № 4 к приказу от                            № ____</t>
  </si>
  <si>
    <t>Приложение № 3 к приказу от                            № ____</t>
  </si>
  <si>
    <t>Приложение № 2 к приказу от                              № ____</t>
  </si>
  <si>
    <t>Зам.директора по общим вопросам</t>
  </si>
  <si>
    <t>Суточные при служебных командировках</t>
  </si>
  <si>
    <t>Шефовалова Е.А.</t>
  </si>
  <si>
    <t>7-45-59</t>
  </si>
  <si>
    <t xml:space="preserve">Техническое и аварийное обслуживание здания </t>
  </si>
  <si>
    <t>ТКО</t>
  </si>
  <si>
    <t>Н.С. Аникина</t>
  </si>
  <si>
    <r>
      <t xml:space="preserve">Учреждение: </t>
    </r>
    <r>
      <rPr>
        <sz val="12"/>
        <rFont val="Times New Roman"/>
        <family val="1"/>
        <charset val="204"/>
      </rPr>
      <t>Муниципальное бюджетное  учреждение "Многопрофильный молодежный центр "Бригантина" г. Назарово"</t>
    </r>
  </si>
  <si>
    <r>
      <t>Работа № 1:</t>
    </r>
    <r>
      <rPr>
        <sz val="12"/>
        <rFont val="Times New Roman"/>
        <family val="1"/>
        <charset val="204"/>
      </rPr>
      <t xml:space="preserve"> Организация мероприятий, направленных на профилактику ассоциального деструктивного поведения подростков и молодежи, поддержка детей и молодежи, находящейся в социально-опасном положении. </t>
    </r>
  </si>
  <si>
    <r>
      <t xml:space="preserve">Содержание услуги:  </t>
    </r>
    <r>
      <rPr>
        <sz val="12"/>
        <rFont val="Times New Roman"/>
        <family val="1"/>
        <charset val="204"/>
      </rPr>
      <t>очно</t>
    </r>
  </si>
  <si>
    <r>
      <t>Штатное расписание: 21,5</t>
    </r>
    <r>
      <rPr>
        <sz val="12"/>
        <rFont val="Times New Roman"/>
        <family val="1"/>
        <charset val="204"/>
      </rPr>
      <t xml:space="preserve"> штатных едениц</t>
    </r>
  </si>
  <si>
    <r>
      <t>Работа № 2:</t>
    </r>
    <r>
      <rPr>
        <sz val="12"/>
        <rFont val="Times New Roman"/>
        <family val="1"/>
        <charset val="204"/>
      </rPr>
      <t xml:space="preserve"> 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самореализации подростков и молодежи, развитие творческого, профессионального, интеллектуального потенциалов подростков и молодежи.</t>
    </r>
  </si>
  <si>
    <r>
      <t>Наименование показателя объема: 57</t>
    </r>
    <r>
      <rPr>
        <sz val="12"/>
        <rFont val="Times New Roman"/>
        <family val="1"/>
        <charset val="204"/>
      </rPr>
      <t xml:space="preserve"> (проведение конкурсов, фестивалей, фотовыставок, фотоквестов, культурно-досуговых мероприятий, мероприятий "Робототехника и НТТМ", школ проектной грамотности, сопровождение  реализации проектов)</t>
    </r>
  </si>
  <si>
    <t>Прочее имущество (?)</t>
  </si>
  <si>
    <r>
      <t xml:space="preserve">Работа № 3: </t>
    </r>
    <r>
      <rPr>
        <sz val="12"/>
        <rFont val="Times New Roman"/>
        <family val="1"/>
        <charset val="204"/>
      </rPr>
  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молодежи.</t>
    </r>
  </si>
  <si>
    <r>
      <t xml:space="preserve">Наименование показателя объема: </t>
    </r>
    <r>
      <rPr>
        <sz val="12"/>
        <rFont val="Times New Roman"/>
        <family val="1"/>
        <charset val="204"/>
      </rPr>
      <t>25 (проведение военно-патриотических мероприятий, семинаров, акций, слётов, игр, круглых столов и др.)</t>
    </r>
  </si>
  <si>
    <r>
      <t xml:space="preserve">Работа № 4: </t>
    </r>
    <r>
      <rPr>
        <sz val="12"/>
        <rFont val="Times New Roman"/>
        <family val="1"/>
        <charset val="204"/>
      </rPr>
  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жизни.</t>
    </r>
  </si>
  <si>
    <r>
      <t xml:space="preserve">Работа № 5: </t>
    </r>
    <r>
      <rPr>
        <sz val="12"/>
        <rFont val="Times New Roman"/>
        <family val="1"/>
        <charset val="204"/>
      </rPr>
      <t>Организация досуга детей, подростков и молодежи.</t>
    </r>
  </si>
  <si>
    <t>БАЗОВОГО НОРМАТИВА ЗАТРАТ НА ОКАЗАНИЕ МУНИЦИПАЛЬНЫХ РАБОТ НА 2022 год</t>
  </si>
  <si>
    <r>
      <t>Наименование показателя объема: 600</t>
    </r>
    <r>
      <rPr>
        <sz val="12"/>
        <rFont val="Times New Roman"/>
        <family val="1"/>
        <charset val="204"/>
      </rPr>
      <t xml:space="preserve"> (мероприятий консультационной направленности, тренинги, круглые столы)</t>
    </r>
  </si>
  <si>
    <r>
      <t>Наименование показателя объема: 52</t>
    </r>
    <r>
      <rPr>
        <sz val="12"/>
        <rFont val="Times New Roman"/>
        <family val="1"/>
        <charset val="204"/>
      </rPr>
      <t xml:space="preserve"> (проведение мероприятий, акций, тренингов, мастер-классов по предпринимательской, добровольческой деятельности и мероприятий, направленных на формирование ЗОЖ)</t>
    </r>
  </si>
  <si>
    <r>
      <t>Наименование показателя объема: 303</t>
    </r>
    <r>
      <rPr>
        <sz val="12"/>
        <rFont val="Times New Roman"/>
        <family val="1"/>
        <charset val="204"/>
      </rPr>
      <t xml:space="preserve"> (проведение организационно- рекламных, досуговых мероприятий, акций и др. для подростков и молодежи)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</si>
</sst>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#,##0.0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0" fontId="0" fillId="2" borderId="0" xfId="0" applyFill="1"/>
    <xf numFmtId="0" fontId="4" fillId="0" borderId="0" xfId="0" applyFont="1"/>
    <xf numFmtId="0" fontId="6" fillId="0" borderId="0" xfId="0" applyFont="1"/>
    <xf numFmtId="0" fontId="6" fillId="2" borderId="0" xfId="0" applyFont="1" applyFill="1"/>
    <xf numFmtId="2" fontId="8" fillId="2" borderId="0" xfId="0" applyNumberFormat="1" applyFont="1" applyFill="1" applyAlignment="1">
      <alignment horizontal="center"/>
    </xf>
    <xf numFmtId="0" fontId="9" fillId="0" borderId="1" xfId="0" applyFont="1" applyBorder="1" applyAlignment="1">
      <alignment wrapText="1"/>
    </xf>
    <xf numFmtId="4" fontId="9" fillId="0" borderId="1" xfId="0" applyNumberFormat="1" applyFont="1" applyBorder="1"/>
    <xf numFmtId="0" fontId="9" fillId="2" borderId="2" xfId="0" applyFont="1" applyFill="1" applyBorder="1" applyAlignment="1">
      <alignment wrapText="1"/>
    </xf>
    <xf numFmtId="4" fontId="9" fillId="2" borderId="1" xfId="0" applyNumberFormat="1" applyFont="1" applyFill="1" applyBorder="1"/>
    <xf numFmtId="165" fontId="9" fillId="2" borderId="1" xfId="0" applyNumberFormat="1" applyFont="1" applyFill="1" applyBorder="1"/>
    <xf numFmtId="4" fontId="6" fillId="0" borderId="0" xfId="0" applyNumberFormat="1" applyFont="1"/>
    <xf numFmtId="3" fontId="9" fillId="2" borderId="1" xfId="0" applyNumberFormat="1" applyFont="1" applyFill="1" applyBorder="1"/>
    <xf numFmtId="0" fontId="9" fillId="0" borderId="0" xfId="0" applyFont="1"/>
    <xf numFmtId="4" fontId="9" fillId="2" borderId="7" xfId="0" applyNumberFormat="1" applyFont="1" applyFill="1" applyBorder="1"/>
    <xf numFmtId="0" fontId="9" fillId="0" borderId="2" xfId="0" applyFont="1" applyBorder="1"/>
    <xf numFmtId="0" fontId="10" fillId="0" borderId="0" xfId="0" applyFont="1"/>
    <xf numFmtId="0" fontId="9" fillId="0" borderId="1" xfId="0" applyFont="1" applyFill="1" applyBorder="1" applyAlignment="1">
      <alignment wrapText="1"/>
    </xf>
    <xf numFmtId="0" fontId="9" fillId="2" borderId="1" xfId="0" applyFont="1" applyFill="1" applyBorder="1"/>
    <xf numFmtId="2" fontId="9" fillId="2" borderId="7" xfId="0" applyNumberFormat="1" applyFont="1" applyFill="1" applyBorder="1"/>
    <xf numFmtId="2" fontId="8" fillId="7" borderId="8" xfId="0" applyNumberFormat="1" applyFont="1" applyFill="1" applyBorder="1"/>
    <xf numFmtId="4" fontId="9" fillId="0" borderId="7" xfId="0" applyNumberFormat="1" applyFont="1" applyBorder="1"/>
    <xf numFmtId="4" fontId="8" fillId="0" borderId="1" xfId="0" applyNumberFormat="1" applyFont="1" applyBorder="1" applyAlignment="1">
      <alignment horizontal="left"/>
    </xf>
    <xf numFmtId="2" fontId="9" fillId="2" borderId="1" xfId="0" applyNumberFormat="1" applyFont="1" applyFill="1" applyBorder="1"/>
    <xf numFmtId="4" fontId="8" fillId="7" borderId="8" xfId="0" applyNumberFormat="1" applyFont="1" applyFill="1" applyBorder="1" applyAlignment="1">
      <alignment horizontal="right"/>
    </xf>
    <xf numFmtId="4" fontId="9" fillId="0" borderId="1" xfId="0" applyNumberFormat="1" applyFont="1" applyBorder="1" applyAlignment="1">
      <alignment wrapText="1"/>
    </xf>
    <xf numFmtId="0" fontId="9" fillId="2" borderId="1" xfId="0" applyFont="1" applyFill="1" applyBorder="1" applyAlignment="1">
      <alignment wrapText="1"/>
    </xf>
    <xf numFmtId="4" fontId="9" fillId="8" borderId="1" xfId="0" applyNumberFormat="1" applyFont="1" applyFill="1" applyBorder="1" applyAlignment="1">
      <alignment wrapText="1"/>
    </xf>
    <xf numFmtId="4" fontId="9" fillId="0" borderId="2" xfId="0" applyNumberFormat="1" applyFont="1" applyBorder="1"/>
    <xf numFmtId="166" fontId="9" fillId="0" borderId="1" xfId="0" applyNumberFormat="1" applyFont="1" applyBorder="1"/>
    <xf numFmtId="3" fontId="9" fillId="6" borderId="1" xfId="0" applyNumberFormat="1" applyFont="1" applyFill="1" applyBorder="1"/>
    <xf numFmtId="0" fontId="9" fillId="0" borderId="1" xfId="0" applyNumberFormat="1" applyFont="1" applyBorder="1"/>
    <xf numFmtId="165" fontId="9" fillId="6" borderId="1" xfId="0" applyNumberFormat="1" applyFont="1" applyFill="1" applyBorder="1"/>
    <xf numFmtId="4" fontId="9" fillId="6" borderId="1" xfId="0" applyNumberFormat="1" applyFont="1" applyFill="1" applyBorder="1"/>
    <xf numFmtId="4" fontId="8" fillId="2" borderId="2" xfId="0" applyNumberFormat="1" applyFont="1" applyFill="1" applyBorder="1" applyAlignment="1">
      <alignment horizontal="left"/>
    </xf>
    <xf numFmtId="4" fontId="8" fillId="7" borderId="8" xfId="0" applyNumberFormat="1" applyFont="1" applyFill="1" applyBorder="1" applyAlignment="1"/>
    <xf numFmtId="0" fontId="9" fillId="0" borderId="1" xfId="0" applyFont="1" applyBorder="1"/>
    <xf numFmtId="3" fontId="9" fillId="2" borderId="0" xfId="0" applyNumberFormat="1" applyFont="1" applyFill="1" applyBorder="1"/>
    <xf numFmtId="49" fontId="0" fillId="0" borderId="0" xfId="0" applyNumberFormat="1"/>
    <xf numFmtId="4" fontId="0" fillId="0" borderId="0" xfId="0" applyNumberFormat="1"/>
    <xf numFmtId="4" fontId="4" fillId="0" borderId="0" xfId="0" applyNumberFormat="1" applyFont="1"/>
    <xf numFmtId="49" fontId="4" fillId="0" borderId="0" xfId="0" applyNumberFormat="1" applyFont="1"/>
    <xf numFmtId="4" fontId="8" fillId="9" borderId="8" xfId="0" applyNumberFormat="1" applyFont="1" applyFill="1" applyBorder="1"/>
    <xf numFmtId="4" fontId="6" fillId="9" borderId="8" xfId="0" applyNumberFormat="1" applyFont="1" applyFill="1" applyBorder="1"/>
    <xf numFmtId="0" fontId="9" fillId="0" borderId="1" xfId="0" applyFont="1" applyBorder="1" applyAlignment="1">
      <alignment horizontal="center" wrapText="1"/>
    </xf>
    <xf numFmtId="2" fontId="9" fillId="0" borderId="1" xfId="0" applyNumberFormat="1" applyFont="1" applyBorder="1" applyAlignment="1">
      <alignment horizontal="right"/>
    </xf>
    <xf numFmtId="4" fontId="8" fillId="9" borderId="8" xfId="0" applyNumberFormat="1" applyFont="1" applyFill="1" applyBorder="1" applyAlignment="1">
      <alignment horizontal="center" vertical="center"/>
    </xf>
    <xf numFmtId="2" fontId="8" fillId="0" borderId="3" xfId="0" applyNumberFormat="1" applyFont="1" applyBorder="1" applyAlignment="1"/>
    <xf numFmtId="0" fontId="4" fillId="0" borderId="1" xfId="0" applyFont="1" applyBorder="1"/>
    <xf numFmtId="4" fontId="4" fillId="0" borderId="1" xfId="0" applyNumberFormat="1" applyFont="1" applyBorder="1"/>
    <xf numFmtId="0" fontId="12" fillId="0" borderId="1" xfId="0" applyFont="1" applyBorder="1"/>
    <xf numFmtId="4" fontId="12" fillId="0" borderId="1" xfId="0" applyNumberFormat="1" applyFont="1" applyBorder="1"/>
    <xf numFmtId="2" fontId="9" fillId="2" borderId="1" xfId="0" applyNumberFormat="1" applyFont="1" applyFill="1" applyBorder="1" applyAlignment="1">
      <alignment wrapText="1"/>
    </xf>
    <xf numFmtId="4" fontId="12" fillId="8" borderId="1" xfId="0" applyNumberFormat="1" applyFont="1" applyFill="1" applyBorder="1"/>
    <xf numFmtId="4" fontId="9" fillId="2" borderId="2" xfId="0" applyNumberFormat="1" applyFont="1" applyFill="1" applyBorder="1"/>
    <xf numFmtId="1" fontId="9" fillId="2" borderId="2" xfId="0" applyNumberFormat="1" applyFont="1" applyFill="1" applyBorder="1"/>
    <xf numFmtId="4" fontId="8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165" fontId="6" fillId="0" borderId="0" xfId="0" applyNumberFormat="1" applyFont="1"/>
    <xf numFmtId="2" fontId="0" fillId="0" borderId="0" xfId="0" applyNumberFormat="1"/>
    <xf numFmtId="2" fontId="9" fillId="2" borderId="1" xfId="0" applyNumberFormat="1" applyFont="1" applyFill="1" applyBorder="1" applyAlignment="1">
      <alignment horizontal="center" vertical="center"/>
    </xf>
    <xf numFmtId="166" fontId="9" fillId="2" borderId="1" xfId="0" applyNumberFormat="1" applyFont="1" applyFill="1" applyBorder="1" applyAlignment="1">
      <alignment horizontal="center" vertical="center"/>
    </xf>
    <xf numFmtId="4" fontId="8" fillId="0" borderId="0" xfId="0" applyNumberFormat="1" applyFont="1" applyBorder="1" applyAlignment="1">
      <alignment horizontal="left"/>
    </xf>
    <xf numFmtId="4" fontId="8" fillId="9" borderId="0" xfId="0" applyNumberFormat="1" applyFont="1" applyFill="1" applyBorder="1"/>
    <xf numFmtId="0" fontId="9" fillId="0" borderId="0" xfId="0" applyFont="1" applyBorder="1"/>
    <xf numFmtId="4" fontId="8" fillId="7" borderId="0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2" fontId="9" fillId="2" borderId="2" xfId="0" applyNumberFormat="1" applyFont="1" applyFill="1" applyBorder="1" applyAlignment="1">
      <alignment horizontal="left"/>
    </xf>
    <xf numFmtId="2" fontId="9" fillId="2" borderId="3" xfId="0" applyNumberFormat="1" applyFont="1" applyFill="1" applyBorder="1" applyAlignment="1">
      <alignment horizontal="left"/>
    </xf>
    <xf numFmtId="2" fontId="9" fillId="2" borderId="4" xfId="0" applyNumberFormat="1" applyFont="1" applyFill="1" applyBorder="1" applyAlignment="1">
      <alignment horizontal="left"/>
    </xf>
    <xf numFmtId="0" fontId="9" fillId="0" borderId="3" xfId="0" applyFont="1" applyBorder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11" fillId="0" borderId="0" xfId="0" applyFont="1" applyAlignment="1"/>
    <xf numFmtId="0" fontId="1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4" fontId="2" fillId="0" borderId="0" xfId="0" applyNumberFormat="1" applyFont="1"/>
    <xf numFmtId="0" fontId="11" fillId="2" borderId="0" xfId="0" applyFont="1" applyFill="1"/>
    <xf numFmtId="165" fontId="9" fillId="0" borderId="0" xfId="0" applyNumberFormat="1" applyFont="1"/>
    <xf numFmtId="4" fontId="8" fillId="9" borderId="1" xfId="0" applyNumberFormat="1" applyFont="1" applyFill="1" applyBorder="1" applyAlignment="1">
      <alignment horizontal="center" vertical="center"/>
    </xf>
    <xf numFmtId="165" fontId="8" fillId="9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8" fillId="0" borderId="0" xfId="0" applyFont="1"/>
    <xf numFmtId="2" fontId="9" fillId="0" borderId="1" xfId="0" applyNumberFormat="1" applyFont="1" applyBorder="1"/>
    <xf numFmtId="4" fontId="8" fillId="0" borderId="1" xfId="0" applyNumberFormat="1" applyFont="1" applyBorder="1"/>
    <xf numFmtId="4" fontId="8" fillId="0" borderId="2" xfId="0" applyNumberFormat="1" applyFont="1" applyBorder="1"/>
    <xf numFmtId="165" fontId="8" fillId="2" borderId="3" xfId="0" applyNumberFormat="1" applyFont="1" applyFill="1" applyBorder="1"/>
    <xf numFmtId="4" fontId="8" fillId="7" borderId="8" xfId="0" applyNumberFormat="1" applyFont="1" applyFill="1" applyBorder="1"/>
    <xf numFmtId="4" fontId="9" fillId="2" borderId="4" xfId="0" applyNumberFormat="1" applyFont="1" applyFill="1" applyBorder="1"/>
    <xf numFmtId="0" fontId="9" fillId="0" borderId="0" xfId="0" applyFont="1" applyBorder="1" applyAlignment="1">
      <alignment horizontal="center"/>
    </xf>
    <xf numFmtId="4" fontId="9" fillId="0" borderId="0" xfId="0" applyNumberFormat="1" applyFont="1" applyBorder="1"/>
    <xf numFmtId="165" fontId="9" fillId="2" borderId="0" xfId="0" applyNumberFormat="1" applyFont="1" applyFill="1" applyBorder="1"/>
    <xf numFmtId="4" fontId="9" fillId="2" borderId="0" xfId="0" applyNumberFormat="1" applyFont="1" applyFill="1" applyBorder="1"/>
    <xf numFmtId="0" fontId="8" fillId="0" borderId="0" xfId="0" applyFont="1" applyAlignment="1">
      <alignment horizontal="center"/>
    </xf>
    <xf numFmtId="0" fontId="9" fillId="2" borderId="1" xfId="0" applyNumberFormat="1" applyFont="1" applyFill="1" applyBorder="1"/>
    <xf numFmtId="0" fontId="9" fillId="0" borderId="0" xfId="0" applyFont="1" applyBorder="1" applyAlignment="1">
      <alignment wrapText="1"/>
    </xf>
    <xf numFmtId="166" fontId="9" fillId="2" borderId="1" xfId="0" applyNumberFormat="1" applyFont="1" applyFill="1" applyBorder="1"/>
    <xf numFmtId="4" fontId="8" fillId="9" borderId="8" xfId="0" applyNumberFormat="1" applyFont="1" applyFill="1" applyBorder="1" applyAlignment="1"/>
    <xf numFmtId="4" fontId="9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0" fontId="8" fillId="2" borderId="13" xfId="0" applyFont="1" applyFill="1" applyBorder="1" applyAlignment="1">
      <alignment horizontal="left"/>
    </xf>
    <xf numFmtId="0" fontId="8" fillId="2" borderId="18" xfId="0" applyFont="1" applyFill="1" applyBorder="1" applyAlignment="1">
      <alignment horizontal="left"/>
    </xf>
    <xf numFmtId="4" fontId="8" fillId="2" borderId="0" xfId="0" applyNumberFormat="1" applyFont="1" applyFill="1" applyBorder="1"/>
    <xf numFmtId="2" fontId="8" fillId="2" borderId="0" xfId="0" applyNumberFormat="1" applyFont="1" applyFill="1" applyBorder="1"/>
    <xf numFmtId="0" fontId="8" fillId="0" borderId="0" xfId="0" applyFont="1" applyBorder="1" applyAlignment="1">
      <alignment horizontal="left"/>
    </xf>
    <xf numFmtId="1" fontId="9" fillId="2" borderId="1" xfId="0" applyNumberFormat="1" applyFont="1" applyFill="1" applyBorder="1"/>
    <xf numFmtId="1" fontId="9" fillId="0" borderId="1" xfId="0" applyNumberFormat="1" applyFont="1" applyBorder="1"/>
    <xf numFmtId="4" fontId="9" fillId="2" borderId="6" xfId="0" applyNumberFormat="1" applyFont="1" applyFill="1" applyBorder="1"/>
    <xf numFmtId="0" fontId="9" fillId="5" borderId="1" xfId="0" applyFont="1" applyFill="1" applyBorder="1"/>
    <xf numFmtId="4" fontId="8" fillId="2" borderId="3" xfId="0" applyNumberFormat="1" applyFont="1" applyFill="1" applyBorder="1" applyAlignment="1">
      <alignment horizontal="left"/>
    </xf>
    <xf numFmtId="4" fontId="8" fillId="5" borderId="9" xfId="0" applyNumberFormat="1" applyFont="1" applyFill="1" applyBorder="1"/>
    <xf numFmtId="0" fontId="9" fillId="0" borderId="10" xfId="0" applyFont="1" applyBorder="1"/>
    <xf numFmtId="0" fontId="8" fillId="7" borderId="11" xfId="0" applyFont="1" applyFill="1" applyBorder="1"/>
    <xf numFmtId="0" fontId="9" fillId="2" borderId="0" xfId="0" applyFont="1" applyFill="1" applyBorder="1" applyAlignment="1">
      <alignment wrapText="1"/>
    </xf>
    <xf numFmtId="2" fontId="9" fillId="0" borderId="7" xfId="0" applyNumberFormat="1" applyFont="1" applyBorder="1"/>
    <xf numFmtId="4" fontId="8" fillId="2" borderId="0" xfId="0" applyNumberFormat="1" applyFont="1" applyFill="1" applyBorder="1" applyAlignment="1">
      <alignment horizontal="left"/>
    </xf>
    <xf numFmtId="0" fontId="9" fillId="2" borderId="0" xfId="0" applyFont="1" applyFill="1" applyBorder="1"/>
    <xf numFmtId="0" fontId="9" fillId="0" borderId="12" xfId="0" applyFont="1" applyBorder="1" applyAlignment="1">
      <alignment wrapText="1"/>
    </xf>
    <xf numFmtId="2" fontId="9" fillId="0" borderId="12" xfId="0" applyNumberFormat="1" applyFont="1" applyBorder="1"/>
    <xf numFmtId="4" fontId="8" fillId="0" borderId="1" xfId="0" applyNumberFormat="1" applyFont="1" applyBorder="1" applyAlignment="1"/>
    <xf numFmtId="3" fontId="9" fillId="0" borderId="1" xfId="0" applyNumberFormat="1" applyFont="1" applyBorder="1"/>
    <xf numFmtId="4" fontId="8" fillId="9" borderId="19" xfId="0" applyNumberFormat="1" applyFont="1" applyFill="1" applyBorder="1"/>
    <xf numFmtId="4" fontId="8" fillId="0" borderId="10" xfId="0" applyNumberFormat="1" applyFont="1" applyBorder="1"/>
    <xf numFmtId="4" fontId="8" fillId="7" borderId="11" xfId="0" applyNumberFormat="1" applyFont="1" applyFill="1" applyBorder="1"/>
    <xf numFmtId="2" fontId="9" fillId="0" borderId="2" xfId="0" applyNumberFormat="1" applyFont="1" applyBorder="1"/>
    <xf numFmtId="4" fontId="9" fillId="0" borderId="1" xfId="0" applyNumberFormat="1" applyFont="1" applyBorder="1" applyAlignment="1">
      <alignment horizontal="center" vertical="center" wrapText="1"/>
    </xf>
    <xf numFmtId="4" fontId="9" fillId="0" borderId="7" xfId="0" applyNumberFormat="1" applyFont="1" applyBorder="1" applyAlignment="1">
      <alignment horizontal="center" vertical="center"/>
    </xf>
    <xf numFmtId="2" fontId="9" fillId="0" borderId="13" xfId="0" applyNumberFormat="1" applyFont="1" applyBorder="1"/>
    <xf numFmtId="2" fontId="8" fillId="7" borderId="8" xfId="0" applyNumberFormat="1" applyFont="1" applyFill="1" applyBorder="1" applyAlignment="1"/>
    <xf numFmtId="2" fontId="9" fillId="0" borderId="0" xfId="0" applyNumberFormat="1" applyFont="1" applyBorder="1"/>
    <xf numFmtId="4" fontId="9" fillId="9" borderId="8" xfId="0" applyNumberFormat="1" applyFont="1" applyFill="1" applyBorder="1"/>
    <xf numFmtId="2" fontId="9" fillId="0" borderId="0" xfId="0" applyNumberFormat="1" applyFont="1"/>
    <xf numFmtId="4" fontId="9" fillId="0" borderId="0" xfId="0" applyNumberFormat="1" applyFont="1"/>
    <xf numFmtId="0" fontId="13" fillId="0" borderId="0" xfId="0" applyFont="1"/>
    <xf numFmtId="4" fontId="11" fillId="0" borderId="0" xfId="0" applyNumberFormat="1" applyFont="1"/>
    <xf numFmtId="0" fontId="14" fillId="0" borderId="0" xfId="0" applyFont="1"/>
    <xf numFmtId="0" fontId="9" fillId="4" borderId="0" xfId="0" applyFont="1" applyFill="1"/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/>
    <xf numFmtId="164" fontId="9" fillId="4" borderId="1" xfId="0" applyNumberFormat="1" applyFont="1" applyFill="1" applyBorder="1" applyAlignment="1">
      <alignment wrapText="1"/>
    </xf>
    <xf numFmtId="4" fontId="9" fillId="4" borderId="1" xfId="0" applyNumberFormat="1" applyFont="1" applyFill="1" applyBorder="1" applyAlignment="1">
      <alignment wrapText="1"/>
    </xf>
    <xf numFmtId="4" fontId="9" fillId="4" borderId="1" xfId="0" applyNumberFormat="1" applyFont="1" applyFill="1" applyBorder="1"/>
    <xf numFmtId="164" fontId="9" fillId="4" borderId="1" xfId="0" applyNumberFormat="1" applyFont="1" applyFill="1" applyBorder="1"/>
    <xf numFmtId="0" fontId="8" fillId="0" borderId="0" xfId="0" applyFont="1" applyBorder="1" applyAlignment="1"/>
    <xf numFmtId="4" fontId="8" fillId="0" borderId="0" xfId="0" applyNumberFormat="1" applyFont="1" applyBorder="1"/>
    <xf numFmtId="4" fontId="8" fillId="7" borderId="0" xfId="0" applyNumberFormat="1" applyFont="1" applyFill="1" applyBorder="1"/>
    <xf numFmtId="4" fontId="9" fillId="0" borderId="13" xfId="0" applyNumberFormat="1" applyFont="1" applyBorder="1"/>
    <xf numFmtId="0" fontId="11" fillId="0" borderId="1" xfId="0" applyFont="1" applyBorder="1" applyAlignment="1">
      <alignment horizontal="left"/>
    </xf>
    <xf numFmtId="0" fontId="9" fillId="0" borderId="0" xfId="0" applyFont="1" applyBorder="1" applyAlignment="1">
      <alignment horizontal="center" wrapText="1"/>
    </xf>
    <xf numFmtId="4" fontId="9" fillId="2" borderId="7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4" fontId="9" fillId="0" borderId="2" xfId="0" applyNumberFormat="1" applyFont="1" applyBorder="1"/>
    <xf numFmtId="0" fontId="9" fillId="0" borderId="1" xfId="0" applyFont="1" applyBorder="1" applyAlignment="1">
      <alignment horizontal="center" wrapText="1"/>
    </xf>
    <xf numFmtId="0" fontId="9" fillId="0" borderId="3" xfId="0" applyFont="1" applyBorder="1" applyAlignment="1">
      <alignment horizontal="left"/>
    </xf>
    <xf numFmtId="2" fontId="9" fillId="2" borderId="2" xfId="0" applyNumberFormat="1" applyFont="1" applyFill="1" applyBorder="1" applyAlignment="1">
      <alignment horizontal="left"/>
    </xf>
    <xf numFmtId="2" fontId="9" fillId="2" borderId="3" xfId="0" applyNumberFormat="1" applyFont="1" applyFill="1" applyBorder="1" applyAlignment="1">
      <alignment horizontal="left"/>
    </xf>
    <xf numFmtId="2" fontId="9" fillId="2" borderId="4" xfId="0" applyNumberFormat="1" applyFont="1" applyFill="1" applyBorder="1" applyAlignment="1">
      <alignment horizontal="left"/>
    </xf>
    <xf numFmtId="2" fontId="9" fillId="2" borderId="2" xfId="0" applyNumberFormat="1" applyFont="1" applyFill="1" applyBorder="1" applyAlignment="1">
      <alignment horizontal="left"/>
    </xf>
    <xf numFmtId="2" fontId="9" fillId="2" borderId="3" xfId="0" applyNumberFormat="1" applyFont="1" applyFill="1" applyBorder="1" applyAlignment="1">
      <alignment horizontal="left"/>
    </xf>
    <xf numFmtId="2" fontId="9" fillId="2" borderId="4" xfId="0" applyNumberFormat="1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4" fontId="9" fillId="0" borderId="2" xfId="0" applyNumberFormat="1" applyFont="1" applyBorder="1"/>
    <xf numFmtId="10" fontId="15" fillId="0" borderId="0" xfId="0" applyNumberFormat="1" applyFont="1"/>
    <xf numFmtId="10" fontId="0" fillId="0" borderId="0" xfId="0" applyNumberFormat="1"/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4" fontId="9" fillId="0" borderId="2" xfId="0" applyNumberFormat="1" applyFont="1" applyBorder="1"/>
    <xf numFmtId="2" fontId="9" fillId="2" borderId="2" xfId="0" applyNumberFormat="1" applyFont="1" applyFill="1" applyBorder="1" applyAlignment="1">
      <alignment horizontal="left"/>
    </xf>
    <xf numFmtId="2" fontId="9" fillId="2" borderId="3" xfId="0" applyNumberFormat="1" applyFont="1" applyFill="1" applyBorder="1" applyAlignment="1">
      <alignment horizontal="left"/>
    </xf>
    <xf numFmtId="2" fontId="9" fillId="2" borderId="4" xfId="0" applyNumberFormat="1" applyFont="1" applyFill="1" applyBorder="1" applyAlignment="1">
      <alignment horizontal="left"/>
    </xf>
    <xf numFmtId="10" fontId="9" fillId="0" borderId="0" xfId="0" applyNumberFormat="1" applyFont="1"/>
    <xf numFmtId="10" fontId="6" fillId="0" borderId="0" xfId="0" applyNumberFormat="1" applyFont="1"/>
    <xf numFmtId="4" fontId="9" fillId="0" borderId="2" xfId="0" applyNumberFormat="1" applyFont="1" applyBorder="1"/>
    <xf numFmtId="0" fontId="9" fillId="0" borderId="1" xfId="0" applyFont="1" applyBorder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11" fillId="0" borderId="0" xfId="0" applyFont="1" applyAlignment="1"/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left"/>
    </xf>
    <xf numFmtId="0" fontId="9" fillId="2" borderId="1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2" borderId="2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left" wrapText="1"/>
    </xf>
    <xf numFmtId="0" fontId="9" fillId="2" borderId="4" xfId="0" applyFont="1" applyFill="1" applyBorder="1" applyAlignment="1">
      <alignment horizontal="left" wrapText="1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3" borderId="5" xfId="0" applyFont="1" applyFill="1" applyBorder="1" applyAlignment="1">
      <alignment horizontal="center" wrapText="1"/>
    </xf>
    <xf numFmtId="0" fontId="8" fillId="3" borderId="5" xfId="0" applyFont="1" applyFill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2" borderId="3" xfId="0" applyFont="1" applyFill="1" applyBorder="1" applyAlignment="1"/>
    <xf numFmtId="0" fontId="9" fillId="0" borderId="3" xfId="0" applyFont="1" applyBorder="1" applyAlignment="1"/>
    <xf numFmtId="0" fontId="9" fillId="0" borderId="4" xfId="0" applyFont="1" applyBorder="1" applyAlignment="1"/>
    <xf numFmtId="0" fontId="8" fillId="3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9" fillId="0" borderId="2" xfId="0" applyNumberFormat="1" applyFont="1" applyBorder="1" applyAlignment="1">
      <alignment horizontal="center"/>
    </xf>
    <xf numFmtId="0" fontId="9" fillId="0" borderId="3" xfId="0" applyNumberFormat="1" applyFont="1" applyBorder="1" applyAlignment="1">
      <alignment horizontal="center"/>
    </xf>
    <xf numFmtId="0" fontId="9" fillId="0" borderId="4" xfId="0" applyNumberFormat="1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2" fontId="9" fillId="2" borderId="2" xfId="0" applyNumberFormat="1" applyFont="1" applyFill="1" applyBorder="1" applyAlignment="1">
      <alignment horizontal="left"/>
    </xf>
    <xf numFmtId="2" fontId="9" fillId="2" borderId="3" xfId="0" applyNumberFormat="1" applyFont="1" applyFill="1" applyBorder="1" applyAlignment="1">
      <alignment horizontal="left"/>
    </xf>
    <xf numFmtId="2" fontId="9" fillId="2" borderId="4" xfId="0" applyNumberFormat="1" applyFont="1" applyFill="1" applyBorder="1" applyAlignment="1">
      <alignment horizontal="left"/>
    </xf>
    <xf numFmtId="4" fontId="9" fillId="0" borderId="1" xfId="0" applyNumberFormat="1" applyFont="1" applyBorder="1" applyAlignment="1">
      <alignment horizontal="left"/>
    </xf>
    <xf numFmtId="4" fontId="9" fillId="0" borderId="7" xfId="0" applyNumberFormat="1" applyFont="1" applyBorder="1" applyAlignment="1">
      <alignment horizontal="left"/>
    </xf>
    <xf numFmtId="4" fontId="8" fillId="0" borderId="2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/>
    </xf>
    <xf numFmtId="4" fontId="8" fillId="0" borderId="4" xfId="0" applyNumberFormat="1" applyFont="1" applyBorder="1" applyAlignment="1">
      <alignment horizontal="left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2" xfId="0" applyFont="1" applyFill="1" applyBorder="1" applyAlignment="1"/>
    <xf numFmtId="0" fontId="9" fillId="2" borderId="4" xfId="0" applyFont="1" applyFill="1" applyBorder="1" applyAlignment="1"/>
    <xf numFmtId="0" fontId="8" fillId="0" borderId="4" xfId="0" applyFont="1" applyBorder="1" applyAlignment="1">
      <alignment horizontal="left"/>
    </xf>
    <xf numFmtId="4" fontId="9" fillId="0" borderId="2" xfId="0" applyNumberFormat="1" applyFont="1" applyBorder="1"/>
    <xf numFmtId="4" fontId="9" fillId="0" borderId="4" xfId="0" applyNumberFormat="1" applyFont="1" applyBorder="1"/>
    <xf numFmtId="4" fontId="9" fillId="2" borderId="2" xfId="0" applyNumberFormat="1" applyFont="1" applyFill="1" applyBorder="1" applyAlignment="1">
      <alignment horizontal="left"/>
    </xf>
    <xf numFmtId="4" fontId="9" fillId="2" borderId="3" xfId="0" applyNumberFormat="1" applyFont="1" applyFill="1" applyBorder="1" applyAlignment="1">
      <alignment horizontal="left"/>
    </xf>
    <xf numFmtId="4" fontId="9" fillId="2" borderId="4" xfId="0" applyNumberFormat="1" applyFont="1" applyFill="1" applyBorder="1" applyAlignment="1">
      <alignment horizontal="left"/>
    </xf>
    <xf numFmtId="0" fontId="8" fillId="0" borderId="1" xfId="0" applyFont="1" applyBorder="1" applyAlignment="1"/>
    <xf numFmtId="0" fontId="8" fillId="0" borderId="6" xfId="0" applyFont="1" applyBorder="1" applyAlignment="1"/>
    <xf numFmtId="0" fontId="8" fillId="0" borderId="10" xfId="0" applyFont="1" applyBorder="1" applyAlignment="1"/>
    <xf numFmtId="0" fontId="8" fillId="3" borderId="5" xfId="0" applyFont="1" applyFill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6" fillId="0" borderId="0" xfId="0" applyFont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/>
    <xf numFmtId="0" fontId="8" fillId="0" borderId="0" xfId="0" applyFont="1" applyAlignment="1"/>
    <xf numFmtId="0" fontId="11" fillId="0" borderId="0" xfId="0" applyFont="1" applyAlignment="1">
      <alignment wrapText="1"/>
    </xf>
    <xf numFmtId="0" fontId="8" fillId="0" borderId="17" xfId="0" applyFont="1" applyBorder="1" applyAlignment="1">
      <alignment horizontal="left"/>
    </xf>
    <xf numFmtId="0" fontId="9" fillId="4" borderId="1" xfId="0" applyFont="1" applyFill="1" applyBorder="1" applyAlignment="1">
      <alignment horizontal="left"/>
    </xf>
    <xf numFmtId="0" fontId="9" fillId="4" borderId="2" xfId="0" applyFont="1" applyFill="1" applyBorder="1" applyAlignment="1">
      <alignment horizontal="left"/>
    </xf>
    <xf numFmtId="0" fontId="9" fillId="4" borderId="3" xfId="0" applyFont="1" applyFill="1" applyBorder="1" applyAlignment="1">
      <alignment horizontal="left"/>
    </xf>
    <xf numFmtId="0" fontId="9" fillId="4" borderId="4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center" wrapText="1"/>
    </xf>
    <xf numFmtId="1" fontId="9" fillId="4" borderId="2" xfId="0" applyNumberFormat="1" applyFont="1" applyFill="1" applyBorder="1" applyAlignment="1">
      <alignment horizontal="center" wrapText="1"/>
    </xf>
    <xf numFmtId="1" fontId="9" fillId="4" borderId="3" xfId="0" applyNumberFormat="1" applyFont="1" applyFill="1" applyBorder="1" applyAlignment="1">
      <alignment horizontal="center" wrapText="1"/>
    </xf>
    <xf numFmtId="1" fontId="9" fillId="4" borderId="4" xfId="0" applyNumberFormat="1" applyFont="1" applyFill="1" applyBorder="1" applyAlignment="1">
      <alignment horizontal="center" wrapText="1"/>
    </xf>
    <xf numFmtId="0" fontId="9" fillId="4" borderId="2" xfId="0" applyFont="1" applyFill="1" applyBorder="1" applyAlignment="1"/>
    <xf numFmtId="0" fontId="9" fillId="4" borderId="3" xfId="0" applyFont="1" applyFill="1" applyBorder="1" applyAlignment="1"/>
    <xf numFmtId="0" fontId="9" fillId="4" borderId="4" xfId="0" applyFont="1" applyFill="1" applyBorder="1" applyAlignment="1"/>
    <xf numFmtId="0" fontId="8" fillId="4" borderId="1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/>
    <xf numFmtId="49" fontId="9" fillId="2" borderId="2" xfId="0" applyNumberFormat="1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4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0" fontId="5" fillId="0" borderId="0" xfId="0" applyFont="1" applyAlignment="1"/>
    <xf numFmtId="4" fontId="9" fillId="10" borderId="1" xfId="0" applyNumberFormat="1" applyFont="1" applyFill="1" applyBorder="1"/>
    <xf numFmtId="4" fontId="15" fillId="0" borderId="0" xfId="0" applyNumberFormat="1" applyFont="1"/>
    <xf numFmtId="0" fontId="17" fillId="0" borderId="0" xfId="0" applyFont="1"/>
    <xf numFmtId="4" fontId="9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/>
    <xf numFmtId="4" fontId="9" fillId="0" borderId="2" xfId="0" applyNumberFormat="1" applyFont="1" applyFill="1" applyBorder="1"/>
    <xf numFmtId="0" fontId="9" fillId="0" borderId="12" xfId="0" applyFont="1" applyFill="1" applyBorder="1" applyAlignment="1">
      <alignment wrapText="1"/>
    </xf>
    <xf numFmtId="0" fontId="9" fillId="0" borderId="0" xfId="0" applyFont="1" applyFill="1"/>
    <xf numFmtId="0" fontId="11" fillId="0" borderId="0" xfId="0" applyFont="1" applyFill="1"/>
    <xf numFmtId="166" fontId="9" fillId="0" borderId="1" xfId="0" applyNumberFormat="1" applyFont="1" applyFill="1" applyBorder="1"/>
    <xf numFmtId="2" fontId="9" fillId="0" borderId="1" xfId="0" applyNumberFormat="1" applyFont="1" applyFill="1" applyBorder="1" applyAlignment="1">
      <alignment horizontal="right"/>
    </xf>
    <xf numFmtId="4" fontId="9" fillId="0" borderId="7" xfId="0" applyNumberFormat="1" applyFont="1" applyFill="1" applyBorder="1" applyAlignment="1">
      <alignment horizontal="center" vertical="center"/>
    </xf>
    <xf numFmtId="2" fontId="9" fillId="0" borderId="12" xfId="0" applyNumberFormat="1" applyFont="1" applyFill="1" applyBorder="1"/>
    <xf numFmtId="4" fontId="9" fillId="0" borderId="0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/>
    <xf numFmtId="0" fontId="9" fillId="0" borderId="0" xfId="0" applyFont="1" applyFill="1" applyBorder="1" applyAlignment="1">
      <alignment horizont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Border="1"/>
    <xf numFmtId="4" fontId="9" fillId="0" borderId="0" xfId="0" applyNumberFormat="1" applyFont="1" applyFill="1" applyBorder="1"/>
    <xf numFmtId="0" fontId="9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0"/>
  <sheetViews>
    <sheetView view="pageBreakPreview" topLeftCell="A4" zoomScale="60" zoomScaleNormal="60" workbookViewId="0">
      <selection activeCell="A41" sqref="A41:E41"/>
    </sheetView>
  </sheetViews>
  <sheetFormatPr defaultRowHeight="15" x14ac:dyDescent="0.25"/>
  <cols>
    <col min="1" max="1" width="12.7109375" style="78" customWidth="1"/>
    <col min="2" max="2" width="10.42578125" style="78" customWidth="1"/>
    <col min="3" max="3" width="9.140625" style="78"/>
    <col min="4" max="4" width="15.5703125" style="78" customWidth="1"/>
    <col min="5" max="5" width="24.7109375" style="78" customWidth="1"/>
    <col min="6" max="6" width="16.42578125" style="78" customWidth="1"/>
    <col min="7" max="7" width="13.85546875" style="78" customWidth="1"/>
    <col min="8" max="8" width="17.42578125" style="78" customWidth="1"/>
    <col min="9" max="9" width="18.85546875" style="78" customWidth="1"/>
    <col min="10" max="10" width="15.140625" style="78" customWidth="1"/>
    <col min="11" max="11" width="13.85546875" style="78" customWidth="1"/>
    <col min="12" max="12" width="16" style="78" customWidth="1"/>
    <col min="13" max="13" width="13.140625" style="78" customWidth="1"/>
    <col min="14" max="14" width="16.140625" style="78" customWidth="1"/>
    <col min="15" max="15" width="17.28515625" customWidth="1"/>
  </cols>
  <sheetData>
    <row r="1" spans="1:14" hidden="1" x14ac:dyDescent="0.25"/>
    <row r="2" spans="1:14" ht="15.75" hidden="1" x14ac:dyDescent="0.25">
      <c r="A2" s="186"/>
      <c r="B2" s="186"/>
      <c r="C2" s="186"/>
      <c r="D2" s="186"/>
      <c r="E2" s="186"/>
      <c r="F2" s="186"/>
      <c r="G2" s="186"/>
      <c r="H2" s="186"/>
    </row>
    <row r="3" spans="1:14" ht="15.75" hidden="1" x14ac:dyDescent="0.25">
      <c r="A3" s="186"/>
      <c r="B3" s="186"/>
      <c r="C3" s="75"/>
      <c r="D3" s="75"/>
      <c r="E3" s="186"/>
      <c r="F3" s="186"/>
      <c r="G3" s="75"/>
      <c r="H3" s="75"/>
    </row>
    <row r="4" spans="1:14" ht="15.75" x14ac:dyDescent="0.25">
      <c r="A4" s="79"/>
      <c r="B4" s="79"/>
      <c r="C4" s="75"/>
      <c r="D4" s="75"/>
      <c r="E4" s="79"/>
      <c r="F4" s="79"/>
      <c r="G4" s="75"/>
      <c r="H4" s="75"/>
    </row>
    <row r="5" spans="1:14" ht="40.5" customHeight="1" x14ac:dyDescent="0.25">
      <c r="A5" s="187"/>
      <c r="B5" s="187"/>
      <c r="C5" s="187"/>
      <c r="D5" s="76"/>
      <c r="E5" s="187"/>
      <c r="F5" s="187"/>
      <c r="G5" s="187"/>
      <c r="H5" s="74"/>
      <c r="I5" s="187" t="s">
        <v>152</v>
      </c>
      <c r="J5" s="188"/>
      <c r="K5" s="188"/>
      <c r="L5" s="188"/>
      <c r="N5" s="170">
        <v>0.5786</v>
      </c>
    </row>
    <row r="6" spans="1:14" ht="15.75" x14ac:dyDescent="0.25">
      <c r="A6" s="76"/>
      <c r="B6" s="76"/>
      <c r="C6" s="76"/>
      <c r="D6" s="74"/>
      <c r="E6" s="76"/>
      <c r="F6" s="76"/>
      <c r="G6" s="76"/>
      <c r="H6" s="74"/>
    </row>
    <row r="7" spans="1:14" ht="15.75" x14ac:dyDescent="0.25">
      <c r="A7" s="182"/>
      <c r="B7" s="182"/>
      <c r="C7" s="182"/>
      <c r="D7" s="74"/>
      <c r="E7" s="182"/>
      <c r="F7" s="182"/>
      <c r="G7" s="182"/>
      <c r="H7" s="74"/>
    </row>
    <row r="8" spans="1:14" x14ac:dyDescent="0.25">
      <c r="A8" s="77"/>
      <c r="B8" s="77"/>
      <c r="C8" s="77"/>
      <c r="D8" s="77"/>
      <c r="E8" s="77"/>
      <c r="F8" s="77"/>
      <c r="G8" s="77"/>
      <c r="H8" s="77"/>
    </row>
    <row r="9" spans="1:14" ht="15.75" x14ac:dyDescent="0.25">
      <c r="A9" s="183" t="s">
        <v>101</v>
      </c>
      <c r="B9" s="184"/>
      <c r="C9" s="184"/>
      <c r="D9" s="184"/>
      <c r="E9" s="184"/>
      <c r="F9" s="184"/>
      <c r="G9" s="184"/>
      <c r="H9" s="77"/>
    </row>
    <row r="10" spans="1:14" ht="15.75" x14ac:dyDescent="0.25">
      <c r="A10" s="183" t="s">
        <v>175</v>
      </c>
      <c r="B10" s="184"/>
      <c r="C10" s="184"/>
      <c r="D10" s="184"/>
      <c r="E10" s="184"/>
      <c r="F10" s="184"/>
      <c r="G10" s="184"/>
      <c r="H10" s="188"/>
    </row>
    <row r="12" spans="1:14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4" ht="15.75" x14ac:dyDescent="0.25">
      <c r="A13" s="80" t="s">
        <v>164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ht="31.5" customHeight="1" x14ac:dyDescent="0.25">
      <c r="A14" s="189" t="s">
        <v>165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81"/>
    </row>
    <row r="15" spans="1:14" ht="15.75" x14ac:dyDescent="0.25">
      <c r="A15" s="80" t="s">
        <v>166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ht="15.75" x14ac:dyDescent="0.25">
      <c r="A16" s="80" t="s">
        <v>176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</row>
    <row r="17" spans="1:14" ht="15.75" x14ac:dyDescent="0.25">
      <c r="A17" s="80" t="s">
        <v>167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51.75" customHeight="1" x14ac:dyDescent="0.25">
      <c r="A18" s="185" t="s">
        <v>107</v>
      </c>
      <c r="B18" s="185"/>
      <c r="C18" s="185"/>
      <c r="D18" s="185"/>
      <c r="E18" s="185"/>
      <c r="F18" s="6" t="s">
        <v>106</v>
      </c>
      <c r="G18" s="185" t="s">
        <v>108</v>
      </c>
      <c r="H18" s="185"/>
      <c r="I18" s="185"/>
      <c r="J18" s="185"/>
      <c r="K18" s="185"/>
      <c r="L18" s="185"/>
      <c r="M18" s="6" t="s">
        <v>106</v>
      </c>
      <c r="N18" s="13"/>
    </row>
    <row r="19" spans="1:14" x14ac:dyDescent="0.25">
      <c r="A19" s="191" t="s">
        <v>119</v>
      </c>
      <c r="B19" s="191"/>
      <c r="C19" s="191"/>
      <c r="D19" s="191"/>
      <c r="E19" s="191"/>
      <c r="F19" s="57">
        <f>1*$N$5</f>
        <v>0.5786</v>
      </c>
      <c r="G19" s="192" t="s">
        <v>1</v>
      </c>
      <c r="H19" s="192"/>
      <c r="I19" s="192"/>
      <c r="J19" s="192"/>
      <c r="K19" s="192"/>
      <c r="L19" s="192"/>
      <c r="M19" s="63">
        <f>1*N5</f>
        <v>0.5786</v>
      </c>
      <c r="N19" s="13"/>
    </row>
    <row r="20" spans="1:14" x14ac:dyDescent="0.25">
      <c r="A20" s="191" t="s">
        <v>120</v>
      </c>
      <c r="B20" s="191"/>
      <c r="C20" s="191"/>
      <c r="D20" s="191"/>
      <c r="E20" s="191"/>
      <c r="F20" s="57">
        <f>9.75*N5</f>
        <v>5.6413500000000001</v>
      </c>
      <c r="G20" s="193" t="s">
        <v>157</v>
      </c>
      <c r="H20" s="194"/>
      <c r="I20" s="194"/>
      <c r="J20" s="194"/>
      <c r="K20" s="194"/>
      <c r="L20" s="195"/>
      <c r="M20" s="63">
        <f>1*N5</f>
        <v>0.5786</v>
      </c>
      <c r="N20" s="13"/>
    </row>
    <row r="21" spans="1:14" x14ac:dyDescent="0.25">
      <c r="A21" s="191" t="s">
        <v>121</v>
      </c>
      <c r="B21" s="191"/>
      <c r="C21" s="191"/>
      <c r="D21" s="191"/>
      <c r="E21" s="191"/>
      <c r="F21" s="57">
        <f>1*N5</f>
        <v>0.5786</v>
      </c>
      <c r="G21" s="196" t="s">
        <v>125</v>
      </c>
      <c r="H21" s="196"/>
      <c r="I21" s="196"/>
      <c r="J21" s="196"/>
      <c r="K21" s="196"/>
      <c r="L21" s="196"/>
      <c r="M21" s="63">
        <f>0.5*N5</f>
        <v>0.2893</v>
      </c>
      <c r="N21" s="13"/>
    </row>
    <row r="22" spans="1:14" x14ac:dyDescent="0.25">
      <c r="A22" s="191" t="s">
        <v>122</v>
      </c>
      <c r="B22" s="191"/>
      <c r="C22" s="191"/>
      <c r="D22" s="191"/>
      <c r="E22" s="191"/>
      <c r="F22" s="57">
        <f>0.25*N5</f>
        <v>0.14465</v>
      </c>
      <c r="G22" s="192" t="s">
        <v>127</v>
      </c>
      <c r="H22" s="192"/>
      <c r="I22" s="192"/>
      <c r="J22" s="192"/>
      <c r="K22" s="192"/>
      <c r="L22" s="192"/>
      <c r="M22" s="63">
        <f>1*N5</f>
        <v>0.5786</v>
      </c>
      <c r="N22" s="13"/>
    </row>
    <row r="23" spans="1:14" x14ac:dyDescent="0.25">
      <c r="A23" s="191" t="s">
        <v>124</v>
      </c>
      <c r="B23" s="191"/>
      <c r="C23" s="191"/>
      <c r="D23" s="191"/>
      <c r="E23" s="191"/>
      <c r="F23" s="57">
        <f>1*N5</f>
        <v>0.5786</v>
      </c>
      <c r="G23" s="192" t="s">
        <v>126</v>
      </c>
      <c r="H23" s="192"/>
      <c r="I23" s="192"/>
      <c r="J23" s="192"/>
      <c r="K23" s="192"/>
      <c r="L23" s="192"/>
      <c r="M23" s="63">
        <f>2*N5</f>
        <v>1.1572</v>
      </c>
      <c r="N23" s="13"/>
    </row>
    <row r="24" spans="1:14" x14ac:dyDescent="0.25">
      <c r="A24" s="197"/>
      <c r="B24" s="198"/>
      <c r="C24" s="198"/>
      <c r="D24" s="198"/>
      <c r="E24" s="199"/>
      <c r="F24" s="57"/>
      <c r="G24" s="193" t="s">
        <v>123</v>
      </c>
      <c r="H24" s="194"/>
      <c r="I24" s="194"/>
      <c r="J24" s="194"/>
      <c r="K24" s="194"/>
      <c r="L24" s="195"/>
      <c r="M24" s="63">
        <f>1*N5</f>
        <v>0.5786</v>
      </c>
      <c r="N24" s="13"/>
    </row>
    <row r="25" spans="1:14" x14ac:dyDescent="0.25">
      <c r="A25" s="191"/>
      <c r="B25" s="191"/>
      <c r="C25" s="191"/>
      <c r="D25" s="191"/>
      <c r="E25" s="191"/>
      <c r="F25" s="58"/>
      <c r="G25" s="192" t="s">
        <v>128</v>
      </c>
      <c r="H25" s="192"/>
      <c r="I25" s="192"/>
      <c r="J25" s="192"/>
      <c r="K25" s="192"/>
      <c r="L25" s="192"/>
      <c r="M25" s="63">
        <f>1.25*N5</f>
        <v>0.72324999999999995</v>
      </c>
      <c r="N25" s="13"/>
    </row>
    <row r="26" spans="1:14" ht="15.75" customHeight="1" x14ac:dyDescent="0.25">
      <c r="A26" s="191"/>
      <c r="B26" s="191"/>
      <c r="C26" s="191"/>
      <c r="D26" s="191"/>
      <c r="E26" s="191"/>
      <c r="F26" s="58"/>
      <c r="G26" s="200" t="s">
        <v>129</v>
      </c>
      <c r="H26" s="201"/>
      <c r="I26" s="201"/>
      <c r="J26" s="201"/>
      <c r="K26" s="201"/>
      <c r="L26" s="202"/>
      <c r="M26" s="63">
        <f>0.75*N5</f>
        <v>0.43395</v>
      </c>
      <c r="N26" s="13"/>
    </row>
    <row r="27" spans="1:14" ht="15.75" hidden="1" customHeight="1" x14ac:dyDescent="0.25">
      <c r="A27" s="203"/>
      <c r="B27" s="204"/>
      <c r="C27" s="204"/>
      <c r="D27" s="204"/>
      <c r="E27" s="205"/>
      <c r="F27" s="58"/>
      <c r="G27" s="200"/>
      <c r="H27" s="201"/>
      <c r="I27" s="201"/>
      <c r="J27" s="201"/>
      <c r="K27" s="201"/>
      <c r="L27" s="202"/>
      <c r="M27" s="58"/>
      <c r="N27" s="13"/>
    </row>
    <row r="28" spans="1:14" ht="15.75" customHeight="1" x14ac:dyDescent="0.25">
      <c r="A28" s="203"/>
      <c r="B28" s="204"/>
      <c r="C28" s="204"/>
      <c r="D28" s="204"/>
      <c r="E28" s="205"/>
      <c r="F28" s="58"/>
      <c r="G28" s="200"/>
      <c r="H28" s="201"/>
      <c r="I28" s="201"/>
      <c r="J28" s="201"/>
      <c r="K28" s="201"/>
      <c r="L28" s="202"/>
      <c r="M28" s="58"/>
      <c r="N28" s="13"/>
    </row>
    <row r="29" spans="1:14" ht="15.75" hidden="1" customHeight="1" x14ac:dyDescent="0.25">
      <c r="A29" s="203"/>
      <c r="B29" s="204"/>
      <c r="C29" s="204"/>
      <c r="D29" s="204"/>
      <c r="E29" s="205"/>
      <c r="F29" s="18"/>
      <c r="G29" s="200"/>
      <c r="H29" s="201"/>
      <c r="I29" s="201"/>
      <c r="J29" s="201"/>
      <c r="K29" s="201"/>
      <c r="L29" s="202"/>
      <c r="M29" s="18"/>
      <c r="N29" s="13"/>
    </row>
    <row r="30" spans="1:14" ht="15.75" customHeight="1" x14ac:dyDescent="0.25">
      <c r="A30" s="203"/>
      <c r="B30" s="204"/>
      <c r="C30" s="204"/>
      <c r="D30" s="204"/>
      <c r="E30" s="205"/>
      <c r="F30" s="18"/>
      <c r="G30" s="82"/>
      <c r="H30" s="82"/>
      <c r="I30" s="82"/>
      <c r="J30" s="82"/>
      <c r="K30" s="82"/>
      <c r="L30" s="82"/>
      <c r="M30" s="18"/>
      <c r="N30" s="13"/>
    </row>
    <row r="31" spans="1:14" ht="15.75" customHeight="1" x14ac:dyDescent="0.25">
      <c r="A31" s="203"/>
      <c r="B31" s="204"/>
      <c r="C31" s="204"/>
      <c r="D31" s="204"/>
      <c r="E31" s="205"/>
      <c r="F31" s="18"/>
      <c r="G31" s="200"/>
      <c r="H31" s="201"/>
      <c r="I31" s="201"/>
      <c r="J31" s="201"/>
      <c r="K31" s="201"/>
      <c r="L31" s="202"/>
      <c r="M31" s="18"/>
      <c r="N31" s="13"/>
    </row>
    <row r="32" spans="1:14" ht="15.75" hidden="1" customHeight="1" x14ac:dyDescent="0.25">
      <c r="A32" s="203"/>
      <c r="B32" s="204"/>
      <c r="C32" s="204"/>
      <c r="D32" s="204"/>
      <c r="E32" s="205"/>
      <c r="F32" s="18"/>
      <c r="G32" s="200"/>
      <c r="H32" s="201"/>
      <c r="I32" s="201"/>
      <c r="J32" s="201"/>
      <c r="K32" s="201"/>
      <c r="L32" s="202"/>
      <c r="M32" s="18"/>
      <c r="N32" s="13"/>
    </row>
    <row r="33" spans="1:15" ht="15.75" hidden="1" customHeight="1" x14ac:dyDescent="0.25">
      <c r="A33" s="203"/>
      <c r="B33" s="204"/>
      <c r="C33" s="204"/>
      <c r="D33" s="204"/>
      <c r="E33" s="205"/>
      <c r="F33" s="18"/>
      <c r="G33" s="200"/>
      <c r="H33" s="201"/>
      <c r="I33" s="201"/>
      <c r="J33" s="201"/>
      <c r="K33" s="201"/>
      <c r="L33" s="202"/>
      <c r="M33" s="18"/>
      <c r="N33" s="13"/>
    </row>
    <row r="34" spans="1:15" ht="15.75" hidden="1" customHeight="1" x14ac:dyDescent="0.25">
      <c r="A34" s="203"/>
      <c r="B34" s="204"/>
      <c r="C34" s="204"/>
      <c r="D34" s="204"/>
      <c r="E34" s="205"/>
      <c r="F34" s="18"/>
      <c r="G34" s="200"/>
      <c r="H34" s="201"/>
      <c r="I34" s="201"/>
      <c r="J34" s="201"/>
      <c r="K34" s="201"/>
      <c r="L34" s="202"/>
      <c r="M34" s="18"/>
      <c r="N34" s="13"/>
    </row>
    <row r="35" spans="1:15" ht="15.75" hidden="1" customHeight="1" x14ac:dyDescent="0.25">
      <c r="A35" s="203"/>
      <c r="B35" s="204"/>
      <c r="C35" s="204"/>
      <c r="D35" s="204"/>
      <c r="E35" s="205"/>
      <c r="F35" s="18"/>
      <c r="G35" s="200"/>
      <c r="H35" s="201"/>
      <c r="I35" s="201"/>
      <c r="J35" s="201"/>
      <c r="K35" s="201"/>
      <c r="L35" s="202"/>
      <c r="M35" s="18"/>
      <c r="N35" s="13"/>
    </row>
    <row r="36" spans="1:15" ht="15.75" hidden="1" customHeight="1" x14ac:dyDescent="0.25">
      <c r="A36" s="203"/>
      <c r="B36" s="204"/>
      <c r="C36" s="204"/>
      <c r="D36" s="204"/>
      <c r="E36" s="205"/>
      <c r="F36" s="18"/>
      <c r="G36" s="200"/>
      <c r="H36" s="201"/>
      <c r="I36" s="201"/>
      <c r="J36" s="201"/>
      <c r="K36" s="201"/>
      <c r="L36" s="202"/>
      <c r="M36" s="18"/>
      <c r="N36" s="13"/>
    </row>
    <row r="37" spans="1:15" ht="15.75" hidden="1" customHeight="1" x14ac:dyDescent="0.25">
      <c r="A37" s="203"/>
      <c r="B37" s="204"/>
      <c r="C37" s="204"/>
      <c r="D37" s="204"/>
      <c r="E37" s="205"/>
      <c r="F37" s="18"/>
      <c r="G37" s="200"/>
      <c r="H37" s="201"/>
      <c r="I37" s="201"/>
      <c r="J37" s="201"/>
      <c r="K37" s="201"/>
      <c r="L37" s="202"/>
      <c r="M37" s="18"/>
      <c r="N37" s="13"/>
    </row>
    <row r="38" spans="1:15" x14ac:dyDescent="0.25">
      <c r="A38" s="206"/>
      <c r="B38" s="206"/>
      <c r="C38" s="206"/>
      <c r="D38" s="206"/>
      <c r="E38" s="206"/>
      <c r="F38" s="18"/>
      <c r="G38" s="192"/>
      <c r="H38" s="192"/>
      <c r="I38" s="192"/>
      <c r="J38" s="192"/>
      <c r="K38" s="192"/>
      <c r="L38" s="192"/>
      <c r="M38" s="18"/>
      <c r="N38" s="13"/>
    </row>
    <row r="39" spans="1:15" x14ac:dyDescent="0.25">
      <c r="A39" s="206"/>
      <c r="B39" s="206"/>
      <c r="C39" s="206"/>
      <c r="D39" s="206"/>
      <c r="E39" s="206"/>
      <c r="F39" s="18"/>
      <c r="G39" s="192"/>
      <c r="H39" s="192"/>
      <c r="I39" s="192"/>
      <c r="J39" s="192"/>
      <c r="K39" s="192"/>
      <c r="L39" s="192"/>
      <c r="M39" s="18"/>
      <c r="N39" s="13"/>
    </row>
    <row r="40" spans="1:15" x14ac:dyDescent="0.25">
      <c r="A40" s="206"/>
      <c r="B40" s="206"/>
      <c r="C40" s="206"/>
      <c r="D40" s="206"/>
      <c r="E40" s="206"/>
      <c r="F40" s="18"/>
      <c r="G40" s="192"/>
      <c r="H40" s="192"/>
      <c r="I40" s="192"/>
      <c r="J40" s="192"/>
      <c r="K40" s="192"/>
      <c r="L40" s="192"/>
      <c r="M40" s="18"/>
      <c r="N40" s="13"/>
    </row>
    <row r="41" spans="1:15" x14ac:dyDescent="0.25">
      <c r="A41" s="206"/>
      <c r="B41" s="206"/>
      <c r="C41" s="206"/>
      <c r="D41" s="206"/>
      <c r="E41" s="206"/>
      <c r="F41" s="18"/>
      <c r="G41" s="192"/>
      <c r="H41" s="192"/>
      <c r="I41" s="192"/>
      <c r="J41" s="192"/>
      <c r="K41" s="192"/>
      <c r="L41" s="192"/>
      <c r="M41" s="18"/>
      <c r="N41" s="13"/>
    </row>
    <row r="42" spans="1:15" x14ac:dyDescent="0.25">
      <c r="A42" s="206"/>
      <c r="B42" s="206"/>
      <c r="C42" s="206"/>
      <c r="D42" s="206"/>
      <c r="E42" s="206"/>
      <c r="F42" s="18"/>
      <c r="G42" s="192"/>
      <c r="H42" s="192"/>
      <c r="I42" s="192"/>
      <c r="J42" s="192"/>
      <c r="K42" s="192"/>
      <c r="L42" s="192"/>
      <c r="M42" s="18"/>
      <c r="N42" s="13"/>
    </row>
    <row r="43" spans="1:15" x14ac:dyDescent="0.25">
      <c r="A43" s="206"/>
      <c r="B43" s="206"/>
      <c r="C43" s="206"/>
      <c r="D43" s="206"/>
      <c r="E43" s="206"/>
      <c r="F43" s="18"/>
      <c r="G43" s="200"/>
      <c r="H43" s="201"/>
      <c r="I43" s="201"/>
      <c r="J43" s="201"/>
      <c r="K43" s="201"/>
      <c r="L43" s="202"/>
      <c r="M43" s="18"/>
      <c r="N43" s="13"/>
    </row>
    <row r="44" spans="1:15" ht="15" customHeight="1" x14ac:dyDescent="0.25">
      <c r="A44" s="206"/>
      <c r="B44" s="206"/>
      <c r="C44" s="206"/>
      <c r="D44" s="206"/>
      <c r="E44" s="206"/>
      <c r="F44" s="18"/>
      <c r="G44" s="200"/>
      <c r="H44" s="201"/>
      <c r="I44" s="201"/>
      <c r="J44" s="201"/>
      <c r="K44" s="201"/>
      <c r="L44" s="202"/>
      <c r="M44" s="18"/>
      <c r="N44" s="13"/>
    </row>
    <row r="45" spans="1:15" ht="15.75" customHeight="1" x14ac:dyDescent="0.25">
      <c r="A45" s="197"/>
      <c r="B45" s="198"/>
      <c r="C45" s="198"/>
      <c r="D45" s="198"/>
      <c r="E45" s="199"/>
      <c r="F45" s="18"/>
      <c r="G45" s="200"/>
      <c r="H45" s="201"/>
      <c r="I45" s="201"/>
      <c r="J45" s="201"/>
      <c r="K45" s="201"/>
      <c r="L45" s="202"/>
      <c r="M45" s="18"/>
      <c r="N45" s="83"/>
      <c r="O45" s="61"/>
    </row>
    <row r="46" spans="1:15" x14ac:dyDescent="0.25">
      <c r="A46" s="207" t="s">
        <v>2</v>
      </c>
      <c r="B46" s="207"/>
      <c r="C46" s="207"/>
      <c r="D46" s="207"/>
      <c r="E46" s="207"/>
      <c r="F46" s="84">
        <f>SUM(F19:F23)</f>
        <v>7.5217999999999998</v>
      </c>
      <c r="G46" s="208" t="s">
        <v>2</v>
      </c>
      <c r="H46" s="208"/>
      <c r="I46" s="208"/>
      <c r="J46" s="208"/>
      <c r="K46" s="208"/>
      <c r="L46" s="208"/>
      <c r="M46" s="85">
        <f>SUM(M19:M26)</f>
        <v>4.9181000000000008</v>
      </c>
      <c r="N46" s="13"/>
    </row>
    <row r="47" spans="1:15" ht="27.75" customHeight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86"/>
      <c r="N47" s="13"/>
    </row>
    <row r="48" spans="1:15" x14ac:dyDescent="0.25">
      <c r="A48" s="87"/>
      <c r="B48" s="87"/>
      <c r="C48" s="87"/>
      <c r="D48" s="87"/>
      <c r="E48" s="87"/>
      <c r="F48" s="13"/>
      <c r="G48" s="13"/>
      <c r="H48" s="13"/>
      <c r="I48" s="13"/>
      <c r="J48" s="13"/>
      <c r="K48" s="13"/>
      <c r="L48" s="13"/>
      <c r="M48" s="13"/>
      <c r="N48" s="13"/>
    </row>
    <row r="49" spans="1:14" ht="12.75" customHeight="1" x14ac:dyDescent="0.25">
      <c r="A49" s="87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1:14" ht="15" customHeight="1" x14ac:dyDescent="0.25">
      <c r="A50" s="210" t="s">
        <v>117</v>
      </c>
      <c r="B50" s="211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13"/>
    </row>
    <row r="51" spans="1:14" ht="60" x14ac:dyDescent="0.25">
      <c r="A51" s="206" t="s">
        <v>3</v>
      </c>
      <c r="B51" s="206"/>
      <c r="C51" s="206"/>
      <c r="D51" s="206"/>
      <c r="E51" s="206"/>
      <c r="F51" s="6" t="s">
        <v>4</v>
      </c>
      <c r="G51" s="6" t="s">
        <v>0</v>
      </c>
      <c r="H51" s="6" t="s">
        <v>74</v>
      </c>
      <c r="I51" s="6" t="s">
        <v>76</v>
      </c>
      <c r="J51" s="6" t="s">
        <v>102</v>
      </c>
      <c r="K51" s="6" t="s">
        <v>131</v>
      </c>
      <c r="L51" s="6" t="s">
        <v>80</v>
      </c>
      <c r="M51" s="13"/>
      <c r="N51" s="13"/>
    </row>
    <row r="52" spans="1:14" hidden="1" x14ac:dyDescent="0.25">
      <c r="A52" s="191"/>
      <c r="B52" s="191"/>
      <c r="C52" s="191"/>
      <c r="D52" s="191"/>
      <c r="E52" s="191"/>
      <c r="F52" s="36"/>
      <c r="G52" s="36"/>
      <c r="H52" s="36"/>
      <c r="I52" s="36"/>
      <c r="J52" s="88"/>
      <c r="K52" s="88"/>
      <c r="L52" s="88"/>
      <c r="M52" s="13"/>
      <c r="N52" s="13"/>
    </row>
    <row r="53" spans="1:14" hidden="1" x14ac:dyDescent="0.25">
      <c r="A53" s="191"/>
      <c r="B53" s="191"/>
      <c r="C53" s="191"/>
      <c r="D53" s="191"/>
      <c r="E53" s="191"/>
      <c r="F53" s="36"/>
      <c r="G53" s="36"/>
      <c r="H53" s="36"/>
      <c r="I53" s="36"/>
      <c r="J53" s="88"/>
      <c r="K53" s="88"/>
      <c r="L53" s="88"/>
      <c r="M53" s="13"/>
      <c r="N53" s="13"/>
    </row>
    <row r="54" spans="1:14" x14ac:dyDescent="0.25">
      <c r="A54" s="212">
        <v>1</v>
      </c>
      <c r="B54" s="213"/>
      <c r="C54" s="213"/>
      <c r="D54" s="213"/>
      <c r="E54" s="214"/>
      <c r="F54" s="36">
        <v>2</v>
      </c>
      <c r="G54" s="36">
        <v>3</v>
      </c>
      <c r="H54" s="36" t="s">
        <v>75</v>
      </c>
      <c r="I54" s="36" t="s">
        <v>77</v>
      </c>
      <c r="J54" s="31">
        <v>6</v>
      </c>
      <c r="K54" s="31" t="s">
        <v>79</v>
      </c>
      <c r="L54" s="31">
        <v>8</v>
      </c>
      <c r="M54" s="13"/>
      <c r="N54" s="13"/>
    </row>
    <row r="55" spans="1:14" x14ac:dyDescent="0.25">
      <c r="A55" s="192" t="s">
        <v>107</v>
      </c>
      <c r="B55" s="192"/>
      <c r="C55" s="192"/>
      <c r="D55" s="192"/>
      <c r="E55" s="192"/>
      <c r="F55" s="9">
        <f>H55/12/G55</f>
        <v>26512.312544869579</v>
      </c>
      <c r="G55" s="9">
        <f>F46</f>
        <v>7.5217999999999998</v>
      </c>
      <c r="H55" s="9">
        <v>2393043.75</v>
      </c>
      <c r="I55" s="56">
        <v>3115742.96</v>
      </c>
      <c r="J55" s="12">
        <v>600</v>
      </c>
      <c r="K55" s="9">
        <f>I55/J55</f>
        <v>5192.9049333333332</v>
      </c>
      <c r="L55" s="9">
        <f>I55/5384968.83*100</f>
        <v>57.859999906443285</v>
      </c>
      <c r="M55" s="13"/>
      <c r="N55" s="13"/>
    </row>
    <row r="56" spans="1:14" ht="15.75" thickBot="1" x14ac:dyDescent="0.3">
      <c r="A56" s="191"/>
      <c r="B56" s="191"/>
      <c r="C56" s="191"/>
      <c r="D56" s="191"/>
      <c r="E56" s="191"/>
      <c r="F56" s="9"/>
      <c r="G56" s="9"/>
      <c r="H56" s="9"/>
      <c r="I56" s="12"/>
      <c r="J56" s="10"/>
      <c r="K56" s="7"/>
      <c r="L56" s="7"/>
      <c r="M56" s="13"/>
      <c r="N56" s="13"/>
    </row>
    <row r="57" spans="1:14" hidden="1" x14ac:dyDescent="0.25">
      <c r="A57" s="191"/>
      <c r="B57" s="191"/>
      <c r="C57" s="191"/>
      <c r="D57" s="191"/>
      <c r="E57" s="191"/>
      <c r="F57" s="7"/>
      <c r="G57" s="7"/>
      <c r="H57" s="7"/>
      <c r="I57" s="21"/>
      <c r="J57" s="10"/>
      <c r="K57" s="21"/>
      <c r="L57" s="7"/>
      <c r="M57" s="13"/>
      <c r="N57" s="13"/>
    </row>
    <row r="58" spans="1:14" ht="15.75" thickBot="1" x14ac:dyDescent="0.3">
      <c r="A58" s="209" t="s">
        <v>81</v>
      </c>
      <c r="B58" s="209"/>
      <c r="C58" s="209"/>
      <c r="D58" s="209"/>
      <c r="E58" s="209"/>
      <c r="F58" s="89"/>
      <c r="G58" s="89"/>
      <c r="H58" s="90"/>
      <c r="I58" s="42">
        <f>I55</f>
        <v>3115742.96</v>
      </c>
      <c r="J58" s="91"/>
      <c r="K58" s="92">
        <f>K55</f>
        <v>5192.9049333333332</v>
      </c>
      <c r="L58" s="93"/>
      <c r="M58" s="13"/>
      <c r="N58" s="13">
        <f>I58/88.1%</f>
        <v>3536598.1384790014</v>
      </c>
    </row>
    <row r="59" spans="1:14" x14ac:dyDescent="0.25">
      <c r="A59" s="94"/>
      <c r="B59" s="94"/>
      <c r="C59" s="94"/>
      <c r="D59" s="94"/>
      <c r="E59" s="94"/>
      <c r="F59" s="95"/>
      <c r="G59" s="95"/>
      <c r="H59" s="95"/>
      <c r="I59" s="95"/>
      <c r="J59" s="96"/>
      <c r="K59" s="97"/>
      <c r="L59" s="97"/>
      <c r="M59" s="13"/>
      <c r="N59" s="13"/>
    </row>
    <row r="60" spans="1:14" ht="16.5" customHeight="1" x14ac:dyDescent="0.25">
      <c r="A60" s="94"/>
      <c r="B60" s="94"/>
      <c r="C60" s="94"/>
      <c r="D60" s="94"/>
      <c r="E60" s="94"/>
      <c r="F60" s="95"/>
      <c r="G60" s="95"/>
      <c r="H60" s="95"/>
      <c r="I60" s="95"/>
      <c r="J60" s="96"/>
      <c r="K60" s="97"/>
      <c r="L60" s="97"/>
      <c r="M60" s="13"/>
      <c r="N60" s="13"/>
    </row>
    <row r="61" spans="1:14" x14ac:dyDescent="0.25">
      <c r="A61" s="218" t="s">
        <v>16</v>
      </c>
      <c r="B61" s="218"/>
      <c r="C61" s="218"/>
      <c r="D61" s="218"/>
      <c r="E61" s="218"/>
      <c r="F61" s="218"/>
      <c r="G61" s="218"/>
      <c r="H61" s="218"/>
      <c r="I61" s="218"/>
      <c r="J61" s="218"/>
      <c r="K61" s="218"/>
      <c r="L61" s="218"/>
      <c r="M61" s="218"/>
      <c r="N61" s="13"/>
    </row>
    <row r="62" spans="1:14" x14ac:dyDescent="0.25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13"/>
    </row>
    <row r="63" spans="1:14" ht="30.75" hidden="1" customHeight="1" x14ac:dyDescent="0.25">
      <c r="A63" s="219"/>
      <c r="B63" s="219"/>
      <c r="C63" s="219"/>
      <c r="D63" s="219"/>
      <c r="E63" s="219"/>
      <c r="F63" s="219"/>
      <c r="G63" s="219"/>
      <c r="H63" s="219"/>
      <c r="I63" s="219"/>
      <c r="J63" s="219"/>
      <c r="K63" s="219"/>
      <c r="L63" s="219"/>
      <c r="M63" s="5"/>
      <c r="N63" s="13"/>
    </row>
    <row r="64" spans="1:14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1:17" ht="73.5" customHeight="1" x14ac:dyDescent="0.25">
      <c r="A65" s="206" t="s">
        <v>17</v>
      </c>
      <c r="B65" s="206"/>
      <c r="C65" s="206"/>
      <c r="D65" s="206"/>
      <c r="E65" s="206"/>
      <c r="F65" s="6" t="s">
        <v>7</v>
      </c>
      <c r="G65" s="6" t="s">
        <v>90</v>
      </c>
      <c r="H65" s="6" t="s">
        <v>71</v>
      </c>
      <c r="I65" s="6" t="s">
        <v>82</v>
      </c>
      <c r="J65" s="6" t="s">
        <v>102</v>
      </c>
      <c r="K65" s="6" t="s">
        <v>131</v>
      </c>
      <c r="L65" s="13"/>
      <c r="M65" s="13"/>
      <c r="N65" s="138"/>
    </row>
    <row r="66" spans="1:17" ht="18.75" customHeight="1" x14ac:dyDescent="0.25">
      <c r="A66" s="220">
        <v>1</v>
      </c>
      <c r="B66" s="221"/>
      <c r="C66" s="221"/>
      <c r="D66" s="221"/>
      <c r="E66" s="222"/>
      <c r="F66" s="6">
        <v>2</v>
      </c>
      <c r="G66" s="6">
        <v>3</v>
      </c>
      <c r="H66" s="26">
        <v>4</v>
      </c>
      <c r="I66" s="26">
        <v>5</v>
      </c>
      <c r="J66" s="99">
        <v>6</v>
      </c>
      <c r="K66" s="99" t="s">
        <v>79</v>
      </c>
      <c r="L66" s="13"/>
      <c r="M66" s="100"/>
      <c r="N66" s="13"/>
    </row>
    <row r="67" spans="1:17" x14ac:dyDescent="0.25">
      <c r="A67" s="227" t="s">
        <v>23</v>
      </c>
      <c r="B67" s="227"/>
      <c r="C67" s="227"/>
      <c r="D67" s="227"/>
      <c r="E67" s="227"/>
      <c r="F67" s="7" t="s">
        <v>26</v>
      </c>
      <c r="G67" s="10">
        <f>I67/H67</f>
        <v>4.0549724101399924</v>
      </c>
      <c r="H67" s="9">
        <v>8457.6</v>
      </c>
      <c r="I67" s="9">
        <f>59272.96*N5</f>
        <v>34295.334655999999</v>
      </c>
      <c r="J67" s="12">
        <v>600</v>
      </c>
      <c r="K67" s="9">
        <f>I67/J67</f>
        <v>57.158891093333331</v>
      </c>
      <c r="L67" s="13"/>
      <c r="M67" s="66"/>
      <c r="N67" s="9"/>
      <c r="Q67">
        <v>5702.59</v>
      </c>
    </row>
    <row r="68" spans="1:17" x14ac:dyDescent="0.25">
      <c r="A68" s="227" t="s">
        <v>24</v>
      </c>
      <c r="B68" s="227"/>
      <c r="C68" s="227"/>
      <c r="D68" s="227"/>
      <c r="E68" s="227"/>
      <c r="F68" s="7" t="s">
        <v>27</v>
      </c>
      <c r="G68" s="10">
        <f>I68/H68</f>
        <v>109.56247858625834</v>
      </c>
      <c r="H68" s="9">
        <v>1849.56</v>
      </c>
      <c r="I68" s="9">
        <f>350228.79*N5</f>
        <v>202642.37789399998</v>
      </c>
      <c r="J68" s="12">
        <v>600</v>
      </c>
      <c r="K68" s="9">
        <f>I68/J68</f>
        <v>337.73729648999995</v>
      </c>
      <c r="L68" s="13"/>
      <c r="M68" s="13"/>
      <c r="N68" s="14"/>
      <c r="Q68">
        <v>8442.66</v>
      </c>
    </row>
    <row r="69" spans="1:17" x14ac:dyDescent="0.25">
      <c r="A69" s="227" t="s">
        <v>83</v>
      </c>
      <c r="B69" s="227"/>
      <c r="C69" s="227"/>
      <c r="D69" s="227"/>
      <c r="E69" s="227"/>
      <c r="F69" s="7" t="s">
        <v>28</v>
      </c>
      <c r="G69" s="10">
        <f>I69/H69</f>
        <v>73.633661236331179</v>
      </c>
      <c r="H69" s="9">
        <v>44.81</v>
      </c>
      <c r="I69" s="9">
        <f>5702.6*N5</f>
        <v>3299.5243600000003</v>
      </c>
      <c r="J69" s="12">
        <v>600</v>
      </c>
      <c r="K69" s="9">
        <f>I69/J69</f>
        <v>5.4992072666666676</v>
      </c>
      <c r="L69" s="13"/>
      <c r="M69" s="13"/>
      <c r="N69" s="13"/>
    </row>
    <row r="70" spans="1:17" x14ac:dyDescent="0.25">
      <c r="A70" s="228" t="s">
        <v>25</v>
      </c>
      <c r="B70" s="228"/>
      <c r="C70" s="228"/>
      <c r="D70" s="228"/>
      <c r="E70" s="228"/>
      <c r="F70" s="21" t="s">
        <v>28</v>
      </c>
      <c r="G70" s="10">
        <f>I70/H70</f>
        <v>74.853604351823478</v>
      </c>
      <c r="H70" s="14">
        <v>65.260000000000005</v>
      </c>
      <c r="I70" s="14">
        <f>8442.7*N5</f>
        <v>4884.9462200000007</v>
      </c>
      <c r="J70" s="12">
        <v>600</v>
      </c>
      <c r="K70" s="14">
        <f>I70/J70</f>
        <v>8.1415770333333342</v>
      </c>
      <c r="L70" s="13"/>
      <c r="M70" s="13"/>
      <c r="N70" s="13"/>
    </row>
    <row r="71" spans="1:17" ht="15.75" thickBot="1" x14ac:dyDescent="0.3">
      <c r="A71" s="228" t="s">
        <v>162</v>
      </c>
      <c r="B71" s="228"/>
      <c r="C71" s="228"/>
      <c r="D71" s="228"/>
      <c r="E71" s="228"/>
      <c r="F71" s="21"/>
      <c r="G71" s="10">
        <f>I71/H71</f>
        <v>8.908845639798697</v>
      </c>
      <c r="H71" s="14">
        <v>1212.0999999999999</v>
      </c>
      <c r="I71" s="14">
        <f>18663*N5</f>
        <v>10798.4118</v>
      </c>
      <c r="J71" s="12">
        <v>600</v>
      </c>
      <c r="K71" s="14">
        <f>I71/J71</f>
        <v>17.997353</v>
      </c>
      <c r="L71" s="13"/>
      <c r="M71" s="13"/>
      <c r="N71" s="13"/>
    </row>
    <row r="72" spans="1:17" ht="15.75" thickBot="1" x14ac:dyDescent="0.3">
      <c r="A72" s="229" t="s">
        <v>29</v>
      </c>
      <c r="B72" s="230"/>
      <c r="C72" s="230"/>
      <c r="D72" s="230"/>
      <c r="E72" s="231"/>
      <c r="F72" s="22"/>
      <c r="G72" s="22"/>
      <c r="H72" s="22"/>
      <c r="I72" s="42">
        <f>SUM(I67:I71)</f>
        <v>255920.59492999999</v>
      </c>
      <c r="J72" s="15"/>
      <c r="K72" s="24">
        <f>SUM(K67:K71)</f>
        <v>426.53432488333328</v>
      </c>
      <c r="L72" s="13"/>
      <c r="M72" s="13"/>
      <c r="N72" s="13">
        <f>I72/88.1%</f>
        <v>290488.75701475597</v>
      </c>
    </row>
    <row r="73" spans="1:17" ht="31.5" customHeight="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1:17" x14ac:dyDescent="0.25">
      <c r="A74" s="218" t="s">
        <v>30</v>
      </c>
      <c r="B74" s="218"/>
      <c r="C74" s="218"/>
      <c r="D74" s="218"/>
      <c r="E74" s="218"/>
      <c r="F74" s="218"/>
      <c r="G74" s="218"/>
      <c r="H74" s="218"/>
      <c r="I74" s="218"/>
      <c r="J74" s="218"/>
      <c r="K74" s="218"/>
      <c r="L74" s="218"/>
      <c r="M74" s="218"/>
      <c r="N74" s="13"/>
    </row>
    <row r="75" spans="1:17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1:17" ht="60" x14ac:dyDescent="0.25">
      <c r="A76" s="223" t="s">
        <v>32</v>
      </c>
      <c r="B76" s="223"/>
      <c r="C76" s="223"/>
      <c r="D76" s="223"/>
      <c r="E76" s="223"/>
      <c r="F76" s="26" t="s">
        <v>7</v>
      </c>
      <c r="G76" s="26" t="s">
        <v>18</v>
      </c>
      <c r="H76" s="8" t="s">
        <v>85</v>
      </c>
      <c r="I76" s="6" t="s">
        <v>82</v>
      </c>
      <c r="J76" s="6" t="s">
        <v>102</v>
      </c>
      <c r="K76" s="6" t="s">
        <v>131</v>
      </c>
      <c r="L76" s="13"/>
      <c r="M76" s="13"/>
      <c r="N76" s="13"/>
    </row>
    <row r="77" spans="1:17" x14ac:dyDescent="0.25">
      <c r="A77" s="196" t="s">
        <v>161</v>
      </c>
      <c r="B77" s="196"/>
      <c r="C77" s="196"/>
      <c r="D77" s="196"/>
      <c r="E77" s="196"/>
      <c r="F77" s="18" t="s">
        <v>31</v>
      </c>
      <c r="G77" s="18">
        <v>1</v>
      </c>
      <c r="H77" s="54">
        <v>3027.85</v>
      </c>
      <c r="I77" s="9">
        <f>36334.2*N5</f>
        <v>21022.968119999998</v>
      </c>
      <c r="J77" s="12">
        <v>600</v>
      </c>
      <c r="K77" s="23">
        <f t="shared" ref="K77:K82" si="0">I77/J77</f>
        <v>35.038280199999996</v>
      </c>
      <c r="L77" s="13"/>
      <c r="M77" s="13"/>
      <c r="N77" s="13"/>
    </row>
    <row r="78" spans="1:17" ht="36.6" customHeight="1" x14ac:dyDescent="0.25">
      <c r="A78" s="232" t="s">
        <v>109</v>
      </c>
      <c r="B78" s="232"/>
      <c r="C78" s="232"/>
      <c r="D78" s="232"/>
      <c r="E78" s="233"/>
      <c r="F78" s="18" t="s">
        <v>31</v>
      </c>
      <c r="G78" s="18">
        <v>1</v>
      </c>
      <c r="H78" s="55"/>
      <c r="I78" s="101">
        <f>10000*N5</f>
        <v>5786</v>
      </c>
      <c r="J78" s="12">
        <v>600</v>
      </c>
      <c r="K78" s="23">
        <f t="shared" si="0"/>
        <v>9.6433333333333326</v>
      </c>
      <c r="L78" s="13"/>
      <c r="M78" s="97"/>
      <c r="N78" s="13"/>
    </row>
    <row r="79" spans="1:17" ht="15" customHeight="1" x14ac:dyDescent="0.25">
      <c r="A79" s="224" t="s">
        <v>110</v>
      </c>
      <c r="B79" s="225"/>
      <c r="C79" s="225"/>
      <c r="D79" s="225"/>
      <c r="E79" s="226"/>
      <c r="F79" s="18" t="s">
        <v>31</v>
      </c>
      <c r="G79" s="18">
        <v>1</v>
      </c>
      <c r="H79" s="54"/>
      <c r="I79" s="9">
        <f>6500*N5</f>
        <v>3760.9</v>
      </c>
      <c r="J79" s="12">
        <v>600</v>
      </c>
      <c r="K79" s="23">
        <f t="shared" si="0"/>
        <v>6.2681666666666667</v>
      </c>
      <c r="L79" s="13"/>
      <c r="M79" s="13"/>
      <c r="N79" s="13"/>
    </row>
    <row r="80" spans="1:17" x14ac:dyDescent="0.25">
      <c r="A80" s="70" t="s">
        <v>111</v>
      </c>
      <c r="B80" s="71"/>
      <c r="C80" s="71"/>
      <c r="D80" s="71"/>
      <c r="E80" s="72"/>
      <c r="F80" s="18" t="s">
        <v>31</v>
      </c>
      <c r="G80" s="18">
        <v>1</v>
      </c>
      <c r="H80" s="54"/>
      <c r="I80" s="9">
        <f>10000*N5</f>
        <v>5786</v>
      </c>
      <c r="J80" s="12">
        <v>600</v>
      </c>
      <c r="K80" s="23">
        <f t="shared" si="0"/>
        <v>9.6433333333333326</v>
      </c>
      <c r="L80" s="13"/>
      <c r="M80" s="13"/>
      <c r="N80" s="13"/>
    </row>
    <row r="81" spans="1:14" x14ac:dyDescent="0.25">
      <c r="A81" s="196" t="s">
        <v>112</v>
      </c>
      <c r="B81" s="196"/>
      <c r="C81" s="196"/>
      <c r="D81" s="196"/>
      <c r="E81" s="196"/>
      <c r="F81" s="18" t="s">
        <v>31</v>
      </c>
      <c r="G81" s="18">
        <v>1</v>
      </c>
      <c r="H81" s="54">
        <v>500</v>
      </c>
      <c r="I81" s="14">
        <f>6000*N5</f>
        <v>3471.6</v>
      </c>
      <c r="J81" s="12">
        <v>600</v>
      </c>
      <c r="K81" s="23">
        <f>I81/J81</f>
        <v>5.7859999999999996</v>
      </c>
      <c r="L81" s="13"/>
      <c r="M81" s="13"/>
      <c r="N81" s="13"/>
    </row>
    <row r="82" spans="1:14" s="1" customFormat="1" ht="15.75" thickBot="1" x14ac:dyDescent="0.3">
      <c r="A82" s="215" t="s">
        <v>116</v>
      </c>
      <c r="B82" s="216"/>
      <c r="C82" s="216"/>
      <c r="D82" s="216"/>
      <c r="E82" s="217"/>
      <c r="F82" s="18" t="s">
        <v>31</v>
      </c>
      <c r="G82" s="18">
        <v>1</v>
      </c>
      <c r="H82" s="54">
        <v>1500</v>
      </c>
      <c r="I82" s="14">
        <f>18000*N5</f>
        <v>10414.799999999999</v>
      </c>
      <c r="J82" s="12">
        <v>600</v>
      </c>
      <c r="K82" s="23">
        <f t="shared" si="0"/>
        <v>17.358000000000001</v>
      </c>
      <c r="L82" s="86"/>
      <c r="M82" s="86"/>
      <c r="N82" s="86"/>
    </row>
    <row r="83" spans="1:14" ht="15.75" thickBot="1" x14ac:dyDescent="0.3">
      <c r="A83" s="68" t="s">
        <v>89</v>
      </c>
      <c r="B83" s="69"/>
      <c r="C83" s="69"/>
      <c r="D83" s="69"/>
      <c r="E83" s="69"/>
      <c r="F83" s="69"/>
      <c r="G83" s="69"/>
      <c r="H83" s="69"/>
      <c r="I83" s="102">
        <f>SUM(I77:I82)</f>
        <v>50242.268119999993</v>
      </c>
      <c r="J83" s="13"/>
      <c r="K83" s="92">
        <f>SUM(K77:K82)</f>
        <v>83.737113533333329</v>
      </c>
      <c r="L83" s="13"/>
      <c r="M83" s="13"/>
      <c r="N83" s="13">
        <f>I83/88.1%</f>
        <v>57028.681180476728</v>
      </c>
    </row>
    <row r="84" spans="1:14" ht="28.5" customHeight="1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</row>
    <row r="85" spans="1:14" x14ac:dyDescent="0.25">
      <c r="A85" s="218" t="s">
        <v>84</v>
      </c>
      <c r="B85" s="218"/>
      <c r="C85" s="218"/>
      <c r="D85" s="218"/>
      <c r="E85" s="218"/>
      <c r="F85" s="218"/>
      <c r="G85" s="218"/>
      <c r="H85" s="218"/>
      <c r="I85" s="218"/>
      <c r="J85" s="218"/>
      <c r="K85" s="218"/>
      <c r="L85" s="218"/>
      <c r="M85" s="218"/>
      <c r="N85" s="13"/>
    </row>
    <row r="86" spans="1:14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</row>
    <row r="87" spans="1:14" ht="60" x14ac:dyDescent="0.25">
      <c r="A87" s="206" t="s">
        <v>32</v>
      </c>
      <c r="B87" s="206"/>
      <c r="C87" s="206"/>
      <c r="D87" s="206"/>
      <c r="E87" s="206"/>
      <c r="F87" s="6" t="s">
        <v>92</v>
      </c>
      <c r="G87" s="6" t="s">
        <v>22</v>
      </c>
      <c r="H87" s="6" t="s">
        <v>82</v>
      </c>
      <c r="I87" s="6" t="s">
        <v>102</v>
      </c>
      <c r="J87" s="6" t="s">
        <v>131</v>
      </c>
      <c r="K87" s="13"/>
      <c r="L87" s="13"/>
      <c r="M87" s="13"/>
      <c r="N87" s="13"/>
    </row>
    <row r="88" spans="1:14" ht="18" customHeight="1" x14ac:dyDescent="0.25">
      <c r="A88" s="200" t="s">
        <v>113</v>
      </c>
      <c r="B88" s="201"/>
      <c r="C88" s="201"/>
      <c r="D88" s="201"/>
      <c r="E88" s="202"/>
      <c r="F88" s="6">
        <v>4</v>
      </c>
      <c r="G88" s="26">
        <v>4500</v>
      </c>
      <c r="H88" s="103">
        <f>18000*N5</f>
        <v>10414.799999999999</v>
      </c>
      <c r="I88" s="12">
        <v>600</v>
      </c>
      <c r="J88" s="19">
        <f>H88/I88</f>
        <v>17.358000000000001</v>
      </c>
      <c r="K88" s="13"/>
      <c r="L88" s="13"/>
      <c r="M88" s="13"/>
      <c r="N88" s="13"/>
    </row>
    <row r="89" spans="1:14" ht="20.25" customHeight="1" x14ac:dyDescent="0.25">
      <c r="A89" s="192" t="s">
        <v>114</v>
      </c>
      <c r="B89" s="192"/>
      <c r="C89" s="192"/>
      <c r="D89" s="192"/>
      <c r="E89" s="192"/>
      <c r="F89" s="6">
        <v>12</v>
      </c>
      <c r="G89" s="26">
        <v>3000</v>
      </c>
      <c r="H89" s="103">
        <f>36000*N5</f>
        <v>20829.599999999999</v>
      </c>
      <c r="I89" s="12">
        <v>600</v>
      </c>
      <c r="J89" s="19">
        <f>H89/I89</f>
        <v>34.716000000000001</v>
      </c>
      <c r="K89" s="13"/>
      <c r="L89" s="13"/>
      <c r="M89" s="13"/>
      <c r="N89" s="13"/>
    </row>
    <row r="90" spans="1:14" ht="18.75" customHeight="1" thickBot="1" x14ac:dyDescent="0.3">
      <c r="A90" s="192" t="s">
        <v>115</v>
      </c>
      <c r="B90" s="192"/>
      <c r="C90" s="192"/>
      <c r="D90" s="192"/>
      <c r="E90" s="192"/>
      <c r="F90" s="6">
        <v>12</v>
      </c>
      <c r="G90" s="26">
        <v>1000</v>
      </c>
      <c r="H90" s="103">
        <f>12000*N5</f>
        <v>6943.2</v>
      </c>
      <c r="I90" s="12">
        <v>600</v>
      </c>
      <c r="J90" s="19">
        <f>H90/I90</f>
        <v>11.571999999999999</v>
      </c>
      <c r="K90" s="13"/>
      <c r="L90" s="13"/>
      <c r="M90" s="13"/>
      <c r="N90" s="13"/>
    </row>
    <row r="91" spans="1:14" ht="20.25" customHeight="1" thickBot="1" x14ac:dyDescent="0.3">
      <c r="A91" s="236" t="s">
        <v>88</v>
      </c>
      <c r="B91" s="237"/>
      <c r="C91" s="237"/>
      <c r="D91" s="237"/>
      <c r="E91" s="238"/>
      <c r="F91" s="104"/>
      <c r="G91" s="104"/>
      <c r="H91" s="42">
        <f>SUM(H88:H90)</f>
        <v>38187.599999999999</v>
      </c>
      <c r="I91" s="13"/>
      <c r="J91" s="20">
        <f>SUM(J88:J90)</f>
        <v>63.646000000000001</v>
      </c>
      <c r="K91" s="13"/>
      <c r="L91" s="105"/>
      <c r="M91" s="13"/>
      <c r="N91" s="13">
        <f>H91/88.1%</f>
        <v>43345.743473325769</v>
      </c>
    </row>
    <row r="92" spans="1:14" ht="20.25" customHeight="1" x14ac:dyDescent="0.25">
      <c r="A92" s="106"/>
      <c r="B92" s="107"/>
      <c r="C92" s="107"/>
      <c r="D92" s="107"/>
      <c r="E92" s="107"/>
      <c r="F92" s="107"/>
      <c r="G92" s="107"/>
      <c r="H92" s="108"/>
      <c r="I92" s="86"/>
      <c r="J92" s="109"/>
      <c r="K92" s="13"/>
      <c r="L92" s="105"/>
      <c r="M92" s="13"/>
      <c r="N92" s="13"/>
    </row>
    <row r="93" spans="1:14" ht="31.5" customHeight="1" x14ac:dyDescent="0.25">
      <c r="A93" s="239" t="s">
        <v>86</v>
      </c>
      <c r="B93" s="239"/>
      <c r="C93" s="239"/>
      <c r="D93" s="239"/>
      <c r="E93" s="239"/>
      <c r="F93" s="240"/>
      <c r="G93" s="240"/>
      <c r="H93" s="240"/>
      <c r="I93" s="240"/>
      <c r="J93" s="240"/>
      <c r="K93" s="240"/>
      <c r="L93" s="240"/>
      <c r="M93" s="240"/>
      <c r="N93" s="240"/>
    </row>
    <row r="94" spans="1:14" ht="45" x14ac:dyDescent="0.25">
      <c r="A94" s="206" t="s">
        <v>33</v>
      </c>
      <c r="B94" s="206"/>
      <c r="C94" s="206"/>
      <c r="D94" s="206"/>
      <c r="E94" s="206"/>
      <c r="F94" s="6" t="s">
        <v>7</v>
      </c>
      <c r="G94" s="6" t="s">
        <v>18</v>
      </c>
      <c r="H94" s="6" t="s">
        <v>71</v>
      </c>
      <c r="I94" s="6" t="s">
        <v>34</v>
      </c>
      <c r="J94" s="6" t="s">
        <v>82</v>
      </c>
      <c r="K94" s="26" t="s">
        <v>102</v>
      </c>
      <c r="L94" s="6" t="s">
        <v>131</v>
      </c>
      <c r="M94" s="13"/>
      <c r="N94" s="13"/>
    </row>
    <row r="95" spans="1:14" ht="31.5" customHeight="1" x14ac:dyDescent="0.25">
      <c r="A95" s="206" t="s">
        <v>35</v>
      </c>
      <c r="B95" s="206"/>
      <c r="C95" s="206"/>
      <c r="D95" s="206"/>
      <c r="E95" s="206"/>
      <c r="F95" s="17" t="s">
        <v>36</v>
      </c>
      <c r="G95" s="18">
        <v>3</v>
      </c>
      <c r="H95" s="52">
        <v>590.59</v>
      </c>
      <c r="I95" s="18">
        <v>12</v>
      </c>
      <c r="J95" s="14">
        <f>(14174.16+1012.44+9696)*N5</f>
        <v>14397.07236</v>
      </c>
      <c r="K95" s="12">
        <v>600</v>
      </c>
      <c r="L95" s="19">
        <f>J95/K95</f>
        <v>23.9951206</v>
      </c>
      <c r="M95" s="13"/>
      <c r="N95" s="13"/>
    </row>
    <row r="96" spans="1:14" ht="22.5" customHeight="1" thickBot="1" x14ac:dyDescent="0.3">
      <c r="A96" s="206" t="s">
        <v>97</v>
      </c>
      <c r="B96" s="206"/>
      <c r="C96" s="206"/>
      <c r="D96" s="206"/>
      <c r="E96" s="206"/>
      <c r="F96" s="17" t="s">
        <v>98</v>
      </c>
      <c r="G96" s="18">
        <v>1</v>
      </c>
      <c r="H96" s="52">
        <v>3300</v>
      </c>
      <c r="I96" s="18">
        <v>12</v>
      </c>
      <c r="J96" s="14">
        <f>36000*N5</f>
        <v>20829.599999999999</v>
      </c>
      <c r="K96" s="12">
        <v>600</v>
      </c>
      <c r="L96" s="19">
        <f>J96/K96</f>
        <v>34.716000000000001</v>
      </c>
      <c r="M96" s="13"/>
      <c r="N96" s="13"/>
    </row>
    <row r="97" spans="1:14" ht="20.25" customHeight="1" thickBot="1" x14ac:dyDescent="0.3">
      <c r="A97" s="234" t="s">
        <v>37</v>
      </c>
      <c r="B97" s="235"/>
      <c r="C97" s="235"/>
      <c r="D97" s="235"/>
      <c r="E97" s="246"/>
      <c r="F97" s="234"/>
      <c r="G97" s="235"/>
      <c r="H97" s="235"/>
      <c r="I97" s="235"/>
      <c r="J97" s="42">
        <f>J96+J95</f>
        <v>35226.672359999997</v>
      </c>
      <c r="K97" s="13"/>
      <c r="L97" s="20">
        <f>L95+L96</f>
        <v>58.711120600000001</v>
      </c>
      <c r="M97" s="13"/>
      <c r="N97" s="13"/>
    </row>
    <row r="98" spans="1:14" ht="62.25" customHeight="1" x14ac:dyDescent="0.25">
      <c r="A98" s="110"/>
      <c r="B98" s="110"/>
      <c r="C98" s="110"/>
      <c r="D98" s="110"/>
      <c r="E98" s="110"/>
      <c r="F98" s="110"/>
      <c r="G98" s="110"/>
      <c r="H98" s="110"/>
      <c r="I98" s="110"/>
      <c r="J98" s="108"/>
      <c r="K98" s="86"/>
      <c r="L98" s="109"/>
      <c r="M98" s="13"/>
      <c r="N98" s="13"/>
    </row>
    <row r="99" spans="1:14" ht="95.25" hidden="1" customHeight="1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66"/>
      <c r="M99" s="66"/>
      <c r="N99" s="13"/>
    </row>
    <row r="100" spans="1:14" ht="12" customHeight="1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66"/>
      <c r="M100" s="66"/>
      <c r="N100" s="13"/>
    </row>
    <row r="101" spans="1:14" x14ac:dyDescent="0.25">
      <c r="A101" s="218" t="s">
        <v>118</v>
      </c>
      <c r="B101" s="218"/>
      <c r="C101" s="218"/>
      <c r="D101" s="218"/>
      <c r="E101" s="218"/>
      <c r="F101" s="218"/>
      <c r="G101" s="218"/>
      <c r="H101" s="218"/>
      <c r="I101" s="218"/>
      <c r="J101" s="218"/>
      <c r="K101" s="218"/>
      <c r="L101" s="218"/>
      <c r="M101" s="218"/>
      <c r="N101" s="13"/>
    </row>
    <row r="102" spans="1:14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1:14" ht="60" x14ac:dyDescent="0.25">
      <c r="A103" s="206" t="s">
        <v>3</v>
      </c>
      <c r="B103" s="206"/>
      <c r="C103" s="206"/>
      <c r="D103" s="206"/>
      <c r="E103" s="206"/>
      <c r="F103" s="6" t="s">
        <v>4</v>
      </c>
      <c r="G103" s="36" t="s">
        <v>0</v>
      </c>
      <c r="H103" s="17" t="s">
        <v>87</v>
      </c>
      <c r="I103" s="17" t="s">
        <v>76</v>
      </c>
      <c r="J103" s="6" t="s">
        <v>102</v>
      </c>
      <c r="K103" s="6" t="s">
        <v>131</v>
      </c>
      <c r="L103" s="6" t="s">
        <v>80</v>
      </c>
      <c r="M103" s="100"/>
      <c r="N103" s="13"/>
    </row>
    <row r="104" spans="1:14" x14ac:dyDescent="0.25">
      <c r="A104" s="241">
        <v>1</v>
      </c>
      <c r="B104" s="242"/>
      <c r="C104" s="242"/>
      <c r="D104" s="242"/>
      <c r="E104" s="243"/>
      <c r="F104" s="26">
        <v>2</v>
      </c>
      <c r="G104" s="18">
        <v>3</v>
      </c>
      <c r="H104" s="26">
        <v>4</v>
      </c>
      <c r="I104" s="26">
        <v>5</v>
      </c>
      <c r="J104" s="99">
        <v>6</v>
      </c>
      <c r="K104" s="111">
        <v>7</v>
      </c>
      <c r="L104" s="112">
        <v>8</v>
      </c>
      <c r="M104" s="100"/>
      <c r="N104" s="86"/>
    </row>
    <row r="105" spans="1:14" ht="15.75" thickBot="1" x14ac:dyDescent="0.3">
      <c r="A105" s="192" t="s">
        <v>108</v>
      </c>
      <c r="B105" s="192"/>
      <c r="C105" s="192"/>
      <c r="D105" s="192"/>
      <c r="E105" s="192"/>
      <c r="F105" s="9">
        <f>H105/12/G105</f>
        <v>26610.245918367345</v>
      </c>
      <c r="G105" s="10">
        <v>4.9000000000000004</v>
      </c>
      <c r="H105" s="9">
        <v>1564682.46</v>
      </c>
      <c r="I105" s="9">
        <v>2037216.56</v>
      </c>
      <c r="J105" s="12">
        <v>600</v>
      </c>
      <c r="K105" s="9">
        <f>I105/J105</f>
        <v>3395.3609333333334</v>
      </c>
      <c r="L105" s="88">
        <f>I105/3520941.17*100</f>
        <v>57.85999997267777</v>
      </c>
      <c r="M105" s="97"/>
      <c r="N105" s="13"/>
    </row>
    <row r="106" spans="1:14" ht="15.75" hidden="1" thickBot="1" x14ac:dyDescent="0.3">
      <c r="A106" s="193"/>
      <c r="B106" s="194"/>
      <c r="C106" s="194"/>
      <c r="D106" s="194"/>
      <c r="E106" s="195"/>
      <c r="F106" s="9">
        <v>17865.98</v>
      </c>
      <c r="G106" s="30">
        <v>4</v>
      </c>
      <c r="H106" s="12"/>
      <c r="I106" s="10">
        <f>J58</f>
        <v>0</v>
      </c>
      <c r="J106" s="9" t="e">
        <f t="shared" ref="J106:J127" si="1">G106/H106*I106</f>
        <v>#DIV/0!</v>
      </c>
      <c r="K106" s="9">
        <f t="shared" ref="K106:K127" si="2">F106*G106*12*1.302</f>
        <v>1116552.28608</v>
      </c>
      <c r="L106" s="31" t="s">
        <v>61</v>
      </c>
      <c r="M106" s="113" t="e">
        <f t="shared" ref="M106:M130" si="3">J106*K106</f>
        <v>#DIV/0!</v>
      </c>
      <c r="N106" s="86"/>
    </row>
    <row r="107" spans="1:14" ht="15.75" hidden="1" thickBot="1" x14ac:dyDescent="0.3">
      <c r="A107" s="196"/>
      <c r="B107" s="196"/>
      <c r="C107" s="196"/>
      <c r="D107" s="196"/>
      <c r="E107" s="196"/>
      <c r="F107" s="9">
        <v>9544</v>
      </c>
      <c r="G107" s="30">
        <v>1</v>
      </c>
      <c r="H107" s="12"/>
      <c r="I107" s="10">
        <f>J58</f>
        <v>0</v>
      </c>
      <c r="J107" s="9" t="e">
        <f t="shared" si="1"/>
        <v>#DIV/0!</v>
      </c>
      <c r="K107" s="9">
        <f t="shared" si="2"/>
        <v>149115.45600000001</v>
      </c>
      <c r="L107" s="10">
        <f>I107/11277167.39*100</f>
        <v>0</v>
      </c>
      <c r="M107" s="9" t="e">
        <f t="shared" si="3"/>
        <v>#DIV/0!</v>
      </c>
      <c r="N107" s="86"/>
    </row>
    <row r="108" spans="1:14" ht="15" hidden="1" customHeight="1" x14ac:dyDescent="0.25">
      <c r="A108" s="244"/>
      <c r="B108" s="215"/>
      <c r="C108" s="215"/>
      <c r="D108" s="215"/>
      <c r="E108" s="245"/>
      <c r="F108" s="9">
        <v>11560</v>
      </c>
      <c r="G108" s="30">
        <v>1</v>
      </c>
      <c r="H108" s="12"/>
      <c r="I108" s="10">
        <f>J58</f>
        <v>0</v>
      </c>
      <c r="J108" s="9" t="e">
        <f t="shared" si="1"/>
        <v>#DIV/0!</v>
      </c>
      <c r="K108" s="9">
        <f t="shared" si="2"/>
        <v>180613.44</v>
      </c>
      <c r="L108" s="7"/>
      <c r="M108" s="9" t="e">
        <f t="shared" si="3"/>
        <v>#DIV/0!</v>
      </c>
      <c r="N108" s="86"/>
    </row>
    <row r="109" spans="1:14" ht="15.75" hidden="1" thickBot="1" x14ac:dyDescent="0.3">
      <c r="A109" s="192"/>
      <c r="B109" s="192"/>
      <c r="C109" s="192"/>
      <c r="D109" s="192"/>
      <c r="E109" s="192"/>
      <c r="F109" s="9">
        <v>9544</v>
      </c>
      <c r="G109" s="32">
        <v>0.5</v>
      </c>
      <c r="H109" s="12"/>
      <c r="I109" s="10">
        <f>J58</f>
        <v>0</v>
      </c>
      <c r="J109" s="9" t="e">
        <f t="shared" si="1"/>
        <v>#DIV/0!</v>
      </c>
      <c r="K109" s="9">
        <f t="shared" si="2"/>
        <v>74557.728000000003</v>
      </c>
      <c r="L109" s="7"/>
      <c r="M109" s="9" t="e">
        <f t="shared" si="3"/>
        <v>#DIV/0!</v>
      </c>
      <c r="N109" s="86"/>
    </row>
    <row r="110" spans="1:14" ht="15.75" hidden="1" thickBot="1" x14ac:dyDescent="0.3">
      <c r="A110" s="192"/>
      <c r="B110" s="192"/>
      <c r="C110" s="192"/>
      <c r="D110" s="192"/>
      <c r="E110" s="192"/>
      <c r="F110" s="9">
        <v>9544</v>
      </c>
      <c r="G110" s="30">
        <v>1</v>
      </c>
      <c r="H110" s="12"/>
      <c r="I110" s="10">
        <f>J58</f>
        <v>0</v>
      </c>
      <c r="J110" s="9" t="e">
        <f t="shared" si="1"/>
        <v>#DIV/0!</v>
      </c>
      <c r="K110" s="9">
        <f t="shared" si="2"/>
        <v>149115.45600000001</v>
      </c>
      <c r="L110" s="9"/>
      <c r="M110" s="9" t="e">
        <f t="shared" si="3"/>
        <v>#DIV/0!</v>
      </c>
      <c r="N110" s="86"/>
    </row>
    <row r="111" spans="1:14" ht="14.25" hidden="1" customHeight="1" x14ac:dyDescent="0.25">
      <c r="A111" s="192"/>
      <c r="B111" s="192"/>
      <c r="C111" s="192"/>
      <c r="D111" s="192"/>
      <c r="E111" s="192"/>
      <c r="F111" s="9">
        <v>9544</v>
      </c>
      <c r="G111" s="30">
        <v>1</v>
      </c>
      <c r="H111" s="12"/>
      <c r="I111" s="10">
        <f>J58</f>
        <v>0</v>
      </c>
      <c r="J111" s="9" t="e">
        <f t="shared" si="1"/>
        <v>#DIV/0!</v>
      </c>
      <c r="K111" s="9">
        <f t="shared" si="2"/>
        <v>149115.45600000001</v>
      </c>
      <c r="L111" s="13"/>
      <c r="M111" s="9" t="e">
        <f t="shared" si="3"/>
        <v>#DIV/0!</v>
      </c>
      <c r="N111" s="86"/>
    </row>
    <row r="112" spans="1:14" ht="15.75" hidden="1" thickBot="1" x14ac:dyDescent="0.3">
      <c r="A112" s="200"/>
      <c r="B112" s="201"/>
      <c r="C112" s="201"/>
      <c r="D112" s="201"/>
      <c r="E112" s="202"/>
      <c r="F112" s="9">
        <v>9544</v>
      </c>
      <c r="G112" s="9"/>
      <c r="H112" s="12"/>
      <c r="I112" s="10">
        <f>J58</f>
        <v>0</v>
      </c>
      <c r="J112" s="9" t="e">
        <f t="shared" si="1"/>
        <v>#DIV/0!</v>
      </c>
      <c r="K112" s="9">
        <f t="shared" si="2"/>
        <v>0</v>
      </c>
      <c r="L112" s="13"/>
      <c r="M112" s="9" t="e">
        <f t="shared" si="3"/>
        <v>#DIV/0!</v>
      </c>
      <c r="N112" s="86"/>
    </row>
    <row r="113" spans="1:14" ht="15.75" hidden="1" thickBot="1" x14ac:dyDescent="0.3">
      <c r="A113" s="200"/>
      <c r="B113" s="201"/>
      <c r="C113" s="201"/>
      <c r="D113" s="201"/>
      <c r="E113" s="202"/>
      <c r="F113" s="9">
        <v>9544</v>
      </c>
      <c r="G113" s="33">
        <v>0.25</v>
      </c>
      <c r="H113" s="12"/>
      <c r="I113" s="10">
        <f>J58</f>
        <v>0</v>
      </c>
      <c r="J113" s="9" t="e">
        <f t="shared" si="1"/>
        <v>#DIV/0!</v>
      </c>
      <c r="K113" s="9">
        <f t="shared" si="2"/>
        <v>37278.864000000001</v>
      </c>
      <c r="L113" s="13"/>
      <c r="M113" s="9" t="e">
        <f t="shared" si="3"/>
        <v>#DIV/0!</v>
      </c>
      <c r="N113" s="86"/>
    </row>
    <row r="114" spans="1:14" ht="15.75" hidden="1" thickBot="1" x14ac:dyDescent="0.3">
      <c r="A114" s="200"/>
      <c r="B114" s="201"/>
      <c r="C114" s="201"/>
      <c r="D114" s="201"/>
      <c r="E114" s="202"/>
      <c r="F114" s="9">
        <v>9544</v>
      </c>
      <c r="G114" s="9"/>
      <c r="H114" s="12"/>
      <c r="I114" s="10">
        <f>J58</f>
        <v>0</v>
      </c>
      <c r="J114" s="9" t="e">
        <f t="shared" si="1"/>
        <v>#DIV/0!</v>
      </c>
      <c r="K114" s="9">
        <f t="shared" si="2"/>
        <v>0</v>
      </c>
      <c r="L114" s="13"/>
      <c r="M114" s="9" t="e">
        <f t="shared" si="3"/>
        <v>#DIV/0!</v>
      </c>
      <c r="N114" s="86"/>
    </row>
    <row r="115" spans="1:14" ht="15.75" hidden="1" thickBot="1" x14ac:dyDescent="0.3">
      <c r="A115" s="200"/>
      <c r="B115" s="201"/>
      <c r="C115" s="201"/>
      <c r="D115" s="201"/>
      <c r="E115" s="202"/>
      <c r="F115" s="9">
        <v>9544</v>
      </c>
      <c r="G115" s="32">
        <v>0.5</v>
      </c>
      <c r="H115" s="12"/>
      <c r="I115" s="10">
        <f>J58</f>
        <v>0</v>
      </c>
      <c r="J115" s="9" t="e">
        <f t="shared" si="1"/>
        <v>#DIV/0!</v>
      </c>
      <c r="K115" s="9">
        <f t="shared" si="2"/>
        <v>74557.728000000003</v>
      </c>
      <c r="L115" s="13"/>
      <c r="M115" s="9" t="e">
        <f t="shared" si="3"/>
        <v>#DIV/0!</v>
      </c>
      <c r="N115" s="86"/>
    </row>
    <row r="116" spans="1:14" ht="15.75" hidden="1" customHeight="1" x14ac:dyDescent="0.25">
      <c r="A116" s="200"/>
      <c r="B116" s="201"/>
      <c r="C116" s="201"/>
      <c r="D116" s="201"/>
      <c r="E116" s="202"/>
      <c r="F116" s="9">
        <v>9544</v>
      </c>
      <c r="G116" s="30">
        <v>1</v>
      </c>
      <c r="H116" s="12"/>
      <c r="I116" s="10">
        <f>J58</f>
        <v>0</v>
      </c>
      <c r="J116" s="9" t="e">
        <f t="shared" si="1"/>
        <v>#DIV/0!</v>
      </c>
      <c r="K116" s="9">
        <f t="shared" si="2"/>
        <v>149115.45600000001</v>
      </c>
      <c r="L116" s="13"/>
      <c r="M116" s="9" t="e">
        <f t="shared" si="3"/>
        <v>#DIV/0!</v>
      </c>
      <c r="N116" s="86"/>
    </row>
    <row r="117" spans="1:14" ht="15" hidden="1" customHeight="1" x14ac:dyDescent="0.25">
      <c r="A117" s="192"/>
      <c r="B117" s="192"/>
      <c r="C117" s="192"/>
      <c r="D117" s="192"/>
      <c r="E117" s="192"/>
      <c r="F117" s="9">
        <v>9544</v>
      </c>
      <c r="G117" s="30">
        <v>1</v>
      </c>
      <c r="H117" s="12"/>
      <c r="I117" s="10">
        <f>J58</f>
        <v>0</v>
      </c>
      <c r="J117" s="9" t="e">
        <f t="shared" si="1"/>
        <v>#DIV/0!</v>
      </c>
      <c r="K117" s="9">
        <f t="shared" si="2"/>
        <v>149115.45600000001</v>
      </c>
      <c r="L117" s="13"/>
      <c r="M117" s="9" t="e">
        <f t="shared" si="3"/>
        <v>#DIV/0!</v>
      </c>
      <c r="N117" s="86"/>
    </row>
    <row r="118" spans="1:14" ht="15" hidden="1" customHeight="1" x14ac:dyDescent="0.25">
      <c r="A118" s="192"/>
      <c r="B118" s="192"/>
      <c r="C118" s="192"/>
      <c r="D118" s="192"/>
      <c r="E118" s="192"/>
      <c r="F118" s="9">
        <v>9544</v>
      </c>
      <c r="G118" s="32">
        <v>5.5</v>
      </c>
      <c r="H118" s="12"/>
      <c r="I118" s="10">
        <f>J58</f>
        <v>0</v>
      </c>
      <c r="J118" s="9" t="e">
        <f t="shared" si="1"/>
        <v>#DIV/0!</v>
      </c>
      <c r="K118" s="9">
        <f t="shared" si="2"/>
        <v>820135.00800000003</v>
      </c>
      <c r="L118" s="13"/>
      <c r="M118" s="9" t="e">
        <f t="shared" si="3"/>
        <v>#DIV/0!</v>
      </c>
      <c r="N118" s="86"/>
    </row>
    <row r="119" spans="1:14" ht="15" hidden="1" customHeight="1" x14ac:dyDescent="0.25">
      <c r="A119" s="192"/>
      <c r="B119" s="192"/>
      <c r="C119" s="192"/>
      <c r="D119" s="192"/>
      <c r="E119" s="192"/>
      <c r="F119" s="9">
        <v>9544</v>
      </c>
      <c r="G119" s="30">
        <v>1</v>
      </c>
      <c r="H119" s="12"/>
      <c r="I119" s="10">
        <f>J58</f>
        <v>0</v>
      </c>
      <c r="J119" s="9" t="e">
        <f t="shared" si="1"/>
        <v>#DIV/0!</v>
      </c>
      <c r="K119" s="9">
        <f t="shared" si="2"/>
        <v>149115.45600000001</v>
      </c>
      <c r="L119" s="13"/>
      <c r="M119" s="9" t="e">
        <f t="shared" si="3"/>
        <v>#DIV/0!</v>
      </c>
      <c r="N119" s="86"/>
    </row>
    <row r="120" spans="1:14" ht="15" hidden="1" customHeight="1" x14ac:dyDescent="0.25">
      <c r="A120" s="192"/>
      <c r="B120" s="192"/>
      <c r="C120" s="192"/>
      <c r="D120" s="192"/>
      <c r="E120" s="192"/>
      <c r="F120" s="9">
        <v>9544</v>
      </c>
      <c r="G120" s="32">
        <v>0.5</v>
      </c>
      <c r="H120" s="12"/>
      <c r="I120" s="10">
        <f>J58</f>
        <v>0</v>
      </c>
      <c r="J120" s="9" t="e">
        <f t="shared" si="1"/>
        <v>#DIV/0!</v>
      </c>
      <c r="K120" s="9">
        <f t="shared" si="2"/>
        <v>74557.728000000003</v>
      </c>
      <c r="L120" s="13"/>
      <c r="M120" s="9" t="e">
        <f t="shared" si="3"/>
        <v>#DIV/0!</v>
      </c>
      <c r="N120" s="86"/>
    </row>
    <row r="121" spans="1:14" ht="15" hidden="1" customHeight="1" x14ac:dyDescent="0.25">
      <c r="A121" s="192"/>
      <c r="B121" s="192"/>
      <c r="C121" s="192"/>
      <c r="D121" s="192"/>
      <c r="E121" s="192"/>
      <c r="F121" s="9">
        <v>9544</v>
      </c>
      <c r="G121" s="32">
        <v>0.5</v>
      </c>
      <c r="H121" s="12"/>
      <c r="I121" s="10">
        <f>J58</f>
        <v>0</v>
      </c>
      <c r="J121" s="9" t="e">
        <f t="shared" si="1"/>
        <v>#DIV/0!</v>
      </c>
      <c r="K121" s="9">
        <f t="shared" si="2"/>
        <v>74557.728000000003</v>
      </c>
      <c r="L121" s="13"/>
      <c r="M121" s="9" t="e">
        <f t="shared" si="3"/>
        <v>#DIV/0!</v>
      </c>
      <c r="N121" s="86"/>
    </row>
    <row r="122" spans="1:14" ht="15.75" hidden="1" thickBot="1" x14ac:dyDescent="0.3">
      <c r="A122" s="192"/>
      <c r="B122" s="192"/>
      <c r="C122" s="192"/>
      <c r="D122" s="192"/>
      <c r="E122" s="192"/>
      <c r="F122" s="9">
        <v>9544</v>
      </c>
      <c r="G122" s="30">
        <v>1</v>
      </c>
      <c r="H122" s="12"/>
      <c r="I122" s="10">
        <f>J58</f>
        <v>0</v>
      </c>
      <c r="J122" s="9" t="e">
        <f t="shared" si="1"/>
        <v>#DIV/0!</v>
      </c>
      <c r="K122" s="9">
        <f t="shared" si="2"/>
        <v>149115.45600000001</v>
      </c>
      <c r="L122" s="13"/>
      <c r="M122" s="9" t="e">
        <f t="shared" si="3"/>
        <v>#DIV/0!</v>
      </c>
      <c r="N122" s="86"/>
    </row>
    <row r="123" spans="1:14" ht="15.75" hidden="1" customHeight="1" x14ac:dyDescent="0.25">
      <c r="A123" s="192"/>
      <c r="B123" s="192"/>
      <c r="C123" s="192"/>
      <c r="D123" s="192"/>
      <c r="E123" s="192"/>
      <c r="F123" s="9">
        <v>9544</v>
      </c>
      <c r="G123" s="30">
        <v>4</v>
      </c>
      <c r="H123" s="12"/>
      <c r="I123" s="10">
        <f>J58</f>
        <v>0</v>
      </c>
      <c r="J123" s="9" t="e">
        <f t="shared" si="1"/>
        <v>#DIV/0!</v>
      </c>
      <c r="K123" s="9">
        <f t="shared" si="2"/>
        <v>596461.82400000002</v>
      </c>
      <c r="L123" s="13"/>
      <c r="M123" s="9" t="e">
        <f t="shared" si="3"/>
        <v>#DIV/0!</v>
      </c>
      <c r="N123" s="86"/>
    </row>
    <row r="124" spans="1:14" ht="16.5" hidden="1" customHeight="1" x14ac:dyDescent="0.25">
      <c r="A124" s="200"/>
      <c r="B124" s="201"/>
      <c r="C124" s="201"/>
      <c r="D124" s="201"/>
      <c r="E124" s="202"/>
      <c r="F124" s="9">
        <v>9544</v>
      </c>
      <c r="G124" s="30">
        <v>1</v>
      </c>
      <c r="H124" s="12"/>
      <c r="I124" s="10">
        <f>J58</f>
        <v>0</v>
      </c>
      <c r="J124" s="9" t="e">
        <f t="shared" si="1"/>
        <v>#DIV/0!</v>
      </c>
      <c r="K124" s="9">
        <f t="shared" si="2"/>
        <v>149115.45600000001</v>
      </c>
      <c r="L124" s="13"/>
      <c r="M124" s="9" t="e">
        <f t="shared" si="3"/>
        <v>#DIV/0!</v>
      </c>
      <c r="N124" s="86"/>
    </row>
    <row r="125" spans="1:14" ht="16.5" hidden="1" customHeight="1" x14ac:dyDescent="0.25">
      <c r="A125" s="200"/>
      <c r="B125" s="201"/>
      <c r="C125" s="201"/>
      <c r="D125" s="201"/>
      <c r="E125" s="202"/>
      <c r="F125" s="9">
        <v>9544</v>
      </c>
      <c r="G125" s="33">
        <v>1.75</v>
      </c>
      <c r="H125" s="12"/>
      <c r="I125" s="10">
        <f>J58</f>
        <v>0</v>
      </c>
      <c r="J125" s="9" t="e">
        <f t="shared" si="1"/>
        <v>#DIV/0!</v>
      </c>
      <c r="K125" s="9">
        <f t="shared" si="2"/>
        <v>260952.04800000001</v>
      </c>
      <c r="L125" s="13"/>
      <c r="M125" s="9" t="e">
        <f t="shared" si="3"/>
        <v>#DIV/0!</v>
      </c>
      <c r="N125" s="86"/>
    </row>
    <row r="126" spans="1:14" ht="16.5" hidden="1" customHeight="1" x14ac:dyDescent="0.25">
      <c r="A126" s="200"/>
      <c r="B126" s="201"/>
      <c r="C126" s="201"/>
      <c r="D126" s="201"/>
      <c r="E126" s="202"/>
      <c r="F126" s="9">
        <v>9544</v>
      </c>
      <c r="G126" s="10"/>
      <c r="H126" s="12"/>
      <c r="I126" s="10">
        <f>J58</f>
        <v>0</v>
      </c>
      <c r="J126" s="9" t="e">
        <f t="shared" si="1"/>
        <v>#DIV/0!</v>
      </c>
      <c r="K126" s="9">
        <f t="shared" si="2"/>
        <v>0</v>
      </c>
      <c r="L126" s="13"/>
      <c r="M126" s="9" t="e">
        <f t="shared" si="3"/>
        <v>#DIV/0!</v>
      </c>
      <c r="N126" s="86"/>
    </row>
    <row r="127" spans="1:14" ht="16.5" hidden="1" customHeight="1" x14ac:dyDescent="0.25">
      <c r="A127" s="200"/>
      <c r="B127" s="201"/>
      <c r="C127" s="201"/>
      <c r="D127" s="201"/>
      <c r="E127" s="202"/>
      <c r="F127" s="9">
        <v>9544</v>
      </c>
      <c r="G127" s="32">
        <v>0.5</v>
      </c>
      <c r="H127" s="12"/>
      <c r="I127" s="10">
        <f>J58</f>
        <v>0</v>
      </c>
      <c r="J127" s="9" t="e">
        <f t="shared" si="1"/>
        <v>#DIV/0!</v>
      </c>
      <c r="K127" s="9">
        <f t="shared" si="2"/>
        <v>74557.728000000003</v>
      </c>
      <c r="L127" s="13"/>
      <c r="M127" s="9" t="e">
        <f t="shared" si="3"/>
        <v>#DIV/0!</v>
      </c>
      <c r="N127" s="86"/>
    </row>
    <row r="128" spans="1:14" ht="15" hidden="1" customHeight="1" x14ac:dyDescent="0.25">
      <c r="A128" s="200"/>
      <c r="B128" s="201"/>
      <c r="C128" s="201"/>
      <c r="D128" s="201"/>
      <c r="E128" s="202"/>
      <c r="F128" s="9"/>
      <c r="G128" s="9"/>
      <c r="H128" s="9"/>
      <c r="I128" s="9"/>
      <c r="J128" s="9"/>
      <c r="K128" s="9"/>
      <c r="L128" s="13"/>
      <c r="M128" s="9">
        <f t="shared" si="3"/>
        <v>0</v>
      </c>
      <c r="N128" s="86"/>
    </row>
    <row r="129" spans="1:14" ht="15.75" hidden="1" customHeight="1" x14ac:dyDescent="0.25">
      <c r="A129" s="200"/>
      <c r="B129" s="201"/>
      <c r="C129" s="201"/>
      <c r="D129" s="201"/>
      <c r="E129" s="202"/>
      <c r="F129" s="9"/>
      <c r="G129" s="9"/>
      <c r="H129" s="9"/>
      <c r="I129" s="9"/>
      <c r="J129" s="9"/>
      <c r="K129" s="9"/>
      <c r="L129" s="13"/>
      <c r="M129" s="9">
        <f t="shared" si="3"/>
        <v>0</v>
      </c>
      <c r="N129" s="86"/>
    </row>
    <row r="130" spans="1:14" ht="14.25" hidden="1" customHeight="1" x14ac:dyDescent="0.25">
      <c r="A130" s="200"/>
      <c r="B130" s="201"/>
      <c r="C130" s="201"/>
      <c r="D130" s="201"/>
      <c r="E130" s="202"/>
      <c r="F130" s="9"/>
      <c r="G130" s="9"/>
      <c r="H130" s="9"/>
      <c r="I130" s="9"/>
      <c r="J130" s="12">
        <v>105</v>
      </c>
      <c r="K130" s="14">
        <f>I130/J130</f>
        <v>0</v>
      </c>
      <c r="L130" s="13"/>
      <c r="M130" s="14">
        <f t="shared" si="3"/>
        <v>0</v>
      </c>
      <c r="N130" s="86"/>
    </row>
    <row r="131" spans="1:14" ht="15.75" thickBot="1" x14ac:dyDescent="0.3">
      <c r="A131" s="209" t="s">
        <v>81</v>
      </c>
      <c r="B131" s="209"/>
      <c r="C131" s="209"/>
      <c r="D131" s="209"/>
      <c r="E131" s="209"/>
      <c r="F131" s="34"/>
      <c r="G131" s="73"/>
      <c r="H131" s="73"/>
      <c r="I131" s="42">
        <f>I105</f>
        <v>2037216.56</v>
      </c>
      <c r="J131" s="15"/>
      <c r="K131" s="35">
        <f>K105</f>
        <v>3395.3609333333334</v>
      </c>
      <c r="L131" s="13"/>
      <c r="M131" s="97"/>
      <c r="N131" s="13"/>
    </row>
    <row r="132" spans="1:14" ht="24.75" customHeight="1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</row>
    <row r="133" spans="1:14" hidden="1" x14ac:dyDescent="0.25">
      <c r="A133" s="218" t="s">
        <v>38</v>
      </c>
      <c r="B133" s="218"/>
      <c r="C133" s="218"/>
      <c r="D133" s="218"/>
      <c r="E133" s="218"/>
      <c r="F133" s="218"/>
      <c r="G133" s="218"/>
      <c r="H133" s="218"/>
      <c r="I133" s="218"/>
      <c r="J133" s="218"/>
      <c r="K133" s="218"/>
      <c r="L133" s="218"/>
      <c r="M133" s="218"/>
      <c r="N133" s="13"/>
    </row>
    <row r="134" spans="1:14" hidden="1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</row>
    <row r="135" spans="1:14" ht="45" hidden="1" x14ac:dyDescent="0.25">
      <c r="A135" s="206" t="s">
        <v>39</v>
      </c>
      <c r="B135" s="206"/>
      <c r="C135" s="206"/>
      <c r="D135" s="206"/>
      <c r="E135" s="206"/>
      <c r="F135" s="6" t="s">
        <v>7</v>
      </c>
      <c r="G135" s="6" t="s">
        <v>18</v>
      </c>
      <c r="H135" s="6" t="s">
        <v>19</v>
      </c>
      <c r="I135" s="6" t="s">
        <v>20</v>
      </c>
      <c r="J135" s="6"/>
      <c r="K135" s="6" t="s">
        <v>21</v>
      </c>
      <c r="L135" s="6" t="s">
        <v>22</v>
      </c>
      <c r="M135" s="6" t="s">
        <v>82</v>
      </c>
      <c r="N135" s="13"/>
    </row>
    <row r="136" spans="1:14" hidden="1" x14ac:dyDescent="0.25">
      <c r="A136" s="196" t="s">
        <v>40</v>
      </c>
      <c r="B136" s="196"/>
      <c r="C136" s="196"/>
      <c r="D136" s="196"/>
      <c r="E136" s="196"/>
      <c r="F136" s="18" t="s">
        <v>43</v>
      </c>
      <c r="G136" s="18">
        <v>0</v>
      </c>
      <c r="H136" s="111">
        <f>M63</f>
        <v>0</v>
      </c>
      <c r="I136" s="101">
        <f>J58</f>
        <v>0</v>
      </c>
      <c r="J136" s="101"/>
      <c r="K136" s="18"/>
      <c r="L136" s="18"/>
      <c r="M136" s="18"/>
      <c r="N136" s="13"/>
    </row>
    <row r="137" spans="1:14" hidden="1" x14ac:dyDescent="0.25">
      <c r="A137" s="196" t="s">
        <v>41</v>
      </c>
      <c r="B137" s="196"/>
      <c r="C137" s="196"/>
      <c r="D137" s="196"/>
      <c r="E137" s="196"/>
      <c r="F137" s="18" t="s">
        <v>44</v>
      </c>
      <c r="G137" s="18">
        <v>0</v>
      </c>
      <c r="H137" s="111">
        <f>M63</f>
        <v>0</v>
      </c>
      <c r="I137" s="101">
        <f>J58</f>
        <v>0</v>
      </c>
      <c r="J137" s="101"/>
      <c r="K137" s="18"/>
      <c r="L137" s="18"/>
      <c r="M137" s="18"/>
      <c r="N137" s="13"/>
    </row>
    <row r="138" spans="1:14" hidden="1" x14ac:dyDescent="0.25">
      <c r="A138" s="196" t="s">
        <v>42</v>
      </c>
      <c r="B138" s="196"/>
      <c r="C138" s="196"/>
      <c r="D138" s="196"/>
      <c r="E138" s="196"/>
      <c r="F138" s="18" t="s">
        <v>44</v>
      </c>
      <c r="G138" s="18">
        <v>0</v>
      </c>
      <c r="H138" s="111">
        <f>M63</f>
        <v>0</v>
      </c>
      <c r="I138" s="101">
        <f>J58</f>
        <v>0</v>
      </c>
      <c r="J138" s="101"/>
      <c r="K138" s="18"/>
      <c r="L138" s="18"/>
      <c r="M138" s="18"/>
      <c r="N138" s="13"/>
    </row>
    <row r="139" spans="1:14" hidden="1" x14ac:dyDescent="0.25">
      <c r="A139" s="236" t="s">
        <v>45</v>
      </c>
      <c r="B139" s="237"/>
      <c r="C139" s="237"/>
      <c r="D139" s="237"/>
      <c r="E139" s="237"/>
      <c r="F139" s="237"/>
      <c r="G139" s="237"/>
      <c r="H139" s="237"/>
      <c r="I139" s="237"/>
      <c r="J139" s="237"/>
      <c r="K139" s="237"/>
      <c r="L139" s="238"/>
      <c r="M139" s="114">
        <f>M136+M137+M138</f>
        <v>0</v>
      </c>
      <c r="N139" s="13"/>
    </row>
    <row r="140" spans="1:14" hidden="1" x14ac:dyDescent="0.25">
      <c r="A140" s="8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13"/>
    </row>
    <row r="141" spans="1:14" hidden="1" x14ac:dyDescent="0.25">
      <c r="A141" s="263" t="s">
        <v>93</v>
      </c>
      <c r="B141" s="264"/>
      <c r="C141" s="264"/>
      <c r="D141" s="264"/>
      <c r="E141" s="264"/>
      <c r="F141" s="264"/>
      <c r="G141" s="264"/>
      <c r="H141" s="264"/>
      <c r="I141" s="264"/>
      <c r="J141" s="264"/>
      <c r="K141" s="264"/>
      <c r="L141" s="264"/>
      <c r="M141" s="13"/>
      <c r="N141" s="13"/>
    </row>
    <row r="142" spans="1:14" hidden="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</row>
    <row r="143" spans="1:14" ht="75" hidden="1" x14ac:dyDescent="0.25">
      <c r="A143" s="197" t="s">
        <v>66</v>
      </c>
      <c r="B143" s="198"/>
      <c r="C143" s="198"/>
      <c r="D143" s="198"/>
      <c r="E143" s="199"/>
      <c r="F143" s="6" t="s">
        <v>7</v>
      </c>
      <c r="G143" s="6" t="s">
        <v>18</v>
      </c>
      <c r="H143" s="26" t="s">
        <v>22</v>
      </c>
      <c r="I143" s="6" t="s">
        <v>82</v>
      </c>
      <c r="J143" s="26" t="s">
        <v>78</v>
      </c>
      <c r="K143" s="26" t="s">
        <v>73</v>
      </c>
      <c r="L143" s="13"/>
      <c r="M143" s="13"/>
      <c r="N143" s="13"/>
    </row>
    <row r="144" spans="1:14" hidden="1" x14ac:dyDescent="0.25">
      <c r="A144" s="241">
        <v>1</v>
      </c>
      <c r="B144" s="242"/>
      <c r="C144" s="242"/>
      <c r="D144" s="242"/>
      <c r="E144" s="243"/>
      <c r="F144" s="26">
        <v>2</v>
      </c>
      <c r="G144" s="26">
        <v>3</v>
      </c>
      <c r="H144" s="26">
        <v>4</v>
      </c>
      <c r="I144" s="26">
        <v>5</v>
      </c>
      <c r="J144" s="99">
        <v>6</v>
      </c>
      <c r="K144" s="111">
        <v>7</v>
      </c>
      <c r="L144" s="13"/>
      <c r="M144" s="13"/>
      <c r="N144" s="13"/>
    </row>
    <row r="145" spans="1:14" ht="15.75" hidden="1" thickBot="1" x14ac:dyDescent="0.3">
      <c r="A145" s="249" t="s">
        <v>95</v>
      </c>
      <c r="B145" s="250"/>
      <c r="C145" s="250"/>
      <c r="D145" s="250"/>
      <c r="E145" s="251"/>
      <c r="F145" s="9"/>
      <c r="G145" s="12"/>
      <c r="H145" s="9"/>
      <c r="I145" s="9"/>
      <c r="J145" s="12">
        <v>30</v>
      </c>
      <c r="K145" s="36">
        <f>I145/J145</f>
        <v>0</v>
      </c>
      <c r="L145" s="13"/>
      <c r="M145" s="13"/>
      <c r="N145" s="13"/>
    </row>
    <row r="146" spans="1:14" ht="15.75" hidden="1" thickBot="1" x14ac:dyDescent="0.3">
      <c r="A146" s="34" t="s">
        <v>94</v>
      </c>
      <c r="B146" s="115"/>
      <c r="C146" s="115"/>
      <c r="D146" s="115"/>
      <c r="E146" s="115"/>
      <c r="F146" s="115"/>
      <c r="G146" s="115"/>
      <c r="H146" s="115"/>
      <c r="I146" s="116">
        <f>I145</f>
        <v>0</v>
      </c>
      <c r="J146" s="117"/>
      <c r="K146" s="118">
        <f>K145</f>
        <v>0</v>
      </c>
      <c r="L146" s="13"/>
      <c r="M146" s="13"/>
      <c r="N146" s="13"/>
    </row>
    <row r="147" spans="1:14" hidden="1" x14ac:dyDescent="0.25">
      <c r="A147" s="262" t="s">
        <v>65</v>
      </c>
      <c r="B147" s="262"/>
      <c r="C147" s="262"/>
      <c r="D147" s="262"/>
      <c r="E147" s="262"/>
      <c r="F147" s="262"/>
      <c r="G147" s="262"/>
      <c r="H147" s="262"/>
      <c r="I147" s="262"/>
      <c r="J147" s="262"/>
      <c r="K147" s="262"/>
      <c r="L147" s="262"/>
      <c r="M147" s="262"/>
      <c r="N147" s="13"/>
    </row>
    <row r="148" spans="1:14" hidden="1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</row>
    <row r="149" spans="1:14" hidden="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</row>
    <row r="150" spans="1:14" hidden="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</row>
    <row r="151" spans="1:14" hidden="1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</row>
    <row r="152" spans="1:14" ht="60" hidden="1" x14ac:dyDescent="0.25">
      <c r="A152" s="197" t="s">
        <v>66</v>
      </c>
      <c r="B152" s="198"/>
      <c r="C152" s="198"/>
      <c r="D152" s="198"/>
      <c r="E152" s="199"/>
      <c r="F152" s="6" t="s">
        <v>7</v>
      </c>
      <c r="G152" s="6" t="s">
        <v>18</v>
      </c>
      <c r="H152" s="26" t="s">
        <v>22</v>
      </c>
      <c r="I152" s="6" t="s">
        <v>82</v>
      </c>
      <c r="J152" s="6" t="s">
        <v>102</v>
      </c>
      <c r="K152" s="6" t="s">
        <v>103</v>
      </c>
      <c r="L152" s="13"/>
      <c r="M152" s="13"/>
      <c r="N152" s="13"/>
    </row>
    <row r="153" spans="1:14" hidden="1" x14ac:dyDescent="0.25">
      <c r="A153" s="241">
        <v>1</v>
      </c>
      <c r="B153" s="242"/>
      <c r="C153" s="242"/>
      <c r="D153" s="242"/>
      <c r="E153" s="243"/>
      <c r="F153" s="26">
        <v>2</v>
      </c>
      <c r="G153" s="26">
        <v>3</v>
      </c>
      <c r="H153" s="26">
        <v>4</v>
      </c>
      <c r="I153" s="26">
        <v>5</v>
      </c>
      <c r="J153" s="99">
        <v>6</v>
      </c>
      <c r="K153" s="111">
        <v>7</v>
      </c>
      <c r="L153" s="13"/>
      <c r="M153" s="119"/>
      <c r="N153" s="13"/>
    </row>
    <row r="154" spans="1:14" hidden="1" x14ac:dyDescent="0.25">
      <c r="A154" s="249" t="s">
        <v>68</v>
      </c>
      <c r="B154" s="250"/>
      <c r="C154" s="250"/>
      <c r="D154" s="250"/>
      <c r="E154" s="251"/>
      <c r="F154" s="9" t="s">
        <v>31</v>
      </c>
      <c r="G154" s="12">
        <v>0</v>
      </c>
      <c r="H154" s="9"/>
      <c r="I154" s="9">
        <f>J58</f>
        <v>0</v>
      </c>
      <c r="J154" s="97"/>
      <c r="K154" s="13"/>
      <c r="L154" s="13"/>
      <c r="M154" s="113">
        <f>J154*H154</f>
        <v>0</v>
      </c>
      <c r="N154" s="13"/>
    </row>
    <row r="155" spans="1:14" hidden="1" x14ac:dyDescent="0.25">
      <c r="A155" s="249" t="s">
        <v>69</v>
      </c>
      <c r="B155" s="250"/>
      <c r="C155" s="250"/>
      <c r="D155" s="250"/>
      <c r="E155" s="251"/>
      <c r="F155" s="9" t="s">
        <v>31</v>
      </c>
      <c r="G155" s="12">
        <v>0</v>
      </c>
      <c r="H155" s="9"/>
      <c r="I155" s="9">
        <f>J58</f>
        <v>0</v>
      </c>
      <c r="J155" s="97"/>
      <c r="K155" s="13"/>
      <c r="L155" s="13"/>
      <c r="M155" s="9"/>
      <c r="N155" s="13"/>
    </row>
    <row r="156" spans="1:14" ht="15.75" hidden="1" thickBot="1" x14ac:dyDescent="0.3">
      <c r="A156" s="249" t="s">
        <v>70</v>
      </c>
      <c r="B156" s="250"/>
      <c r="C156" s="250"/>
      <c r="D156" s="250"/>
      <c r="E156" s="251"/>
      <c r="F156" s="9" t="s">
        <v>91</v>
      </c>
      <c r="G156" s="10"/>
      <c r="H156" s="9"/>
      <c r="I156" s="54"/>
      <c r="J156" s="12">
        <v>3260</v>
      </c>
      <c r="K156" s="120">
        <f>I156/J156</f>
        <v>0</v>
      </c>
      <c r="L156" s="13"/>
      <c r="M156" s="13"/>
      <c r="N156" s="13"/>
    </row>
    <row r="157" spans="1:14" ht="15.75" hidden="1" thickBot="1" x14ac:dyDescent="0.3">
      <c r="A157" s="34" t="s">
        <v>67</v>
      </c>
      <c r="B157" s="115"/>
      <c r="C157" s="115"/>
      <c r="D157" s="115"/>
      <c r="E157" s="115"/>
      <c r="F157" s="115"/>
      <c r="G157" s="115"/>
      <c r="H157" s="115"/>
      <c r="I157" s="116">
        <f>I156</f>
        <v>0</v>
      </c>
      <c r="J157" s="15"/>
      <c r="K157" s="20">
        <f>K156</f>
        <v>0</v>
      </c>
      <c r="L157" s="13"/>
      <c r="M157" s="13"/>
      <c r="N157" s="13"/>
    </row>
    <row r="158" spans="1:14" x14ac:dyDescent="0.25">
      <c r="A158" s="121"/>
      <c r="B158" s="121"/>
      <c r="C158" s="121"/>
      <c r="D158" s="121"/>
      <c r="E158" s="121"/>
      <c r="F158" s="121"/>
      <c r="G158" s="121"/>
      <c r="H158" s="121"/>
      <c r="I158" s="108"/>
      <c r="J158" s="122"/>
      <c r="K158" s="109"/>
      <c r="L158" s="13"/>
      <c r="M158" s="13"/>
      <c r="N158" s="13"/>
    </row>
    <row r="159" spans="1:14" x14ac:dyDescent="0.25">
      <c r="A159" s="239" t="s">
        <v>99</v>
      </c>
      <c r="B159" s="239"/>
      <c r="C159" s="239"/>
      <c r="D159" s="239"/>
      <c r="E159" s="239"/>
      <c r="F159" s="239"/>
      <c r="G159" s="239"/>
      <c r="H159" s="239"/>
      <c r="I159" s="239"/>
      <c r="J159" s="239"/>
      <c r="K159" s="239"/>
      <c r="L159" s="239"/>
      <c r="M159" s="13"/>
      <c r="N159" s="13"/>
    </row>
    <row r="160" spans="1:14" ht="60" x14ac:dyDescent="0.25">
      <c r="A160" s="197" t="s">
        <v>100</v>
      </c>
      <c r="B160" s="198"/>
      <c r="C160" s="198"/>
      <c r="D160" s="198"/>
      <c r="E160" s="199"/>
      <c r="F160" s="44" t="s">
        <v>7</v>
      </c>
      <c r="G160" s="44" t="s">
        <v>90</v>
      </c>
      <c r="H160" s="44" t="s">
        <v>71</v>
      </c>
      <c r="I160" s="44" t="s">
        <v>82</v>
      </c>
      <c r="J160" s="6" t="s">
        <v>102</v>
      </c>
      <c r="K160" s="6" t="s">
        <v>131</v>
      </c>
      <c r="L160" s="123"/>
      <c r="M160" s="13"/>
      <c r="N160" s="13"/>
    </row>
    <row r="161" spans="1:14" x14ac:dyDescent="0.25">
      <c r="A161" s="192" t="s">
        <v>158</v>
      </c>
      <c r="B161" s="192"/>
      <c r="C161" s="192"/>
      <c r="D161" s="192"/>
      <c r="E161" s="192"/>
      <c r="F161" s="36"/>
      <c r="G161" s="29">
        <v>70</v>
      </c>
      <c r="H161" s="45">
        <v>150</v>
      </c>
      <c r="I161" s="9">
        <f>3943.2*N5-0.023</f>
        <v>2281.5125199999998</v>
      </c>
      <c r="J161" s="12">
        <v>600</v>
      </c>
      <c r="K161" s="28">
        <f>I161/J161</f>
        <v>3.8025208666666663</v>
      </c>
      <c r="L161" s="124"/>
      <c r="M161" s="13"/>
      <c r="N161" s="13"/>
    </row>
    <row r="162" spans="1:14" hidden="1" x14ac:dyDescent="0.25">
      <c r="A162" s="234"/>
      <c r="B162" s="235"/>
      <c r="C162" s="235"/>
      <c r="D162" s="235"/>
      <c r="E162" s="235"/>
      <c r="F162" s="235"/>
      <c r="G162" s="235"/>
      <c r="H162" s="235"/>
      <c r="I162" s="125"/>
      <c r="J162" s="125"/>
      <c r="K162" s="125"/>
      <c r="L162" s="124"/>
      <c r="M162" s="13"/>
      <c r="N162" s="13"/>
    </row>
    <row r="163" spans="1:14" hidden="1" x14ac:dyDescent="0.25">
      <c r="A163" s="203"/>
      <c r="B163" s="204"/>
      <c r="C163" s="204"/>
      <c r="D163" s="204"/>
      <c r="E163" s="205"/>
      <c r="F163" s="36"/>
      <c r="G163" s="36"/>
      <c r="H163" s="36"/>
      <c r="I163" s="7"/>
      <c r="J163" s="126"/>
      <c r="K163" s="28"/>
      <c r="L163" s="13"/>
      <c r="M163" s="13"/>
      <c r="N163" s="13"/>
    </row>
    <row r="164" spans="1:14" ht="15.75" thickBot="1" x14ac:dyDescent="0.3">
      <c r="A164" s="252" t="s">
        <v>94</v>
      </c>
      <c r="B164" s="252"/>
      <c r="C164" s="252"/>
      <c r="D164" s="252"/>
      <c r="E164" s="252"/>
      <c r="F164" s="253"/>
      <c r="G164" s="253"/>
      <c r="H164" s="254"/>
      <c r="I164" s="127">
        <f>I161+I163</f>
        <v>2281.5125199999998</v>
      </c>
      <c r="J164" s="128"/>
      <c r="K164" s="129">
        <f>K161+K163</f>
        <v>3.8025208666666663</v>
      </c>
      <c r="L164" s="13"/>
      <c r="M164" s="13"/>
      <c r="N164" s="13"/>
    </row>
    <row r="165" spans="1:14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</row>
    <row r="166" spans="1:14" x14ac:dyDescent="0.25">
      <c r="A166" s="255" t="s">
        <v>132</v>
      </c>
      <c r="B166" s="255"/>
      <c r="C166" s="255"/>
      <c r="D166" s="255"/>
      <c r="E166" s="255"/>
      <c r="F166" s="255"/>
      <c r="G166" s="255"/>
      <c r="H166" s="255"/>
      <c r="I166" s="255"/>
      <c r="J166" s="255"/>
      <c r="K166" s="255"/>
      <c r="L166" s="239"/>
      <c r="M166" s="13"/>
      <c r="N166" s="86"/>
    </row>
    <row r="167" spans="1:14" ht="60" x14ac:dyDescent="0.25">
      <c r="A167" s="206" t="s">
        <v>130</v>
      </c>
      <c r="B167" s="206"/>
      <c r="C167" s="206"/>
      <c r="D167" s="206"/>
      <c r="E167" s="206"/>
      <c r="F167" s="44" t="s">
        <v>7</v>
      </c>
      <c r="G167" s="44" t="s">
        <v>90</v>
      </c>
      <c r="H167" s="44" t="s">
        <v>71</v>
      </c>
      <c r="I167" s="44" t="s">
        <v>82</v>
      </c>
      <c r="J167" s="6" t="s">
        <v>102</v>
      </c>
      <c r="K167" s="6" t="s">
        <v>131</v>
      </c>
      <c r="L167" s="123"/>
      <c r="M167" s="13"/>
      <c r="N167" s="86"/>
    </row>
    <row r="168" spans="1:14" s="78" customFormat="1" ht="28.5" customHeight="1" thickBot="1" x14ac:dyDescent="0.3">
      <c r="A168" s="256" t="s">
        <v>134</v>
      </c>
      <c r="B168" s="257"/>
      <c r="C168" s="257"/>
      <c r="D168" s="257"/>
      <c r="E168" s="258"/>
      <c r="F168" s="36" t="s">
        <v>44</v>
      </c>
      <c r="G168" s="181"/>
      <c r="H168" s="181"/>
      <c r="I168" s="297">
        <v>20000</v>
      </c>
      <c r="J168" s="12">
        <v>600</v>
      </c>
      <c r="K168" s="130">
        <f>I168/J168</f>
        <v>33.333333333333336</v>
      </c>
      <c r="L168" s="123"/>
      <c r="M168" s="13"/>
      <c r="N168" s="86"/>
    </row>
    <row r="169" spans="1:14" ht="21" hidden="1" customHeight="1" thickBot="1" x14ac:dyDescent="0.3">
      <c r="A169" s="203" t="s">
        <v>135</v>
      </c>
      <c r="B169" s="259"/>
      <c r="C169" s="259"/>
      <c r="D169" s="259"/>
      <c r="E169" s="260"/>
      <c r="F169" s="36" t="s">
        <v>44</v>
      </c>
      <c r="G169" s="44"/>
      <c r="H169" s="44"/>
      <c r="I169" s="131"/>
      <c r="J169" s="12">
        <v>890</v>
      </c>
      <c r="K169" s="130">
        <f>I169/J169</f>
        <v>0</v>
      </c>
      <c r="L169" s="123"/>
      <c r="M169" s="13"/>
      <c r="N169" s="86"/>
    </row>
    <row r="170" spans="1:14" ht="20.25" hidden="1" customHeight="1" thickBot="1" x14ac:dyDescent="0.3">
      <c r="A170" s="191"/>
      <c r="B170" s="191"/>
      <c r="C170" s="191"/>
      <c r="D170" s="191"/>
      <c r="E170" s="191"/>
      <c r="F170" s="36" t="s">
        <v>44</v>
      </c>
      <c r="G170" s="29"/>
      <c r="H170" s="45"/>
      <c r="I170" s="132"/>
      <c r="J170" s="112">
        <v>3260</v>
      </c>
      <c r="K170" s="133">
        <f>I170/J170</f>
        <v>0</v>
      </c>
      <c r="L170" s="124"/>
      <c r="M170" s="13"/>
      <c r="N170" s="86"/>
    </row>
    <row r="171" spans="1:14" ht="15.75" thickBot="1" x14ac:dyDescent="0.3">
      <c r="A171" s="234"/>
      <c r="B171" s="235"/>
      <c r="C171" s="235"/>
      <c r="D171" s="235"/>
      <c r="E171" s="235"/>
      <c r="F171" s="235"/>
      <c r="G171" s="235"/>
      <c r="H171" s="235"/>
      <c r="I171" s="46">
        <f>I168+I169+I170</f>
        <v>20000</v>
      </c>
      <c r="J171" s="47"/>
      <c r="K171" s="134">
        <f>K168+K169+K170</f>
        <v>33.333333333333336</v>
      </c>
      <c r="L171" s="135"/>
      <c r="M171" s="13"/>
      <c r="N171" s="13"/>
    </row>
    <row r="172" spans="1:14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86"/>
    </row>
    <row r="173" spans="1:14" x14ac:dyDescent="0.25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</row>
    <row r="174" spans="1:14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</row>
    <row r="175" spans="1:14" x14ac:dyDescent="0.25">
      <c r="A175" s="218" t="s">
        <v>46</v>
      </c>
      <c r="B175" s="218"/>
      <c r="C175" s="218"/>
      <c r="D175" s="218"/>
      <c r="E175" s="218"/>
      <c r="F175" s="218"/>
      <c r="G175" s="218"/>
      <c r="H175" s="218"/>
      <c r="I175" s="218"/>
      <c r="J175" s="218"/>
      <c r="K175" s="218"/>
      <c r="L175" s="218"/>
      <c r="M175" s="218"/>
      <c r="N175" s="13"/>
    </row>
    <row r="176" spans="1:14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</row>
    <row r="177" spans="1:14" ht="47.25" customHeight="1" x14ac:dyDescent="0.25">
      <c r="A177" s="185" t="s">
        <v>47</v>
      </c>
      <c r="B177" s="185"/>
      <c r="C177" s="185"/>
      <c r="D177" s="206" t="s">
        <v>48</v>
      </c>
      <c r="E177" s="206"/>
      <c r="F177" s="206"/>
      <c r="G177" s="206"/>
      <c r="H177" s="206"/>
      <c r="I177" s="206"/>
      <c r="J177" s="206"/>
      <c r="K177" s="206"/>
      <c r="L177" s="185" t="s">
        <v>58</v>
      </c>
      <c r="M177" s="185"/>
      <c r="N177" s="13"/>
    </row>
    <row r="178" spans="1:14" ht="30" x14ac:dyDescent="0.25">
      <c r="A178" s="36" t="s">
        <v>49</v>
      </c>
      <c r="B178" s="6" t="s">
        <v>50</v>
      </c>
      <c r="C178" s="36" t="s">
        <v>51</v>
      </c>
      <c r="D178" s="36" t="s">
        <v>52</v>
      </c>
      <c r="E178" s="36" t="s">
        <v>53</v>
      </c>
      <c r="F178" s="36" t="s">
        <v>133</v>
      </c>
      <c r="G178" s="36" t="s">
        <v>54</v>
      </c>
      <c r="H178" s="36" t="s">
        <v>55</v>
      </c>
      <c r="I178" s="36" t="s">
        <v>56</v>
      </c>
      <c r="J178" s="36" t="s">
        <v>96</v>
      </c>
      <c r="K178" s="36" t="s">
        <v>57</v>
      </c>
      <c r="L178" s="185"/>
      <c r="M178" s="185"/>
      <c r="N178" s="13"/>
    </row>
    <row r="179" spans="1:14" x14ac:dyDescent="0.25">
      <c r="A179" s="9">
        <f>K58</f>
        <v>5192.9049333333332</v>
      </c>
      <c r="B179" s="9"/>
      <c r="C179" s="9"/>
      <c r="D179" s="9">
        <f>K72</f>
        <v>426.53432488333328</v>
      </c>
      <c r="E179" s="9">
        <f>K83</f>
        <v>83.737113533333329</v>
      </c>
      <c r="F179" s="9">
        <f>K171</f>
        <v>33.333333333333336</v>
      </c>
      <c r="G179" s="9">
        <f>L97</f>
        <v>58.711120600000001</v>
      </c>
      <c r="H179" s="9">
        <f>K157</f>
        <v>0</v>
      </c>
      <c r="I179" s="9">
        <f>K131</f>
        <v>3395.3609333333334</v>
      </c>
      <c r="J179" s="9">
        <f>K164</f>
        <v>3.8025208666666663</v>
      </c>
      <c r="K179" s="7">
        <f>J91</f>
        <v>63.646000000000001</v>
      </c>
      <c r="L179" s="247">
        <f>SUM(A179:K179)</f>
        <v>9258.0302798833327</v>
      </c>
      <c r="M179" s="248"/>
      <c r="N179" s="86"/>
    </row>
    <row r="180" spans="1:14" ht="15.75" thickBot="1" x14ac:dyDescent="0.3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</row>
    <row r="181" spans="1:14" ht="15.75" thickBot="1" x14ac:dyDescent="0.3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N181" s="136">
        <f>L179*600</f>
        <v>5554818.1679299995</v>
      </c>
    </row>
    <row r="182" spans="1:14" ht="15.75" thickBot="1" x14ac:dyDescent="0.3">
      <c r="A182" s="87" t="s">
        <v>104</v>
      </c>
      <c r="B182" s="87"/>
      <c r="C182" s="87"/>
      <c r="D182" s="13"/>
      <c r="E182" s="13"/>
      <c r="F182" s="13"/>
      <c r="G182" s="13"/>
      <c r="H182" s="13"/>
      <c r="I182" s="13"/>
      <c r="J182" s="86"/>
      <c r="K182" s="42">
        <f>I171+I164+I131+J97+H91+I83+I72+I58</f>
        <v>5554818.1679300005</v>
      </c>
      <c r="L182" s="137"/>
      <c r="M182" s="13"/>
      <c r="N182" s="13"/>
    </row>
    <row r="183" spans="1:14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8"/>
    </row>
    <row r="184" spans="1:14" x14ac:dyDescent="0.25">
      <c r="A184" s="13"/>
      <c r="B184" s="13"/>
      <c r="C184" s="13"/>
      <c r="D184" s="13"/>
      <c r="E184" s="13"/>
      <c r="F184" s="13"/>
      <c r="G184" s="13"/>
      <c r="H184" s="13"/>
      <c r="I184" s="137"/>
      <c r="J184" s="13"/>
      <c r="K184" s="13"/>
      <c r="L184" s="138"/>
      <c r="M184" s="138"/>
      <c r="N184" s="13"/>
    </row>
    <row r="185" spans="1:14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</row>
    <row r="186" spans="1:14" ht="18.75" x14ac:dyDescent="0.3">
      <c r="A186" s="139" t="s">
        <v>105</v>
      </c>
      <c r="B186" s="139"/>
      <c r="C186" s="139"/>
      <c r="G186" s="139"/>
      <c r="K186" s="139" t="s">
        <v>163</v>
      </c>
    </row>
    <row r="188" spans="1:14" x14ac:dyDescent="0.25">
      <c r="K188" s="140"/>
    </row>
    <row r="194" spans="1:14" ht="15.75" x14ac:dyDescent="0.25">
      <c r="A194" s="74" t="s">
        <v>72</v>
      </c>
      <c r="B194" s="74"/>
    </row>
    <row r="195" spans="1:14" ht="15.75" x14ac:dyDescent="0.25">
      <c r="A195" s="74" t="s">
        <v>159</v>
      </c>
      <c r="B195" s="74"/>
    </row>
    <row r="196" spans="1:14" ht="15.75" x14ac:dyDescent="0.25">
      <c r="A196" s="74" t="s">
        <v>160</v>
      </c>
      <c r="C196" s="74"/>
    </row>
    <row r="197" spans="1:14" ht="15.75" x14ac:dyDescent="0.25">
      <c r="A197" s="141"/>
      <c r="B197" s="141"/>
      <c r="C197" s="141"/>
    </row>
    <row r="198" spans="1:14" x14ac:dyDescent="0.25">
      <c r="J198" s="140">
        <f>I164+I131+J97+H91+I83+I72+I58</f>
        <v>5534818.1679300005</v>
      </c>
    </row>
    <row r="199" spans="1:14" ht="21" x14ac:dyDescent="0.35">
      <c r="J199" s="261">
        <f>J198/N5</f>
        <v>9565879.9998790193</v>
      </c>
      <c r="K199" s="261"/>
      <c r="N199" s="78">
        <v>8910300</v>
      </c>
    </row>
    <row r="200" spans="1:14" x14ac:dyDescent="0.25">
      <c r="E200" s="140"/>
      <c r="N200" s="78">
        <f>N131+N58</f>
        <v>3536598.1384790014</v>
      </c>
    </row>
    <row r="201" spans="1:14" x14ac:dyDescent="0.25">
      <c r="E201" s="140"/>
      <c r="J201" s="78">
        <f>J199-N178</f>
        <v>9565879.9998790193</v>
      </c>
      <c r="N201" s="78">
        <f>N199-N200</f>
        <v>5373701.8615209982</v>
      </c>
    </row>
    <row r="203" spans="1:14" x14ac:dyDescent="0.25">
      <c r="H203" s="140">
        <f>I171+'Работа №2 на 01.01.2022'!I190+'Работа №3 на 01.01.2022'!I180+'Работа №4 на 01.01.2021'!I178+'Работа №5 на 01.01.2021'!I195</f>
        <v>1906790</v>
      </c>
    </row>
    <row r="204" spans="1:14" x14ac:dyDescent="0.25">
      <c r="J204" s="140">
        <f>K182+'Работа №2 на 01.01.2022'!K201+'Работа №3 на 01.01.2022'!K191+'Работа №4 на 01.01.2021'!K189+'Работа №5 на 01.01.2021'!K206</f>
        <v>11472670.0033</v>
      </c>
    </row>
    <row r="207" spans="1:14" x14ac:dyDescent="0.25">
      <c r="J207" s="295">
        <f>K182+'Работа №2 на 01.01.2022'!K201+'Работа №3 на 01.01.2022'!K191+'Работа №4 на 01.01.2021'!K189+'Работа №5 на 01.01.2021'!K206</f>
        <v>11472670.0033</v>
      </c>
    </row>
    <row r="210" spans="10:10" x14ac:dyDescent="0.25">
      <c r="J210" s="140">
        <f>J207-11517670</f>
        <v>-44999.996700000018</v>
      </c>
    </row>
  </sheetData>
  <mergeCells count="171">
    <mergeCell ref="J199:K199"/>
    <mergeCell ref="A71:E71"/>
    <mergeCell ref="A147:M147"/>
    <mergeCell ref="A152:E152"/>
    <mergeCell ref="A128:E128"/>
    <mergeCell ref="A129:E129"/>
    <mergeCell ref="A130:E130"/>
    <mergeCell ref="A131:E131"/>
    <mergeCell ref="A133:M133"/>
    <mergeCell ref="A135:E135"/>
    <mergeCell ref="A141:L141"/>
    <mergeCell ref="A143:E143"/>
    <mergeCell ref="A144:E144"/>
    <mergeCell ref="A145:E145"/>
    <mergeCell ref="A136:E136"/>
    <mergeCell ref="A137:E137"/>
    <mergeCell ref="A138:E138"/>
    <mergeCell ref="A139:L139"/>
    <mergeCell ref="A122:E122"/>
    <mergeCell ref="A123:E123"/>
    <mergeCell ref="A124:E124"/>
    <mergeCell ref="A125:E125"/>
    <mergeCell ref="A126:E126"/>
    <mergeCell ref="A127:E127"/>
    <mergeCell ref="L179:M179"/>
    <mergeCell ref="A153:E153"/>
    <mergeCell ref="A154:E154"/>
    <mergeCell ref="A155:E155"/>
    <mergeCell ref="A156:E156"/>
    <mergeCell ref="A175:M175"/>
    <mergeCell ref="A177:C177"/>
    <mergeCell ref="D177:K177"/>
    <mergeCell ref="L177:M178"/>
    <mergeCell ref="A159:L159"/>
    <mergeCell ref="A160:E160"/>
    <mergeCell ref="A162:H162"/>
    <mergeCell ref="A164:H164"/>
    <mergeCell ref="A161:E161"/>
    <mergeCell ref="A166:L166"/>
    <mergeCell ref="A167:E167"/>
    <mergeCell ref="A170:E170"/>
    <mergeCell ref="A171:H171"/>
    <mergeCell ref="A168:E168"/>
    <mergeCell ref="A169:E169"/>
    <mergeCell ref="A163:E163"/>
    <mergeCell ref="A119:E119"/>
    <mergeCell ref="A120:E120"/>
    <mergeCell ref="A121:E121"/>
    <mergeCell ref="A110:E110"/>
    <mergeCell ref="A111:E111"/>
    <mergeCell ref="A112:E112"/>
    <mergeCell ref="A113:E113"/>
    <mergeCell ref="A114:E114"/>
    <mergeCell ref="A115:E115"/>
    <mergeCell ref="A116:E116"/>
    <mergeCell ref="A117:E117"/>
    <mergeCell ref="A118:E118"/>
    <mergeCell ref="A104:E104"/>
    <mergeCell ref="A105:E105"/>
    <mergeCell ref="A106:E106"/>
    <mergeCell ref="A107:E107"/>
    <mergeCell ref="A108:E108"/>
    <mergeCell ref="A109:E109"/>
    <mergeCell ref="A94:E94"/>
    <mergeCell ref="A96:E96"/>
    <mergeCell ref="A97:E97"/>
    <mergeCell ref="F97:I97"/>
    <mergeCell ref="A101:M101"/>
    <mergeCell ref="A103:E103"/>
    <mergeCell ref="A85:M85"/>
    <mergeCell ref="A87:E87"/>
    <mergeCell ref="A91:E91"/>
    <mergeCell ref="A93:N93"/>
    <mergeCell ref="A88:E88"/>
    <mergeCell ref="A89:E89"/>
    <mergeCell ref="A90:E90"/>
    <mergeCell ref="A95:E95"/>
    <mergeCell ref="A57:E57"/>
    <mergeCell ref="A58:E58"/>
    <mergeCell ref="A50:M50"/>
    <mergeCell ref="A51:E51"/>
    <mergeCell ref="A52:E52"/>
    <mergeCell ref="A53:E53"/>
    <mergeCell ref="A54:E54"/>
    <mergeCell ref="A55:E55"/>
    <mergeCell ref="A82:E82"/>
    <mergeCell ref="A61:M61"/>
    <mergeCell ref="A63:L63"/>
    <mergeCell ref="A65:E65"/>
    <mergeCell ref="A66:E66"/>
    <mergeCell ref="A76:E76"/>
    <mergeCell ref="A77:E77"/>
    <mergeCell ref="A81:E81"/>
    <mergeCell ref="A79:E79"/>
    <mergeCell ref="A67:E67"/>
    <mergeCell ref="A68:E68"/>
    <mergeCell ref="A69:E69"/>
    <mergeCell ref="A70:E70"/>
    <mergeCell ref="A72:E72"/>
    <mergeCell ref="A74:M74"/>
    <mergeCell ref="A78:E78"/>
    <mergeCell ref="G45:L45"/>
    <mergeCell ref="A46:E46"/>
    <mergeCell ref="G46:L46"/>
    <mergeCell ref="A44:E44"/>
    <mergeCell ref="G42:L42"/>
    <mergeCell ref="A45:E45"/>
    <mergeCell ref="G43:L43"/>
    <mergeCell ref="G44:L44"/>
    <mergeCell ref="A56:E56"/>
    <mergeCell ref="A41:E41"/>
    <mergeCell ref="G40:L40"/>
    <mergeCell ref="A42:E42"/>
    <mergeCell ref="G41:L41"/>
    <mergeCell ref="A43:E43"/>
    <mergeCell ref="A38:E38"/>
    <mergeCell ref="G38:L38"/>
    <mergeCell ref="A39:E39"/>
    <mergeCell ref="G26:L26"/>
    <mergeCell ref="A40:E40"/>
    <mergeCell ref="G39:L39"/>
    <mergeCell ref="A35:E35"/>
    <mergeCell ref="G35:L35"/>
    <mergeCell ref="A36:E36"/>
    <mergeCell ref="G36:L36"/>
    <mergeCell ref="A37:E37"/>
    <mergeCell ref="G37:L37"/>
    <mergeCell ref="A32:E32"/>
    <mergeCell ref="G32:L32"/>
    <mergeCell ref="A33:E33"/>
    <mergeCell ref="G33:L33"/>
    <mergeCell ref="A34:E34"/>
    <mergeCell ref="G34:L34"/>
    <mergeCell ref="A29:E29"/>
    <mergeCell ref="G29:L29"/>
    <mergeCell ref="A30:E30"/>
    <mergeCell ref="A31:E31"/>
    <mergeCell ref="G31:L31"/>
    <mergeCell ref="A26:E26"/>
    <mergeCell ref="A27:E27"/>
    <mergeCell ref="G27:L27"/>
    <mergeCell ref="A28:E28"/>
    <mergeCell ref="G28:L28"/>
    <mergeCell ref="A22:E22"/>
    <mergeCell ref="G22:L22"/>
    <mergeCell ref="A23:E23"/>
    <mergeCell ref="G23:L23"/>
    <mergeCell ref="A25:E25"/>
    <mergeCell ref="G25:L25"/>
    <mergeCell ref="A19:E19"/>
    <mergeCell ref="G19:L19"/>
    <mergeCell ref="A20:E20"/>
    <mergeCell ref="G20:L20"/>
    <mergeCell ref="A21:E21"/>
    <mergeCell ref="G21:L21"/>
    <mergeCell ref="A24:E24"/>
    <mergeCell ref="G24:L24"/>
    <mergeCell ref="A7:C7"/>
    <mergeCell ref="E7:G7"/>
    <mergeCell ref="A9:G9"/>
    <mergeCell ref="A18:E18"/>
    <mergeCell ref="G18:L18"/>
    <mergeCell ref="A2:D2"/>
    <mergeCell ref="E2:H2"/>
    <mergeCell ref="A3:B3"/>
    <mergeCell ref="E3:F3"/>
    <mergeCell ref="A5:C5"/>
    <mergeCell ref="E5:G5"/>
    <mergeCell ref="A10:H10"/>
    <mergeCell ref="A14:M14"/>
    <mergeCell ref="I5:L5"/>
  </mergeCells>
  <pageMargins left="0.70866141732283472" right="0.70866141732283472" top="0.15" bottom="0.6" header="0.15" footer="0.15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18"/>
  <sheetViews>
    <sheetView view="pageBreakPreview" zoomScale="60" zoomScaleNormal="60" workbookViewId="0">
      <selection activeCell="A188" sqref="A188:E188"/>
    </sheetView>
  </sheetViews>
  <sheetFormatPr defaultRowHeight="15" x14ac:dyDescent="0.25"/>
  <cols>
    <col min="1" max="1" width="12.7109375" style="78" customWidth="1"/>
    <col min="2" max="2" width="10.42578125" style="78" customWidth="1"/>
    <col min="3" max="3" width="9.140625" style="78"/>
    <col min="4" max="4" width="15.5703125" style="78" customWidth="1"/>
    <col min="5" max="5" width="24.7109375" style="78" customWidth="1"/>
    <col min="6" max="6" width="16.42578125" style="78" customWidth="1"/>
    <col min="7" max="7" width="13.85546875" style="78" customWidth="1"/>
    <col min="8" max="8" width="17.42578125" style="78" customWidth="1"/>
    <col min="9" max="9" width="18.85546875" style="78" customWidth="1"/>
    <col min="10" max="10" width="15.140625" style="78" customWidth="1"/>
    <col min="11" max="11" width="13.85546875" style="78" customWidth="1"/>
    <col min="12" max="12" width="16" style="78" customWidth="1"/>
    <col min="13" max="13" width="13.140625" style="78" customWidth="1"/>
    <col min="14" max="14" width="16.140625" customWidth="1"/>
  </cols>
  <sheetData>
    <row r="2" spans="1:14" ht="15.75" x14ac:dyDescent="0.25">
      <c r="A2" s="186"/>
      <c r="B2" s="186"/>
      <c r="C2" s="186"/>
      <c r="D2" s="186"/>
      <c r="E2" s="186"/>
      <c r="F2" s="186"/>
      <c r="G2" s="186"/>
      <c r="H2" s="186"/>
    </row>
    <row r="3" spans="1:14" ht="15.75" x14ac:dyDescent="0.25">
      <c r="A3" s="186"/>
      <c r="B3" s="186"/>
      <c r="C3" s="75"/>
      <c r="D3" s="75"/>
      <c r="E3" s="186"/>
      <c r="F3" s="186"/>
      <c r="G3" s="75"/>
      <c r="H3" s="75"/>
    </row>
    <row r="4" spans="1:14" ht="40.5" customHeight="1" x14ac:dyDescent="0.25">
      <c r="A4" s="187"/>
      <c r="B4" s="187"/>
      <c r="C4" s="187"/>
      <c r="D4" s="76"/>
      <c r="E4" s="187"/>
      <c r="F4" s="187"/>
      <c r="G4" s="187"/>
      <c r="H4" s="74"/>
      <c r="I4" s="187" t="s">
        <v>156</v>
      </c>
      <c r="J4" s="188"/>
      <c r="K4" s="188"/>
      <c r="L4" s="188"/>
      <c r="N4" s="171">
        <v>5.5E-2</v>
      </c>
    </row>
    <row r="5" spans="1:14" ht="15.75" x14ac:dyDescent="0.25">
      <c r="A5" s="76"/>
      <c r="B5" s="76"/>
      <c r="C5" s="76"/>
      <c r="D5" s="74"/>
      <c r="E5" s="76"/>
      <c r="F5" s="76"/>
      <c r="G5" s="76"/>
      <c r="H5" s="74"/>
    </row>
    <row r="6" spans="1:14" ht="15.75" x14ac:dyDescent="0.25">
      <c r="A6" s="182"/>
      <c r="B6" s="182"/>
      <c r="C6" s="182"/>
      <c r="D6" s="74"/>
      <c r="E6" s="182"/>
      <c r="F6" s="182"/>
      <c r="G6" s="182"/>
      <c r="H6" s="74"/>
    </row>
    <row r="7" spans="1:14" x14ac:dyDescent="0.25">
      <c r="A7" s="77"/>
      <c r="B7" s="77"/>
      <c r="C7" s="77"/>
      <c r="D7" s="77"/>
      <c r="E7" s="77"/>
      <c r="F7" s="77"/>
      <c r="G7" s="77"/>
      <c r="H7" s="77"/>
    </row>
    <row r="8" spans="1:14" ht="15.75" x14ac:dyDescent="0.25">
      <c r="A8" s="183" t="s">
        <v>101</v>
      </c>
      <c r="B8" s="184"/>
      <c r="C8" s="184"/>
      <c r="D8" s="184"/>
      <c r="E8" s="184"/>
      <c r="F8" s="184"/>
      <c r="G8" s="184"/>
      <c r="H8" s="77"/>
    </row>
    <row r="9" spans="1:14" ht="15.75" x14ac:dyDescent="0.25">
      <c r="A9" s="183" t="s">
        <v>175</v>
      </c>
      <c r="B9" s="184"/>
      <c r="C9" s="184"/>
      <c r="D9" s="184"/>
      <c r="E9" s="184"/>
      <c r="F9" s="184"/>
      <c r="G9" s="184"/>
      <c r="H9" s="188"/>
    </row>
    <row r="11" spans="1:14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3"/>
    </row>
    <row r="12" spans="1:14" ht="15.75" x14ac:dyDescent="0.25">
      <c r="A12" s="80" t="s">
        <v>164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2"/>
    </row>
    <row r="13" spans="1:14" ht="31.5" customHeight="1" x14ac:dyDescent="0.25">
      <c r="A13" s="189" t="s">
        <v>168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2"/>
    </row>
    <row r="14" spans="1:14" ht="15.75" x14ac:dyDescent="0.25">
      <c r="A14" s="80" t="s">
        <v>166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2"/>
    </row>
    <row r="15" spans="1:14" ht="31.5" customHeight="1" x14ac:dyDescent="0.25">
      <c r="A15" s="189" t="s">
        <v>169</v>
      </c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"/>
    </row>
    <row r="16" spans="1:14" ht="15.75" x14ac:dyDescent="0.25">
      <c r="A16" s="80" t="s">
        <v>167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2"/>
    </row>
    <row r="17" spans="1:14" ht="51.75" customHeight="1" x14ac:dyDescent="0.25">
      <c r="A17" s="185" t="s">
        <v>107</v>
      </c>
      <c r="B17" s="185"/>
      <c r="C17" s="185"/>
      <c r="D17" s="185"/>
      <c r="E17" s="185"/>
      <c r="F17" s="6" t="s">
        <v>106</v>
      </c>
      <c r="G17" s="185" t="s">
        <v>108</v>
      </c>
      <c r="H17" s="185"/>
      <c r="I17" s="185"/>
      <c r="J17" s="185"/>
      <c r="K17" s="185"/>
      <c r="L17" s="185"/>
      <c r="M17" s="6" t="s">
        <v>106</v>
      </c>
      <c r="N17" s="13"/>
    </row>
    <row r="18" spans="1:14" x14ac:dyDescent="0.25">
      <c r="A18" s="191" t="s">
        <v>119</v>
      </c>
      <c r="B18" s="191"/>
      <c r="C18" s="191"/>
      <c r="D18" s="191"/>
      <c r="E18" s="191"/>
      <c r="F18" s="57">
        <f>1*$N$4</f>
        <v>5.5E-2</v>
      </c>
      <c r="G18" s="192" t="s">
        <v>1</v>
      </c>
      <c r="H18" s="192"/>
      <c r="I18" s="192"/>
      <c r="J18" s="192"/>
      <c r="K18" s="192"/>
      <c r="L18" s="192"/>
      <c r="M18" s="63">
        <f>1*N4</f>
        <v>5.5E-2</v>
      </c>
      <c r="N18" s="13"/>
    </row>
    <row r="19" spans="1:14" x14ac:dyDescent="0.25">
      <c r="A19" s="191" t="s">
        <v>120</v>
      </c>
      <c r="B19" s="191"/>
      <c r="C19" s="191"/>
      <c r="D19" s="191"/>
      <c r="E19" s="191"/>
      <c r="F19" s="57">
        <f>9.75*N4</f>
        <v>0.53625</v>
      </c>
      <c r="G19" s="193" t="s">
        <v>157</v>
      </c>
      <c r="H19" s="194"/>
      <c r="I19" s="194"/>
      <c r="J19" s="194"/>
      <c r="K19" s="194"/>
      <c r="L19" s="195"/>
      <c r="M19" s="63">
        <f>1*N4</f>
        <v>5.5E-2</v>
      </c>
      <c r="N19" s="13"/>
    </row>
    <row r="20" spans="1:14" x14ac:dyDescent="0.25">
      <c r="A20" s="191" t="s">
        <v>121</v>
      </c>
      <c r="B20" s="191"/>
      <c r="C20" s="191"/>
      <c r="D20" s="191"/>
      <c r="E20" s="191"/>
      <c r="F20" s="57">
        <f>1*N4</f>
        <v>5.5E-2</v>
      </c>
      <c r="G20" s="196" t="s">
        <v>125</v>
      </c>
      <c r="H20" s="196"/>
      <c r="I20" s="196"/>
      <c r="J20" s="196"/>
      <c r="K20" s="196"/>
      <c r="L20" s="196"/>
      <c r="M20" s="63">
        <f>0.5*N4</f>
        <v>2.75E-2</v>
      </c>
      <c r="N20" s="13"/>
    </row>
    <row r="21" spans="1:14" x14ac:dyDescent="0.25">
      <c r="A21" s="191" t="s">
        <v>122</v>
      </c>
      <c r="B21" s="191"/>
      <c r="C21" s="191"/>
      <c r="D21" s="191"/>
      <c r="E21" s="191"/>
      <c r="F21" s="57">
        <f>0.25*N4</f>
        <v>1.375E-2</v>
      </c>
      <c r="G21" s="192" t="s">
        <v>127</v>
      </c>
      <c r="H21" s="192"/>
      <c r="I21" s="192"/>
      <c r="J21" s="192"/>
      <c r="K21" s="192"/>
      <c r="L21" s="192"/>
      <c r="M21" s="63">
        <f>1*N4</f>
        <v>5.5E-2</v>
      </c>
      <c r="N21" s="13"/>
    </row>
    <row r="22" spans="1:14" x14ac:dyDescent="0.25">
      <c r="A22" s="191" t="s">
        <v>124</v>
      </c>
      <c r="B22" s="191"/>
      <c r="C22" s="191"/>
      <c r="D22" s="191"/>
      <c r="E22" s="191"/>
      <c r="F22" s="57">
        <f>1*N4</f>
        <v>5.5E-2</v>
      </c>
      <c r="G22" s="192" t="s">
        <v>126</v>
      </c>
      <c r="H22" s="192"/>
      <c r="I22" s="192"/>
      <c r="J22" s="192"/>
      <c r="K22" s="192"/>
      <c r="L22" s="192"/>
      <c r="M22" s="63">
        <f>2*N4</f>
        <v>0.11</v>
      </c>
      <c r="N22" s="13"/>
    </row>
    <row r="23" spans="1:14" x14ac:dyDescent="0.25">
      <c r="A23" s="197"/>
      <c r="B23" s="198"/>
      <c r="C23" s="198"/>
      <c r="D23" s="198"/>
      <c r="E23" s="199"/>
      <c r="F23" s="57"/>
      <c r="G23" s="193" t="s">
        <v>123</v>
      </c>
      <c r="H23" s="194"/>
      <c r="I23" s="194"/>
      <c r="J23" s="194"/>
      <c r="K23" s="194"/>
      <c r="L23" s="195"/>
      <c r="M23" s="63">
        <f>1*N4</f>
        <v>5.5E-2</v>
      </c>
      <c r="N23" s="13"/>
    </row>
    <row r="24" spans="1:14" x14ac:dyDescent="0.25">
      <c r="A24" s="191"/>
      <c r="B24" s="191"/>
      <c r="C24" s="191"/>
      <c r="D24" s="191"/>
      <c r="E24" s="191"/>
      <c r="F24" s="58"/>
      <c r="G24" s="192" t="s">
        <v>128</v>
      </c>
      <c r="H24" s="192"/>
      <c r="I24" s="192"/>
      <c r="J24" s="192"/>
      <c r="K24" s="192"/>
      <c r="L24" s="192"/>
      <c r="M24" s="63">
        <f>1.25*N4</f>
        <v>6.8750000000000006E-2</v>
      </c>
      <c r="N24" s="13"/>
    </row>
    <row r="25" spans="1:14" ht="15.75" customHeight="1" x14ac:dyDescent="0.25">
      <c r="A25" s="191"/>
      <c r="B25" s="191"/>
      <c r="C25" s="191"/>
      <c r="D25" s="191"/>
      <c r="E25" s="191"/>
      <c r="F25" s="58"/>
      <c r="G25" s="200" t="s">
        <v>129</v>
      </c>
      <c r="H25" s="201"/>
      <c r="I25" s="201"/>
      <c r="J25" s="201"/>
      <c r="K25" s="201"/>
      <c r="L25" s="202"/>
      <c r="M25" s="63">
        <f>0.75*N4</f>
        <v>4.1250000000000002E-2</v>
      </c>
      <c r="N25" s="13"/>
    </row>
    <row r="26" spans="1:14" ht="15.75" hidden="1" customHeight="1" x14ac:dyDescent="0.25">
      <c r="A26" s="203"/>
      <c r="B26" s="204"/>
      <c r="C26" s="204"/>
      <c r="D26" s="204"/>
      <c r="E26" s="205"/>
      <c r="F26" s="58"/>
      <c r="G26" s="200"/>
      <c r="H26" s="201"/>
      <c r="I26" s="201"/>
      <c r="J26" s="201"/>
      <c r="K26" s="201"/>
      <c r="L26" s="202"/>
      <c r="M26" s="58"/>
      <c r="N26" s="13"/>
    </row>
    <row r="27" spans="1:14" ht="15.75" customHeight="1" x14ac:dyDescent="0.25">
      <c r="A27" s="203"/>
      <c r="B27" s="204"/>
      <c r="C27" s="204"/>
      <c r="D27" s="204"/>
      <c r="E27" s="205"/>
      <c r="F27" s="58"/>
      <c r="G27" s="200"/>
      <c r="H27" s="201"/>
      <c r="I27" s="201"/>
      <c r="J27" s="201"/>
      <c r="K27" s="201"/>
      <c r="L27" s="202"/>
      <c r="M27" s="58"/>
      <c r="N27" s="13"/>
    </row>
    <row r="28" spans="1:14" ht="15.75" hidden="1" customHeight="1" x14ac:dyDescent="0.25">
      <c r="A28" s="203"/>
      <c r="B28" s="204"/>
      <c r="C28" s="204"/>
      <c r="D28" s="204"/>
      <c r="E28" s="205"/>
      <c r="F28" s="18"/>
      <c r="G28" s="200"/>
      <c r="H28" s="201"/>
      <c r="I28" s="201"/>
      <c r="J28" s="201"/>
      <c r="K28" s="201"/>
      <c r="L28" s="202"/>
      <c r="M28" s="18"/>
      <c r="N28" s="13"/>
    </row>
    <row r="29" spans="1:14" ht="15.75" customHeight="1" x14ac:dyDescent="0.25">
      <c r="A29" s="203"/>
      <c r="B29" s="204"/>
      <c r="C29" s="204"/>
      <c r="D29" s="204"/>
      <c r="E29" s="205"/>
      <c r="F29" s="18"/>
      <c r="G29" s="82"/>
      <c r="H29" s="82"/>
      <c r="I29" s="82"/>
      <c r="J29" s="82"/>
      <c r="K29" s="82"/>
      <c r="L29" s="82"/>
      <c r="M29" s="18"/>
      <c r="N29" s="13"/>
    </row>
    <row r="30" spans="1:14" ht="15.75" customHeight="1" x14ac:dyDescent="0.25">
      <c r="A30" s="203"/>
      <c r="B30" s="204"/>
      <c r="C30" s="204"/>
      <c r="D30" s="204"/>
      <c r="E30" s="205"/>
      <c r="F30" s="18"/>
      <c r="G30" s="200"/>
      <c r="H30" s="201"/>
      <c r="I30" s="201"/>
      <c r="J30" s="201"/>
      <c r="K30" s="201"/>
      <c r="L30" s="202"/>
      <c r="M30" s="18"/>
      <c r="N30" s="13"/>
    </row>
    <row r="31" spans="1:14" ht="15.75" hidden="1" customHeight="1" x14ac:dyDescent="0.25">
      <c r="A31" s="203"/>
      <c r="B31" s="204"/>
      <c r="C31" s="204"/>
      <c r="D31" s="204"/>
      <c r="E31" s="205"/>
      <c r="F31" s="18"/>
      <c r="G31" s="200"/>
      <c r="H31" s="201"/>
      <c r="I31" s="201"/>
      <c r="J31" s="201"/>
      <c r="K31" s="201"/>
      <c r="L31" s="202"/>
      <c r="M31" s="18"/>
      <c r="N31" s="13"/>
    </row>
    <row r="32" spans="1:14" ht="15.75" hidden="1" customHeight="1" x14ac:dyDescent="0.25">
      <c r="A32" s="203"/>
      <c r="B32" s="204"/>
      <c r="C32" s="204"/>
      <c r="D32" s="204"/>
      <c r="E32" s="205"/>
      <c r="F32" s="18"/>
      <c r="G32" s="200"/>
      <c r="H32" s="201"/>
      <c r="I32" s="201"/>
      <c r="J32" s="201"/>
      <c r="K32" s="201"/>
      <c r="L32" s="202"/>
      <c r="M32" s="18"/>
      <c r="N32" s="13"/>
    </row>
    <row r="33" spans="1:15" ht="15.75" hidden="1" customHeight="1" x14ac:dyDescent="0.25">
      <c r="A33" s="203"/>
      <c r="B33" s="204"/>
      <c r="C33" s="204"/>
      <c r="D33" s="204"/>
      <c r="E33" s="205"/>
      <c r="F33" s="18"/>
      <c r="G33" s="200"/>
      <c r="H33" s="201"/>
      <c r="I33" s="201"/>
      <c r="J33" s="201"/>
      <c r="K33" s="201"/>
      <c r="L33" s="202"/>
      <c r="M33" s="18"/>
      <c r="N33" s="13"/>
    </row>
    <row r="34" spans="1:15" ht="15.75" hidden="1" customHeight="1" x14ac:dyDescent="0.25">
      <c r="A34" s="203"/>
      <c r="B34" s="204"/>
      <c r="C34" s="204"/>
      <c r="D34" s="204"/>
      <c r="E34" s="205"/>
      <c r="F34" s="18"/>
      <c r="G34" s="200"/>
      <c r="H34" s="201"/>
      <c r="I34" s="201"/>
      <c r="J34" s="201"/>
      <c r="K34" s="201"/>
      <c r="L34" s="202"/>
      <c r="M34" s="18"/>
      <c r="N34" s="13"/>
    </row>
    <row r="35" spans="1:15" ht="15.75" hidden="1" customHeight="1" x14ac:dyDescent="0.25">
      <c r="A35" s="203"/>
      <c r="B35" s="204"/>
      <c r="C35" s="204"/>
      <c r="D35" s="204"/>
      <c r="E35" s="205"/>
      <c r="F35" s="18"/>
      <c r="G35" s="200"/>
      <c r="H35" s="201"/>
      <c r="I35" s="201"/>
      <c r="J35" s="201"/>
      <c r="K35" s="201"/>
      <c r="L35" s="202"/>
      <c r="M35" s="18"/>
      <c r="N35" s="13"/>
    </row>
    <row r="36" spans="1:15" ht="15.75" hidden="1" customHeight="1" x14ac:dyDescent="0.25">
      <c r="A36" s="203"/>
      <c r="B36" s="204"/>
      <c r="C36" s="204"/>
      <c r="D36" s="204"/>
      <c r="E36" s="205"/>
      <c r="F36" s="18"/>
      <c r="G36" s="200"/>
      <c r="H36" s="201"/>
      <c r="I36" s="201"/>
      <c r="J36" s="201"/>
      <c r="K36" s="201"/>
      <c r="L36" s="202"/>
      <c r="M36" s="18"/>
      <c r="N36" s="13"/>
    </row>
    <row r="37" spans="1:15" x14ac:dyDescent="0.25">
      <c r="A37" s="206"/>
      <c r="B37" s="206"/>
      <c r="C37" s="206"/>
      <c r="D37" s="206"/>
      <c r="E37" s="206"/>
      <c r="F37" s="18"/>
      <c r="G37" s="192"/>
      <c r="H37" s="192"/>
      <c r="I37" s="192"/>
      <c r="J37" s="192"/>
      <c r="K37" s="192"/>
      <c r="L37" s="192"/>
      <c r="M37" s="18"/>
      <c r="N37" s="13"/>
    </row>
    <row r="38" spans="1:15" x14ac:dyDescent="0.25">
      <c r="A38" s="206"/>
      <c r="B38" s="206"/>
      <c r="C38" s="206"/>
      <c r="D38" s="206"/>
      <c r="E38" s="206"/>
      <c r="F38" s="18"/>
      <c r="G38" s="192"/>
      <c r="H38" s="192"/>
      <c r="I38" s="192"/>
      <c r="J38" s="192"/>
      <c r="K38" s="192"/>
      <c r="L38" s="192"/>
      <c r="M38" s="18"/>
      <c r="N38" s="13"/>
    </row>
    <row r="39" spans="1:15" x14ac:dyDescent="0.25">
      <c r="A39" s="206"/>
      <c r="B39" s="206"/>
      <c r="C39" s="206"/>
      <c r="D39" s="206"/>
      <c r="E39" s="206"/>
      <c r="F39" s="18"/>
      <c r="G39" s="192"/>
      <c r="H39" s="192"/>
      <c r="I39" s="192"/>
      <c r="J39" s="192"/>
      <c r="K39" s="192"/>
      <c r="L39" s="192"/>
      <c r="M39" s="18"/>
      <c r="N39" s="13"/>
    </row>
    <row r="40" spans="1:15" x14ac:dyDescent="0.25">
      <c r="A40" s="206"/>
      <c r="B40" s="206"/>
      <c r="C40" s="206"/>
      <c r="D40" s="206"/>
      <c r="E40" s="206"/>
      <c r="F40" s="18"/>
      <c r="G40" s="192"/>
      <c r="H40" s="192"/>
      <c r="I40" s="192"/>
      <c r="J40" s="192"/>
      <c r="K40" s="192"/>
      <c r="L40" s="192"/>
      <c r="M40" s="18"/>
      <c r="N40" s="13"/>
    </row>
    <row r="41" spans="1:15" x14ac:dyDescent="0.25">
      <c r="A41" s="206"/>
      <c r="B41" s="206"/>
      <c r="C41" s="206"/>
      <c r="D41" s="206"/>
      <c r="E41" s="206"/>
      <c r="F41" s="18"/>
      <c r="G41" s="192"/>
      <c r="H41" s="192"/>
      <c r="I41" s="192"/>
      <c r="J41" s="192"/>
      <c r="K41" s="192"/>
      <c r="L41" s="192"/>
      <c r="M41" s="18"/>
      <c r="N41" s="13"/>
    </row>
    <row r="42" spans="1:15" x14ac:dyDescent="0.25">
      <c r="A42" s="206"/>
      <c r="B42" s="206"/>
      <c r="C42" s="206"/>
      <c r="D42" s="206"/>
      <c r="E42" s="206"/>
      <c r="F42" s="18"/>
      <c r="G42" s="200"/>
      <c r="H42" s="201"/>
      <c r="I42" s="201"/>
      <c r="J42" s="201"/>
      <c r="K42" s="201"/>
      <c r="L42" s="202"/>
      <c r="M42" s="18"/>
      <c r="N42" s="13"/>
    </row>
    <row r="43" spans="1:15" ht="15" customHeight="1" x14ac:dyDescent="0.25">
      <c r="A43" s="206"/>
      <c r="B43" s="206"/>
      <c r="C43" s="206"/>
      <c r="D43" s="206"/>
      <c r="E43" s="206"/>
      <c r="F43" s="18"/>
      <c r="G43" s="200"/>
      <c r="H43" s="201"/>
      <c r="I43" s="201"/>
      <c r="J43" s="201"/>
      <c r="K43" s="201"/>
      <c r="L43" s="202"/>
      <c r="M43" s="18"/>
      <c r="N43" s="13"/>
    </row>
    <row r="44" spans="1:15" ht="15.75" customHeight="1" x14ac:dyDescent="0.25">
      <c r="A44" s="197"/>
      <c r="B44" s="198"/>
      <c r="C44" s="198"/>
      <c r="D44" s="198"/>
      <c r="E44" s="199"/>
      <c r="F44" s="18"/>
      <c r="G44" s="200"/>
      <c r="H44" s="201"/>
      <c r="I44" s="201"/>
      <c r="J44" s="201"/>
      <c r="K44" s="201"/>
      <c r="L44" s="202"/>
      <c r="M44" s="18"/>
      <c r="N44" s="83"/>
      <c r="O44" s="61"/>
    </row>
    <row r="45" spans="1:15" x14ac:dyDescent="0.25">
      <c r="A45" s="207" t="s">
        <v>2</v>
      </c>
      <c r="B45" s="207"/>
      <c r="C45" s="207"/>
      <c r="D45" s="207"/>
      <c r="E45" s="207"/>
      <c r="F45" s="84">
        <f>SUM(F18:F22)</f>
        <v>0.71500000000000019</v>
      </c>
      <c r="G45" s="208" t="s">
        <v>2</v>
      </c>
      <c r="H45" s="208"/>
      <c r="I45" s="208"/>
      <c r="J45" s="208"/>
      <c r="K45" s="208"/>
      <c r="L45" s="208"/>
      <c r="M45" s="85">
        <f>SUM(M18:M25)</f>
        <v>0.46750000000000003</v>
      </c>
      <c r="N45" s="13"/>
    </row>
    <row r="46" spans="1:15" ht="27.75" customHeight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86"/>
      <c r="N46" s="13"/>
    </row>
    <row r="47" spans="1:15" x14ac:dyDescent="0.25">
      <c r="A47" s="87"/>
      <c r="B47" s="87"/>
      <c r="C47" s="87"/>
      <c r="D47" s="87"/>
      <c r="E47" s="87"/>
      <c r="F47" s="13"/>
      <c r="G47" s="13"/>
      <c r="H47" s="13"/>
      <c r="I47" s="13"/>
      <c r="J47" s="13"/>
      <c r="K47" s="13"/>
      <c r="L47" s="13"/>
      <c r="M47" s="13"/>
      <c r="N47" s="13"/>
    </row>
    <row r="48" spans="1:15" ht="12.75" customHeight="1" x14ac:dyDescent="0.25">
      <c r="A48" s="87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</row>
    <row r="49" spans="1:14" ht="15" customHeight="1" x14ac:dyDescent="0.25">
      <c r="A49" s="210" t="s">
        <v>117</v>
      </c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13"/>
    </row>
    <row r="50" spans="1:14" ht="60" x14ac:dyDescent="0.25">
      <c r="A50" s="206" t="s">
        <v>3</v>
      </c>
      <c r="B50" s="206"/>
      <c r="C50" s="206"/>
      <c r="D50" s="206"/>
      <c r="E50" s="206"/>
      <c r="F50" s="6" t="s">
        <v>4</v>
      </c>
      <c r="G50" s="6" t="s">
        <v>0</v>
      </c>
      <c r="H50" s="6" t="s">
        <v>74</v>
      </c>
      <c r="I50" s="6" t="s">
        <v>76</v>
      </c>
      <c r="J50" s="6" t="s">
        <v>102</v>
      </c>
      <c r="K50" s="6" t="s">
        <v>131</v>
      </c>
      <c r="L50" s="6" t="s">
        <v>80</v>
      </c>
      <c r="M50" s="13"/>
      <c r="N50" s="13"/>
    </row>
    <row r="51" spans="1:14" hidden="1" x14ac:dyDescent="0.25">
      <c r="A51" s="191"/>
      <c r="B51" s="191"/>
      <c r="C51" s="191"/>
      <c r="D51" s="191"/>
      <c r="E51" s="191"/>
      <c r="F51" s="36"/>
      <c r="G51" s="36"/>
      <c r="H51" s="36"/>
      <c r="I51" s="36"/>
      <c r="J51" s="88"/>
      <c r="K51" s="88"/>
      <c r="L51" s="88"/>
      <c r="M51" s="13"/>
      <c r="N51" s="13"/>
    </row>
    <row r="52" spans="1:14" hidden="1" x14ac:dyDescent="0.25">
      <c r="A52" s="191"/>
      <c r="B52" s="191"/>
      <c r="C52" s="191"/>
      <c r="D52" s="191"/>
      <c r="E52" s="191"/>
      <c r="F52" s="36"/>
      <c r="G52" s="36"/>
      <c r="H52" s="36"/>
      <c r="I52" s="36"/>
      <c r="J52" s="88"/>
      <c r="K52" s="88"/>
      <c r="L52" s="88"/>
      <c r="M52" s="13"/>
      <c r="N52" s="13"/>
    </row>
    <row r="53" spans="1:14" x14ac:dyDescent="0.25">
      <c r="A53" s="212">
        <v>1</v>
      </c>
      <c r="B53" s="213"/>
      <c r="C53" s="213"/>
      <c r="D53" s="213"/>
      <c r="E53" s="214"/>
      <c r="F53" s="36">
        <v>2</v>
      </c>
      <c r="G53" s="36">
        <v>3</v>
      </c>
      <c r="H53" s="36" t="s">
        <v>75</v>
      </c>
      <c r="I53" s="36" t="s">
        <v>77</v>
      </c>
      <c r="J53" s="31">
        <v>6</v>
      </c>
      <c r="K53" s="31" t="s">
        <v>79</v>
      </c>
      <c r="L53" s="31">
        <v>8</v>
      </c>
      <c r="M53" s="13"/>
      <c r="N53" s="13"/>
    </row>
    <row r="54" spans="1:14" x14ac:dyDescent="0.25">
      <c r="A54" s="192" t="s">
        <v>107</v>
      </c>
      <c r="B54" s="192"/>
      <c r="C54" s="192"/>
      <c r="D54" s="192"/>
      <c r="E54" s="192"/>
      <c r="F54" s="9">
        <f>H54/12/G54</f>
        <v>26512.312354312347</v>
      </c>
      <c r="G54" s="9">
        <f>F45</f>
        <v>0.71500000000000019</v>
      </c>
      <c r="H54" s="9">
        <v>227475.64</v>
      </c>
      <c r="I54" s="56">
        <v>296173.28999999998</v>
      </c>
      <c r="J54" s="12">
        <v>57</v>
      </c>
      <c r="K54" s="9">
        <f>I54/J54</f>
        <v>5196.0226315789469</v>
      </c>
      <c r="L54" s="9">
        <f>I54/5384968.83*100</f>
        <v>5.5000000807804117</v>
      </c>
      <c r="M54" s="13"/>
      <c r="N54" s="13"/>
    </row>
    <row r="55" spans="1:14" ht="15.75" thickBot="1" x14ac:dyDescent="0.3">
      <c r="A55" s="191"/>
      <c r="B55" s="191"/>
      <c r="C55" s="191"/>
      <c r="D55" s="191"/>
      <c r="E55" s="191"/>
      <c r="F55" s="9"/>
      <c r="G55" s="9"/>
      <c r="H55" s="9"/>
      <c r="I55" s="12"/>
      <c r="J55" s="10"/>
      <c r="K55" s="7"/>
      <c r="L55" s="7"/>
      <c r="M55" s="13"/>
      <c r="N55" s="13"/>
    </row>
    <row r="56" spans="1:14" ht="15.75" hidden="1" thickBot="1" x14ac:dyDescent="0.3">
      <c r="A56" s="191"/>
      <c r="B56" s="191"/>
      <c r="C56" s="191"/>
      <c r="D56" s="191"/>
      <c r="E56" s="191"/>
      <c r="F56" s="7"/>
      <c r="G56" s="7"/>
      <c r="H56" s="7"/>
      <c r="I56" s="21"/>
      <c r="J56" s="10"/>
      <c r="K56" s="21"/>
      <c r="L56" s="7"/>
      <c r="M56" s="13"/>
      <c r="N56" s="13"/>
    </row>
    <row r="57" spans="1:14" ht="15.75" thickBot="1" x14ac:dyDescent="0.3">
      <c r="A57" s="209" t="s">
        <v>81</v>
      </c>
      <c r="B57" s="209"/>
      <c r="C57" s="209"/>
      <c r="D57" s="209"/>
      <c r="E57" s="209"/>
      <c r="F57" s="89"/>
      <c r="G57" s="89"/>
      <c r="H57" s="90"/>
      <c r="I57" s="42">
        <f>I54</f>
        <v>296173.28999999998</v>
      </c>
      <c r="J57" s="91"/>
      <c r="K57" s="92">
        <f>K54</f>
        <v>5196.0226315789469</v>
      </c>
      <c r="L57" s="93"/>
      <c r="M57" s="13"/>
      <c r="N57" s="13">
        <f>I57/88.1%</f>
        <v>336178.53575482406</v>
      </c>
    </row>
    <row r="58" spans="1:14" x14ac:dyDescent="0.25">
      <c r="A58" s="94"/>
      <c r="B58" s="94"/>
      <c r="C58" s="94"/>
      <c r="D58" s="94"/>
      <c r="E58" s="94"/>
      <c r="F58" s="95"/>
      <c r="G58" s="95"/>
      <c r="H58" s="95"/>
      <c r="I58" s="95"/>
      <c r="J58" s="96"/>
      <c r="K58" s="97"/>
      <c r="L58" s="97"/>
      <c r="M58" s="13"/>
      <c r="N58" s="13"/>
    </row>
    <row r="59" spans="1:14" ht="16.5" customHeight="1" x14ac:dyDescent="0.25">
      <c r="A59" s="94"/>
      <c r="B59" s="94"/>
      <c r="C59" s="94"/>
      <c r="D59" s="94"/>
      <c r="E59" s="94"/>
      <c r="F59" s="95"/>
      <c r="G59" s="95"/>
      <c r="H59" s="95"/>
      <c r="I59" s="95"/>
      <c r="J59" s="96"/>
      <c r="K59" s="97"/>
      <c r="L59" s="97"/>
      <c r="M59" s="13"/>
      <c r="N59" s="13"/>
    </row>
    <row r="60" spans="1:14" x14ac:dyDescent="0.25">
      <c r="A60" s="218" t="s">
        <v>16</v>
      </c>
      <c r="B60" s="218"/>
      <c r="C60" s="218"/>
      <c r="D60" s="218"/>
      <c r="E60" s="218"/>
      <c r="F60" s="218"/>
      <c r="G60" s="218"/>
      <c r="H60" s="218"/>
      <c r="I60" s="218"/>
      <c r="J60" s="218"/>
      <c r="K60" s="218"/>
      <c r="L60" s="218"/>
      <c r="M60" s="218"/>
      <c r="N60" s="13"/>
    </row>
    <row r="61" spans="1:14" x14ac:dyDescent="0.25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13"/>
    </row>
    <row r="62" spans="1:14" ht="30.75" hidden="1" customHeight="1" x14ac:dyDescent="0.25">
      <c r="A62" s="219"/>
      <c r="B62" s="219"/>
      <c r="C62" s="219"/>
      <c r="D62" s="219"/>
      <c r="E62" s="219"/>
      <c r="F62" s="219"/>
      <c r="G62" s="219"/>
      <c r="H62" s="219"/>
      <c r="I62" s="219"/>
      <c r="J62" s="219"/>
      <c r="K62" s="219"/>
      <c r="L62" s="219"/>
      <c r="M62" s="5"/>
      <c r="N62" s="13"/>
    </row>
    <row r="63" spans="1:14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4" ht="73.5" customHeight="1" x14ac:dyDescent="0.25">
      <c r="A64" s="206" t="s">
        <v>17</v>
      </c>
      <c r="B64" s="206"/>
      <c r="C64" s="206"/>
      <c r="D64" s="206"/>
      <c r="E64" s="206"/>
      <c r="F64" s="6" t="s">
        <v>7</v>
      </c>
      <c r="G64" s="6" t="s">
        <v>90</v>
      </c>
      <c r="H64" s="6" t="s">
        <v>71</v>
      </c>
      <c r="I64" s="6" t="s">
        <v>82</v>
      </c>
      <c r="J64" s="6" t="s">
        <v>102</v>
      </c>
      <c r="K64" s="6" t="s">
        <v>131</v>
      </c>
      <c r="L64" s="13"/>
      <c r="M64" s="13"/>
      <c r="N64" s="138"/>
    </row>
    <row r="65" spans="1:17" ht="18.75" customHeight="1" x14ac:dyDescent="0.25">
      <c r="A65" s="220">
        <v>1</v>
      </c>
      <c r="B65" s="221"/>
      <c r="C65" s="221"/>
      <c r="D65" s="221"/>
      <c r="E65" s="222"/>
      <c r="F65" s="6">
        <v>2</v>
      </c>
      <c r="G65" s="6">
        <v>3</v>
      </c>
      <c r="H65" s="26">
        <v>4</v>
      </c>
      <c r="I65" s="26">
        <v>5</v>
      </c>
      <c r="J65" s="99">
        <v>6</v>
      </c>
      <c r="K65" s="99" t="s">
        <v>79</v>
      </c>
      <c r="L65" s="13"/>
      <c r="M65" s="100"/>
      <c r="N65" s="13"/>
    </row>
    <row r="66" spans="1:17" x14ac:dyDescent="0.25">
      <c r="A66" s="227" t="s">
        <v>23</v>
      </c>
      <c r="B66" s="227"/>
      <c r="C66" s="227"/>
      <c r="D66" s="227"/>
      <c r="E66" s="227"/>
      <c r="F66" s="7" t="s">
        <v>26</v>
      </c>
      <c r="G66" s="10">
        <f>I66/H66</f>
        <v>0.38545365115399166</v>
      </c>
      <c r="H66" s="9">
        <v>8457.6</v>
      </c>
      <c r="I66" s="9">
        <f>59272.96*N4</f>
        <v>3260.0128</v>
      </c>
      <c r="J66" s="12">
        <v>57</v>
      </c>
      <c r="K66" s="9">
        <f>I66/J66</f>
        <v>57.193207017543862</v>
      </c>
      <c r="L66" s="13"/>
      <c r="M66" s="66"/>
      <c r="N66" s="9"/>
      <c r="Q66">
        <v>5702.59</v>
      </c>
    </row>
    <row r="67" spans="1:17" x14ac:dyDescent="0.25">
      <c r="A67" s="227" t="s">
        <v>24</v>
      </c>
      <c r="B67" s="227"/>
      <c r="C67" s="227"/>
      <c r="D67" s="227"/>
      <c r="E67" s="227"/>
      <c r="F67" s="7" t="s">
        <v>27</v>
      </c>
      <c r="G67" s="10">
        <f>I67/H67</f>
        <v>10.414684276260299</v>
      </c>
      <c r="H67" s="9">
        <v>1849.56</v>
      </c>
      <c r="I67" s="9">
        <f>350228.79*N4</f>
        <v>19262.583449999998</v>
      </c>
      <c r="J67" s="12">
        <v>57</v>
      </c>
      <c r="K67" s="9">
        <f>I67/J67</f>
        <v>337.94006052631573</v>
      </c>
      <c r="L67" s="13"/>
      <c r="M67" s="13"/>
      <c r="N67" s="14"/>
      <c r="Q67">
        <v>8442.66</v>
      </c>
    </row>
    <row r="68" spans="1:17" x14ac:dyDescent="0.25">
      <c r="A68" s="227" t="s">
        <v>83</v>
      </c>
      <c r="B68" s="227"/>
      <c r="C68" s="227"/>
      <c r="D68" s="227"/>
      <c r="E68" s="227"/>
      <c r="F68" s="7" t="s">
        <v>28</v>
      </c>
      <c r="G68" s="10">
        <f>I68/H68</f>
        <v>6.9993974559250169</v>
      </c>
      <c r="H68" s="9">
        <v>44.81</v>
      </c>
      <c r="I68" s="9">
        <f>5702.6*N4</f>
        <v>313.64300000000003</v>
      </c>
      <c r="J68" s="12">
        <v>57</v>
      </c>
      <c r="K68" s="9">
        <f>I68/J68</f>
        <v>5.5025087719298247</v>
      </c>
      <c r="L68" s="13"/>
      <c r="M68" s="13"/>
      <c r="N68" s="13"/>
    </row>
    <row r="69" spans="1:17" x14ac:dyDescent="0.25">
      <c r="A69" s="228" t="s">
        <v>25</v>
      </c>
      <c r="B69" s="228"/>
      <c r="C69" s="228"/>
      <c r="D69" s="228"/>
      <c r="E69" s="228"/>
      <c r="F69" s="21" t="s">
        <v>28</v>
      </c>
      <c r="G69" s="10">
        <f>I69/H69</f>
        <v>7.1153616304014715</v>
      </c>
      <c r="H69" s="14">
        <v>65.260000000000005</v>
      </c>
      <c r="I69" s="14">
        <f>8442.7*N4</f>
        <v>464.34850000000006</v>
      </c>
      <c r="J69" s="12">
        <v>57</v>
      </c>
      <c r="K69" s="14">
        <f>I69/J69</f>
        <v>8.1464649122807025</v>
      </c>
      <c r="L69" s="13"/>
      <c r="M69" s="13"/>
      <c r="N69" s="13"/>
    </row>
    <row r="70" spans="1:17" ht="15.75" thickBot="1" x14ac:dyDescent="0.3">
      <c r="A70" s="228" t="s">
        <v>162</v>
      </c>
      <c r="B70" s="228"/>
      <c r="C70" s="228"/>
      <c r="D70" s="228"/>
      <c r="E70" s="228"/>
      <c r="F70" s="21"/>
      <c r="G70" s="10">
        <f>I70/H70</f>
        <v>0.84684844484778488</v>
      </c>
      <c r="H70" s="14">
        <v>1212.0999999999999</v>
      </c>
      <c r="I70" s="14">
        <f>18663*N4</f>
        <v>1026.4649999999999</v>
      </c>
      <c r="J70" s="12">
        <v>57</v>
      </c>
      <c r="K70" s="14">
        <f>I70/J70</f>
        <v>18.00815789473684</v>
      </c>
      <c r="L70" s="13"/>
      <c r="M70" s="13"/>
      <c r="N70" s="13"/>
    </row>
    <row r="71" spans="1:17" ht="15.75" thickBot="1" x14ac:dyDescent="0.3">
      <c r="A71" s="229" t="s">
        <v>29</v>
      </c>
      <c r="B71" s="230"/>
      <c r="C71" s="230"/>
      <c r="D71" s="230"/>
      <c r="E71" s="231"/>
      <c r="F71" s="22"/>
      <c r="G71" s="22"/>
      <c r="H71" s="22"/>
      <c r="I71" s="42">
        <f>SUM(I66:I70)</f>
        <v>24327.052749999999</v>
      </c>
      <c r="J71" s="15"/>
      <c r="K71" s="24">
        <f>SUM(K66:K70)</f>
        <v>426.79039912280689</v>
      </c>
      <c r="L71" s="13"/>
      <c r="M71" s="13"/>
      <c r="N71" s="13">
        <f>I71/88.1%</f>
        <v>27612.999716231556</v>
      </c>
    </row>
    <row r="72" spans="1:17" ht="31.5" customHeight="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</row>
    <row r="73" spans="1:17" x14ac:dyDescent="0.25">
      <c r="A73" s="218" t="s">
        <v>30</v>
      </c>
      <c r="B73" s="218"/>
      <c r="C73" s="218"/>
      <c r="D73" s="218"/>
      <c r="E73" s="218"/>
      <c r="F73" s="218"/>
      <c r="G73" s="218"/>
      <c r="H73" s="218"/>
      <c r="I73" s="218"/>
      <c r="J73" s="218"/>
      <c r="K73" s="218"/>
      <c r="L73" s="218"/>
      <c r="M73" s="218"/>
      <c r="N73" s="13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1:17" ht="60" x14ac:dyDescent="0.25">
      <c r="A75" s="223" t="s">
        <v>32</v>
      </c>
      <c r="B75" s="223"/>
      <c r="C75" s="223"/>
      <c r="D75" s="223"/>
      <c r="E75" s="223"/>
      <c r="F75" s="26" t="s">
        <v>7</v>
      </c>
      <c r="G75" s="26" t="s">
        <v>18</v>
      </c>
      <c r="H75" s="8" t="s">
        <v>85</v>
      </c>
      <c r="I75" s="6" t="s">
        <v>82</v>
      </c>
      <c r="J75" s="6" t="s">
        <v>102</v>
      </c>
      <c r="K75" s="6" t="s">
        <v>131</v>
      </c>
      <c r="L75" s="13"/>
      <c r="M75" s="13"/>
      <c r="N75" s="13"/>
    </row>
    <row r="76" spans="1:17" x14ac:dyDescent="0.25">
      <c r="A76" s="196" t="s">
        <v>161</v>
      </c>
      <c r="B76" s="196"/>
      <c r="C76" s="196"/>
      <c r="D76" s="196"/>
      <c r="E76" s="196"/>
      <c r="F76" s="18" t="s">
        <v>31</v>
      </c>
      <c r="G76" s="18">
        <v>1</v>
      </c>
      <c r="H76" s="54">
        <v>3027.85</v>
      </c>
      <c r="I76" s="9">
        <f>36334.2*N4</f>
        <v>1998.3809999999999</v>
      </c>
      <c r="J76" s="12">
        <v>57</v>
      </c>
      <c r="K76" s="23">
        <f t="shared" ref="K76:K81" si="0">I76/J76</f>
        <v>35.059315789473679</v>
      </c>
      <c r="L76" s="13"/>
      <c r="M76" s="13"/>
      <c r="N76" s="13"/>
    </row>
    <row r="77" spans="1:17" ht="36.6" customHeight="1" x14ac:dyDescent="0.25">
      <c r="A77" s="232" t="s">
        <v>109</v>
      </c>
      <c r="B77" s="232"/>
      <c r="C77" s="232"/>
      <c r="D77" s="232"/>
      <c r="E77" s="233"/>
      <c r="F77" s="18" t="s">
        <v>31</v>
      </c>
      <c r="G77" s="18">
        <v>1</v>
      </c>
      <c r="H77" s="55"/>
      <c r="I77" s="101">
        <f>10000*N4</f>
        <v>550</v>
      </c>
      <c r="J77" s="12">
        <v>57</v>
      </c>
      <c r="K77" s="23">
        <f t="shared" si="0"/>
        <v>9.6491228070175445</v>
      </c>
      <c r="L77" s="13"/>
      <c r="M77" s="97"/>
      <c r="N77" s="13"/>
    </row>
    <row r="78" spans="1:17" ht="15" customHeight="1" x14ac:dyDescent="0.25">
      <c r="A78" s="224" t="s">
        <v>110</v>
      </c>
      <c r="B78" s="225"/>
      <c r="C78" s="225"/>
      <c r="D78" s="225"/>
      <c r="E78" s="226"/>
      <c r="F78" s="18" t="s">
        <v>31</v>
      </c>
      <c r="G78" s="18">
        <v>1</v>
      </c>
      <c r="H78" s="54"/>
      <c r="I78" s="9">
        <f>6500*N4</f>
        <v>357.5</v>
      </c>
      <c r="J78" s="12">
        <v>57</v>
      </c>
      <c r="K78" s="23">
        <f t="shared" si="0"/>
        <v>6.2719298245614032</v>
      </c>
      <c r="L78" s="13"/>
      <c r="M78" s="13"/>
      <c r="N78" s="13"/>
    </row>
    <row r="79" spans="1:17" x14ac:dyDescent="0.25">
      <c r="A79" s="161" t="s">
        <v>111</v>
      </c>
      <c r="B79" s="162"/>
      <c r="C79" s="162"/>
      <c r="D79" s="162"/>
      <c r="E79" s="163"/>
      <c r="F79" s="18" t="s">
        <v>31</v>
      </c>
      <c r="G79" s="18">
        <v>1</v>
      </c>
      <c r="H79" s="54"/>
      <c r="I79" s="9">
        <f>10000*N4</f>
        <v>550</v>
      </c>
      <c r="J79" s="12">
        <v>57</v>
      </c>
      <c r="K79" s="23">
        <f t="shared" si="0"/>
        <v>9.6491228070175445</v>
      </c>
      <c r="L79" s="13"/>
      <c r="M79" s="13"/>
      <c r="N79" s="13"/>
    </row>
    <row r="80" spans="1:17" x14ac:dyDescent="0.25">
      <c r="A80" s="196" t="s">
        <v>112</v>
      </c>
      <c r="B80" s="196"/>
      <c r="C80" s="196"/>
      <c r="D80" s="196"/>
      <c r="E80" s="196"/>
      <c r="F80" s="18" t="s">
        <v>31</v>
      </c>
      <c r="G80" s="18">
        <v>1</v>
      </c>
      <c r="H80" s="54">
        <v>500</v>
      </c>
      <c r="I80" s="14">
        <f>6000*N4</f>
        <v>330</v>
      </c>
      <c r="J80" s="12">
        <v>57</v>
      </c>
      <c r="K80" s="23">
        <f>I80/J80</f>
        <v>5.7894736842105265</v>
      </c>
      <c r="L80" s="13"/>
      <c r="M80" s="13"/>
      <c r="N80" s="13"/>
    </row>
    <row r="81" spans="1:14" s="1" customFormat="1" ht="15.75" thickBot="1" x14ac:dyDescent="0.3">
      <c r="A81" s="215" t="s">
        <v>116</v>
      </c>
      <c r="B81" s="216"/>
      <c r="C81" s="216"/>
      <c r="D81" s="216"/>
      <c r="E81" s="217"/>
      <c r="F81" s="18" t="s">
        <v>31</v>
      </c>
      <c r="G81" s="18">
        <v>1</v>
      </c>
      <c r="H81" s="54">
        <v>1500</v>
      </c>
      <c r="I81" s="14">
        <f>18000*N4</f>
        <v>990</v>
      </c>
      <c r="J81" s="12">
        <v>57</v>
      </c>
      <c r="K81" s="23">
        <f t="shared" si="0"/>
        <v>17.368421052631579</v>
      </c>
      <c r="L81" s="86"/>
      <c r="M81" s="86"/>
      <c r="N81" s="86"/>
    </row>
    <row r="82" spans="1:14" ht="15.75" thickBot="1" x14ac:dyDescent="0.3">
      <c r="A82" s="156" t="s">
        <v>89</v>
      </c>
      <c r="B82" s="157"/>
      <c r="C82" s="157"/>
      <c r="D82" s="157"/>
      <c r="E82" s="157"/>
      <c r="F82" s="157"/>
      <c r="G82" s="157"/>
      <c r="H82" s="157"/>
      <c r="I82" s="102">
        <f>SUM(I76:I81)</f>
        <v>4775.8809999999994</v>
      </c>
      <c r="J82" s="13"/>
      <c r="K82" s="92">
        <f>SUM(K76:K81)</f>
        <v>83.787385964912261</v>
      </c>
      <c r="L82" s="13"/>
      <c r="M82" s="13"/>
      <c r="N82" s="13">
        <f>I82/88.1%</f>
        <v>5420.9772985244044</v>
      </c>
    </row>
    <row r="83" spans="1:14" ht="28.5" customHeight="1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1:14" x14ac:dyDescent="0.25">
      <c r="A84" s="218" t="s">
        <v>84</v>
      </c>
      <c r="B84" s="218"/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13"/>
    </row>
    <row r="85" spans="1:14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1:14" ht="60" x14ac:dyDescent="0.25">
      <c r="A86" s="206" t="s">
        <v>32</v>
      </c>
      <c r="B86" s="206"/>
      <c r="C86" s="206"/>
      <c r="D86" s="206"/>
      <c r="E86" s="206"/>
      <c r="F86" s="6" t="s">
        <v>92</v>
      </c>
      <c r="G86" s="6" t="s">
        <v>22</v>
      </c>
      <c r="H86" s="6" t="s">
        <v>82</v>
      </c>
      <c r="I86" s="6" t="s">
        <v>102</v>
      </c>
      <c r="J86" s="6" t="s">
        <v>131</v>
      </c>
      <c r="K86" s="13"/>
      <c r="L86" s="13"/>
      <c r="M86" s="13"/>
      <c r="N86" s="13"/>
    </row>
    <row r="87" spans="1:14" ht="18" customHeight="1" x14ac:dyDescent="0.25">
      <c r="A87" s="200" t="s">
        <v>113</v>
      </c>
      <c r="B87" s="201"/>
      <c r="C87" s="201"/>
      <c r="D87" s="201"/>
      <c r="E87" s="202"/>
      <c r="F87" s="6">
        <v>4</v>
      </c>
      <c r="G87" s="26">
        <v>4500</v>
      </c>
      <c r="H87" s="103">
        <f>18000*N4</f>
        <v>990</v>
      </c>
      <c r="I87" s="12">
        <v>57</v>
      </c>
      <c r="J87" s="19">
        <f>H87/I87</f>
        <v>17.368421052631579</v>
      </c>
      <c r="K87" s="13"/>
      <c r="L87" s="13"/>
      <c r="M87" s="13"/>
      <c r="N87" s="13"/>
    </row>
    <row r="88" spans="1:14" ht="20.25" customHeight="1" x14ac:dyDescent="0.25">
      <c r="A88" s="192" t="s">
        <v>114</v>
      </c>
      <c r="B88" s="192"/>
      <c r="C88" s="192"/>
      <c r="D88" s="192"/>
      <c r="E88" s="192"/>
      <c r="F88" s="6">
        <v>12</v>
      </c>
      <c r="G88" s="26">
        <v>3000</v>
      </c>
      <c r="H88" s="103">
        <f>36000*N4</f>
        <v>1980</v>
      </c>
      <c r="I88" s="12">
        <v>57</v>
      </c>
      <c r="J88" s="19">
        <f>H88/I88</f>
        <v>34.736842105263158</v>
      </c>
      <c r="K88" s="13"/>
      <c r="L88" s="13"/>
      <c r="M88" s="13"/>
      <c r="N88" s="13"/>
    </row>
    <row r="89" spans="1:14" ht="18.75" customHeight="1" thickBot="1" x14ac:dyDescent="0.3">
      <c r="A89" s="192" t="s">
        <v>115</v>
      </c>
      <c r="B89" s="192"/>
      <c r="C89" s="192"/>
      <c r="D89" s="192"/>
      <c r="E89" s="192"/>
      <c r="F89" s="6">
        <v>12</v>
      </c>
      <c r="G89" s="26">
        <v>1000</v>
      </c>
      <c r="H89" s="103">
        <f>12000*N4</f>
        <v>660</v>
      </c>
      <c r="I89" s="12">
        <v>57</v>
      </c>
      <c r="J89" s="19">
        <f>H89/I89</f>
        <v>11.578947368421053</v>
      </c>
      <c r="K89" s="13"/>
      <c r="L89" s="13"/>
      <c r="M89" s="13"/>
      <c r="N89" s="13"/>
    </row>
    <row r="90" spans="1:14" ht="20.25" customHeight="1" thickBot="1" x14ac:dyDescent="0.3">
      <c r="A90" s="236" t="s">
        <v>88</v>
      </c>
      <c r="B90" s="237"/>
      <c r="C90" s="237"/>
      <c r="D90" s="237"/>
      <c r="E90" s="238"/>
      <c r="F90" s="104"/>
      <c r="G90" s="104"/>
      <c r="H90" s="42">
        <f>SUM(H87:H89)</f>
        <v>3630</v>
      </c>
      <c r="I90" s="13"/>
      <c r="J90" s="20">
        <f>SUM(J87:J89)</f>
        <v>63.684210526315795</v>
      </c>
      <c r="K90" s="13"/>
      <c r="L90" s="105"/>
      <c r="M90" s="13"/>
      <c r="N90" s="13">
        <f>H90/88.1%</f>
        <v>4120.3178206583434</v>
      </c>
    </row>
    <row r="91" spans="1:14" ht="20.25" customHeight="1" x14ac:dyDescent="0.25">
      <c r="A91" s="106"/>
      <c r="B91" s="107"/>
      <c r="C91" s="107"/>
      <c r="D91" s="107"/>
      <c r="E91" s="107"/>
      <c r="F91" s="107"/>
      <c r="G91" s="107"/>
      <c r="H91" s="108"/>
      <c r="I91" s="86"/>
      <c r="J91" s="109"/>
      <c r="K91" s="13"/>
      <c r="L91" s="105"/>
      <c r="M91" s="13"/>
      <c r="N91" s="13"/>
    </row>
    <row r="92" spans="1:14" ht="31.5" customHeight="1" x14ac:dyDescent="0.25">
      <c r="A92" s="239" t="s">
        <v>86</v>
      </c>
      <c r="B92" s="239"/>
      <c r="C92" s="239"/>
      <c r="D92" s="239"/>
      <c r="E92" s="239"/>
      <c r="F92" s="240"/>
      <c r="G92" s="240"/>
      <c r="H92" s="240"/>
      <c r="I92" s="240"/>
      <c r="J92" s="240"/>
      <c r="K92" s="240"/>
      <c r="L92" s="240"/>
      <c r="M92" s="240"/>
      <c r="N92" s="240"/>
    </row>
    <row r="93" spans="1:14" ht="45" x14ac:dyDescent="0.25">
      <c r="A93" s="206" t="s">
        <v>33</v>
      </c>
      <c r="B93" s="206"/>
      <c r="C93" s="206"/>
      <c r="D93" s="206"/>
      <c r="E93" s="206"/>
      <c r="F93" s="6" t="s">
        <v>7</v>
      </c>
      <c r="G93" s="6" t="s">
        <v>18</v>
      </c>
      <c r="H93" s="6" t="s">
        <v>71</v>
      </c>
      <c r="I93" s="6" t="s">
        <v>34</v>
      </c>
      <c r="J93" s="6" t="s">
        <v>82</v>
      </c>
      <c r="K93" s="26" t="s">
        <v>102</v>
      </c>
      <c r="L93" s="6" t="s">
        <v>131</v>
      </c>
      <c r="M93" s="13"/>
      <c r="N93" s="13"/>
    </row>
    <row r="94" spans="1:14" ht="31.5" customHeight="1" x14ac:dyDescent="0.25">
      <c r="A94" s="206" t="s">
        <v>35</v>
      </c>
      <c r="B94" s="206"/>
      <c r="C94" s="206"/>
      <c r="D94" s="206"/>
      <c r="E94" s="206"/>
      <c r="F94" s="17" t="s">
        <v>36</v>
      </c>
      <c r="G94" s="18">
        <v>3</v>
      </c>
      <c r="H94" s="52">
        <v>590.59</v>
      </c>
      <c r="I94" s="18">
        <v>12</v>
      </c>
      <c r="J94" s="14">
        <f>(14174.16+1012.44+9696)*N4</f>
        <v>1368.5429999999999</v>
      </c>
      <c r="K94" s="12">
        <v>57</v>
      </c>
      <c r="L94" s="19">
        <f>J94/K94</f>
        <v>24.009526315789472</v>
      </c>
      <c r="M94" s="13"/>
      <c r="N94" s="13"/>
    </row>
    <row r="95" spans="1:14" ht="22.5" customHeight="1" thickBot="1" x14ac:dyDescent="0.3">
      <c r="A95" s="206" t="s">
        <v>97</v>
      </c>
      <c r="B95" s="206"/>
      <c r="C95" s="206"/>
      <c r="D95" s="206"/>
      <c r="E95" s="206"/>
      <c r="F95" s="17" t="s">
        <v>98</v>
      </c>
      <c r="G95" s="18">
        <v>1</v>
      </c>
      <c r="H95" s="52">
        <v>3300</v>
      </c>
      <c r="I95" s="18">
        <v>12</v>
      </c>
      <c r="J95" s="14">
        <f>36000*N4</f>
        <v>1980</v>
      </c>
      <c r="K95" s="12">
        <v>57</v>
      </c>
      <c r="L95" s="19">
        <f>J95/K95</f>
        <v>34.736842105263158</v>
      </c>
      <c r="M95" s="13"/>
      <c r="N95" s="13"/>
    </row>
    <row r="96" spans="1:14" ht="20.25" customHeight="1" thickBot="1" x14ac:dyDescent="0.3">
      <c r="A96" s="234" t="s">
        <v>37</v>
      </c>
      <c r="B96" s="235"/>
      <c r="C96" s="235"/>
      <c r="D96" s="235"/>
      <c r="E96" s="246"/>
      <c r="F96" s="234"/>
      <c r="G96" s="235"/>
      <c r="H96" s="235"/>
      <c r="I96" s="235"/>
      <c r="J96" s="42">
        <f>J95+J94</f>
        <v>3348.5429999999997</v>
      </c>
      <c r="K96" s="13"/>
      <c r="L96" s="20">
        <f>L94+L95</f>
        <v>58.74636842105263</v>
      </c>
      <c r="M96" s="13"/>
      <c r="N96" s="13">
        <f>J96/88.1%</f>
        <v>3800.8433598183883</v>
      </c>
    </row>
    <row r="97" spans="1:14" ht="95.25" hidden="1" customHeight="1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66"/>
      <c r="M97" s="66"/>
      <c r="N97" s="13"/>
    </row>
    <row r="98" spans="1:14" ht="12" customHeight="1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66"/>
      <c r="M98" s="66"/>
      <c r="N98" s="13"/>
    </row>
    <row r="99" spans="1:14" x14ac:dyDescent="0.25">
      <c r="A99" s="218" t="s">
        <v>118</v>
      </c>
      <c r="B99" s="218"/>
      <c r="C99" s="218"/>
      <c r="D99" s="218"/>
      <c r="E99" s="218"/>
      <c r="F99" s="218"/>
      <c r="G99" s="218"/>
      <c r="H99" s="218"/>
      <c r="I99" s="218"/>
      <c r="J99" s="218"/>
      <c r="K99" s="218"/>
      <c r="L99" s="218"/>
      <c r="M99" s="218"/>
      <c r="N99" s="13"/>
    </row>
    <row r="100" spans="1:14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1:14" ht="60" x14ac:dyDescent="0.25">
      <c r="A101" s="206" t="s">
        <v>3</v>
      </c>
      <c r="B101" s="206"/>
      <c r="C101" s="206"/>
      <c r="D101" s="206"/>
      <c r="E101" s="206"/>
      <c r="F101" s="6" t="s">
        <v>4</v>
      </c>
      <c r="G101" s="36" t="s">
        <v>0</v>
      </c>
      <c r="H101" s="17" t="s">
        <v>87</v>
      </c>
      <c r="I101" s="17" t="s">
        <v>76</v>
      </c>
      <c r="J101" s="6" t="s">
        <v>102</v>
      </c>
      <c r="K101" s="6" t="s">
        <v>131</v>
      </c>
      <c r="L101" s="6" t="s">
        <v>80</v>
      </c>
      <c r="M101" s="100"/>
      <c r="N101" s="13"/>
    </row>
    <row r="102" spans="1:14" x14ac:dyDescent="0.25">
      <c r="A102" s="241">
        <v>1</v>
      </c>
      <c r="B102" s="242"/>
      <c r="C102" s="242"/>
      <c r="D102" s="242"/>
      <c r="E102" s="243"/>
      <c r="F102" s="26">
        <v>2</v>
      </c>
      <c r="G102" s="18">
        <v>3</v>
      </c>
      <c r="H102" s="26">
        <v>4</v>
      </c>
      <c r="I102" s="26">
        <v>5</v>
      </c>
      <c r="J102" s="99">
        <v>6</v>
      </c>
      <c r="K102" s="111">
        <v>7</v>
      </c>
      <c r="L102" s="112">
        <v>8</v>
      </c>
      <c r="M102" s="100"/>
      <c r="N102" s="86"/>
    </row>
    <row r="103" spans="1:14" ht="15.75" thickBot="1" x14ac:dyDescent="0.3">
      <c r="A103" s="192" t="s">
        <v>108</v>
      </c>
      <c r="B103" s="192"/>
      <c r="C103" s="192"/>
      <c r="D103" s="192"/>
      <c r="E103" s="192"/>
      <c r="F103" s="9">
        <f>H103/12/G103</f>
        <v>24789.011666666669</v>
      </c>
      <c r="G103" s="10">
        <v>0.5</v>
      </c>
      <c r="H103" s="9">
        <v>148734.07</v>
      </c>
      <c r="I103" s="9">
        <v>193651.76</v>
      </c>
      <c r="J103" s="12">
        <v>57</v>
      </c>
      <c r="K103" s="9">
        <f>I103/J103</f>
        <v>3397.3992982456143</v>
      </c>
      <c r="L103" s="88">
        <f>I103/3520941.17*100</f>
        <v>5.4999998764534892</v>
      </c>
      <c r="M103" s="97"/>
      <c r="N103" s="13"/>
    </row>
    <row r="104" spans="1:14" ht="15.75" hidden="1" thickBot="1" x14ac:dyDescent="0.3">
      <c r="A104" s="193"/>
      <c r="B104" s="194"/>
      <c r="C104" s="194"/>
      <c r="D104" s="194"/>
      <c r="E104" s="195"/>
      <c r="F104" s="9">
        <v>17865.98</v>
      </c>
      <c r="G104" s="30">
        <v>4</v>
      </c>
      <c r="H104" s="12"/>
      <c r="I104" s="10">
        <f>J57</f>
        <v>0</v>
      </c>
      <c r="J104" s="9" t="e">
        <f t="shared" ref="J104:J125" si="1">G104/H104*I104</f>
        <v>#DIV/0!</v>
      </c>
      <c r="K104" s="9">
        <f t="shared" ref="K104:K125" si="2">F104*G104*12*1.302</f>
        <v>1116552.28608</v>
      </c>
      <c r="L104" s="31" t="s">
        <v>61</v>
      </c>
      <c r="M104" s="113" t="e">
        <f t="shared" ref="M104:M128" si="3">J104*K104</f>
        <v>#DIV/0!</v>
      </c>
      <c r="N104" s="86"/>
    </row>
    <row r="105" spans="1:14" ht="15.75" hidden="1" thickBot="1" x14ac:dyDescent="0.3">
      <c r="A105" s="196"/>
      <c r="B105" s="196"/>
      <c r="C105" s="196"/>
      <c r="D105" s="196"/>
      <c r="E105" s="196"/>
      <c r="F105" s="9">
        <v>9544</v>
      </c>
      <c r="G105" s="30">
        <v>1</v>
      </c>
      <c r="H105" s="12"/>
      <c r="I105" s="10">
        <f>J57</f>
        <v>0</v>
      </c>
      <c r="J105" s="9" t="e">
        <f t="shared" si="1"/>
        <v>#DIV/0!</v>
      </c>
      <c r="K105" s="9">
        <f t="shared" si="2"/>
        <v>149115.45600000001</v>
      </c>
      <c r="L105" s="10">
        <f>I105/11277167.39*100</f>
        <v>0</v>
      </c>
      <c r="M105" s="9" t="e">
        <f t="shared" si="3"/>
        <v>#DIV/0!</v>
      </c>
      <c r="N105" s="86"/>
    </row>
    <row r="106" spans="1:14" ht="15" hidden="1" customHeight="1" x14ac:dyDescent="0.25">
      <c r="A106" s="244"/>
      <c r="B106" s="215"/>
      <c r="C106" s="215"/>
      <c r="D106" s="215"/>
      <c r="E106" s="245"/>
      <c r="F106" s="9">
        <v>11560</v>
      </c>
      <c r="G106" s="30">
        <v>1</v>
      </c>
      <c r="H106" s="12"/>
      <c r="I106" s="10">
        <f>J57</f>
        <v>0</v>
      </c>
      <c r="J106" s="9" t="e">
        <f t="shared" si="1"/>
        <v>#DIV/0!</v>
      </c>
      <c r="K106" s="9">
        <f t="shared" si="2"/>
        <v>180613.44</v>
      </c>
      <c r="L106" s="7"/>
      <c r="M106" s="9" t="e">
        <f t="shared" si="3"/>
        <v>#DIV/0!</v>
      </c>
      <c r="N106" s="86"/>
    </row>
    <row r="107" spans="1:14" ht="15.75" hidden="1" thickBot="1" x14ac:dyDescent="0.3">
      <c r="A107" s="192"/>
      <c r="B107" s="192"/>
      <c r="C107" s="192"/>
      <c r="D107" s="192"/>
      <c r="E107" s="192"/>
      <c r="F107" s="9">
        <v>9544</v>
      </c>
      <c r="G107" s="32">
        <v>0.5</v>
      </c>
      <c r="H107" s="12"/>
      <c r="I107" s="10">
        <f>J57</f>
        <v>0</v>
      </c>
      <c r="J107" s="9" t="e">
        <f t="shared" si="1"/>
        <v>#DIV/0!</v>
      </c>
      <c r="K107" s="9">
        <f t="shared" si="2"/>
        <v>74557.728000000003</v>
      </c>
      <c r="L107" s="7"/>
      <c r="M107" s="9" t="e">
        <f t="shared" si="3"/>
        <v>#DIV/0!</v>
      </c>
      <c r="N107" s="86"/>
    </row>
    <row r="108" spans="1:14" ht="15.75" hidden="1" thickBot="1" x14ac:dyDescent="0.3">
      <c r="A108" s="192"/>
      <c r="B108" s="192"/>
      <c r="C108" s="192"/>
      <c r="D108" s="192"/>
      <c r="E108" s="192"/>
      <c r="F108" s="9">
        <v>9544</v>
      </c>
      <c r="G108" s="30">
        <v>1</v>
      </c>
      <c r="H108" s="12"/>
      <c r="I108" s="10">
        <f>J57</f>
        <v>0</v>
      </c>
      <c r="J108" s="9" t="e">
        <f t="shared" si="1"/>
        <v>#DIV/0!</v>
      </c>
      <c r="K108" s="9">
        <f t="shared" si="2"/>
        <v>149115.45600000001</v>
      </c>
      <c r="L108" s="9"/>
      <c r="M108" s="9" t="e">
        <f t="shared" si="3"/>
        <v>#DIV/0!</v>
      </c>
      <c r="N108" s="86"/>
    </row>
    <row r="109" spans="1:14" ht="14.25" hidden="1" customHeight="1" x14ac:dyDescent="0.25">
      <c r="A109" s="192"/>
      <c r="B109" s="192"/>
      <c r="C109" s="192"/>
      <c r="D109" s="192"/>
      <c r="E109" s="192"/>
      <c r="F109" s="9">
        <v>9544</v>
      </c>
      <c r="G109" s="30">
        <v>1</v>
      </c>
      <c r="H109" s="12"/>
      <c r="I109" s="10">
        <f>J57</f>
        <v>0</v>
      </c>
      <c r="J109" s="9" t="e">
        <f t="shared" si="1"/>
        <v>#DIV/0!</v>
      </c>
      <c r="K109" s="9">
        <f t="shared" si="2"/>
        <v>149115.45600000001</v>
      </c>
      <c r="L109" s="13"/>
      <c r="M109" s="9" t="e">
        <f t="shared" si="3"/>
        <v>#DIV/0!</v>
      </c>
      <c r="N109" s="86"/>
    </row>
    <row r="110" spans="1:14" ht="15.75" hidden="1" thickBot="1" x14ac:dyDescent="0.3">
      <c r="A110" s="200"/>
      <c r="B110" s="201"/>
      <c r="C110" s="201"/>
      <c r="D110" s="201"/>
      <c r="E110" s="202"/>
      <c r="F110" s="9">
        <v>9544</v>
      </c>
      <c r="G110" s="9"/>
      <c r="H110" s="12"/>
      <c r="I110" s="10">
        <f>J57</f>
        <v>0</v>
      </c>
      <c r="J110" s="9" t="e">
        <f t="shared" si="1"/>
        <v>#DIV/0!</v>
      </c>
      <c r="K110" s="9">
        <f t="shared" si="2"/>
        <v>0</v>
      </c>
      <c r="L110" s="13"/>
      <c r="M110" s="9" t="e">
        <f t="shared" si="3"/>
        <v>#DIV/0!</v>
      </c>
      <c r="N110" s="86"/>
    </row>
    <row r="111" spans="1:14" ht="15.75" hidden="1" thickBot="1" x14ac:dyDescent="0.3">
      <c r="A111" s="200"/>
      <c r="B111" s="201"/>
      <c r="C111" s="201"/>
      <c r="D111" s="201"/>
      <c r="E111" s="202"/>
      <c r="F111" s="9">
        <v>9544</v>
      </c>
      <c r="G111" s="33">
        <v>0.25</v>
      </c>
      <c r="H111" s="12"/>
      <c r="I111" s="10">
        <f>J57</f>
        <v>0</v>
      </c>
      <c r="J111" s="9" t="e">
        <f t="shared" si="1"/>
        <v>#DIV/0!</v>
      </c>
      <c r="K111" s="9">
        <f t="shared" si="2"/>
        <v>37278.864000000001</v>
      </c>
      <c r="L111" s="13"/>
      <c r="M111" s="9" t="e">
        <f t="shared" si="3"/>
        <v>#DIV/0!</v>
      </c>
      <c r="N111" s="86"/>
    </row>
    <row r="112" spans="1:14" ht="15.75" hidden="1" thickBot="1" x14ac:dyDescent="0.3">
      <c r="A112" s="200"/>
      <c r="B112" s="201"/>
      <c r="C112" s="201"/>
      <c r="D112" s="201"/>
      <c r="E112" s="202"/>
      <c r="F112" s="9">
        <v>9544</v>
      </c>
      <c r="G112" s="9"/>
      <c r="H112" s="12"/>
      <c r="I112" s="10">
        <f>J57</f>
        <v>0</v>
      </c>
      <c r="J112" s="9" t="e">
        <f t="shared" si="1"/>
        <v>#DIV/0!</v>
      </c>
      <c r="K112" s="9">
        <f t="shared" si="2"/>
        <v>0</v>
      </c>
      <c r="L112" s="13"/>
      <c r="M112" s="9" t="e">
        <f t="shared" si="3"/>
        <v>#DIV/0!</v>
      </c>
      <c r="N112" s="86"/>
    </row>
    <row r="113" spans="1:14" ht="15.75" hidden="1" thickBot="1" x14ac:dyDescent="0.3">
      <c r="A113" s="200"/>
      <c r="B113" s="201"/>
      <c r="C113" s="201"/>
      <c r="D113" s="201"/>
      <c r="E113" s="202"/>
      <c r="F113" s="9">
        <v>9544</v>
      </c>
      <c r="G113" s="32">
        <v>0.5</v>
      </c>
      <c r="H113" s="12"/>
      <c r="I113" s="10">
        <f>J57</f>
        <v>0</v>
      </c>
      <c r="J113" s="9" t="e">
        <f t="shared" si="1"/>
        <v>#DIV/0!</v>
      </c>
      <c r="K113" s="9">
        <f t="shared" si="2"/>
        <v>74557.728000000003</v>
      </c>
      <c r="L113" s="13"/>
      <c r="M113" s="9" t="e">
        <f t="shared" si="3"/>
        <v>#DIV/0!</v>
      </c>
      <c r="N113" s="86"/>
    </row>
    <row r="114" spans="1:14" ht="15.75" hidden="1" customHeight="1" thickBot="1" x14ac:dyDescent="0.3">
      <c r="A114" s="200"/>
      <c r="B114" s="201"/>
      <c r="C114" s="201"/>
      <c r="D114" s="201"/>
      <c r="E114" s="202"/>
      <c r="F114" s="9">
        <v>9544</v>
      </c>
      <c r="G114" s="30">
        <v>1</v>
      </c>
      <c r="H114" s="12"/>
      <c r="I114" s="10">
        <f>J57</f>
        <v>0</v>
      </c>
      <c r="J114" s="9" t="e">
        <f t="shared" si="1"/>
        <v>#DIV/0!</v>
      </c>
      <c r="K114" s="9">
        <f t="shared" si="2"/>
        <v>149115.45600000001</v>
      </c>
      <c r="L114" s="13"/>
      <c r="M114" s="9" t="e">
        <f t="shared" si="3"/>
        <v>#DIV/0!</v>
      </c>
      <c r="N114" s="86"/>
    </row>
    <row r="115" spans="1:14" ht="15" hidden="1" customHeight="1" x14ac:dyDescent="0.25">
      <c r="A115" s="192"/>
      <c r="B115" s="192"/>
      <c r="C115" s="192"/>
      <c r="D115" s="192"/>
      <c r="E115" s="192"/>
      <c r="F115" s="9">
        <v>9544</v>
      </c>
      <c r="G115" s="30">
        <v>1</v>
      </c>
      <c r="H115" s="12"/>
      <c r="I115" s="10">
        <f>J57</f>
        <v>0</v>
      </c>
      <c r="J115" s="9" t="e">
        <f t="shared" si="1"/>
        <v>#DIV/0!</v>
      </c>
      <c r="K115" s="9">
        <f t="shared" si="2"/>
        <v>149115.45600000001</v>
      </c>
      <c r="L115" s="13"/>
      <c r="M115" s="9" t="e">
        <f t="shared" si="3"/>
        <v>#DIV/0!</v>
      </c>
      <c r="N115" s="86"/>
    </row>
    <row r="116" spans="1:14" ht="15" hidden="1" customHeight="1" thickBot="1" x14ac:dyDescent="0.3">
      <c r="A116" s="192"/>
      <c r="B116" s="192"/>
      <c r="C116" s="192"/>
      <c r="D116" s="192"/>
      <c r="E116" s="192"/>
      <c r="F116" s="9">
        <v>9544</v>
      </c>
      <c r="G116" s="32">
        <v>5.5</v>
      </c>
      <c r="H116" s="12"/>
      <c r="I116" s="10">
        <f>J57</f>
        <v>0</v>
      </c>
      <c r="J116" s="9" t="e">
        <f t="shared" si="1"/>
        <v>#DIV/0!</v>
      </c>
      <c r="K116" s="9">
        <f t="shared" si="2"/>
        <v>820135.00800000003</v>
      </c>
      <c r="L116" s="13"/>
      <c r="M116" s="9" t="e">
        <f t="shared" si="3"/>
        <v>#DIV/0!</v>
      </c>
      <c r="N116" s="86"/>
    </row>
    <row r="117" spans="1:14" ht="15" hidden="1" customHeight="1" thickBot="1" x14ac:dyDescent="0.3">
      <c r="A117" s="192"/>
      <c r="B117" s="192"/>
      <c r="C117" s="192"/>
      <c r="D117" s="192"/>
      <c r="E117" s="192"/>
      <c r="F117" s="9">
        <v>9544</v>
      </c>
      <c r="G117" s="30">
        <v>1</v>
      </c>
      <c r="H117" s="12"/>
      <c r="I117" s="10">
        <f>J57</f>
        <v>0</v>
      </c>
      <c r="J117" s="9" t="e">
        <f t="shared" si="1"/>
        <v>#DIV/0!</v>
      </c>
      <c r="K117" s="9">
        <f t="shared" si="2"/>
        <v>149115.45600000001</v>
      </c>
      <c r="L117" s="13"/>
      <c r="M117" s="9" t="e">
        <f t="shared" si="3"/>
        <v>#DIV/0!</v>
      </c>
      <c r="N117" s="86"/>
    </row>
    <row r="118" spans="1:14" ht="15" hidden="1" customHeight="1" x14ac:dyDescent="0.25">
      <c r="A118" s="192"/>
      <c r="B118" s="192"/>
      <c r="C118" s="192"/>
      <c r="D118" s="192"/>
      <c r="E118" s="192"/>
      <c r="F118" s="9">
        <v>9544</v>
      </c>
      <c r="G118" s="32">
        <v>0.5</v>
      </c>
      <c r="H118" s="12"/>
      <c r="I118" s="10">
        <f>J57</f>
        <v>0</v>
      </c>
      <c r="J118" s="9" t="e">
        <f t="shared" si="1"/>
        <v>#DIV/0!</v>
      </c>
      <c r="K118" s="9">
        <f t="shared" si="2"/>
        <v>74557.728000000003</v>
      </c>
      <c r="L118" s="13"/>
      <c r="M118" s="9" t="e">
        <f t="shared" si="3"/>
        <v>#DIV/0!</v>
      </c>
      <c r="N118" s="86"/>
    </row>
    <row r="119" spans="1:14" ht="15" hidden="1" customHeight="1" x14ac:dyDescent="0.25">
      <c r="A119" s="192"/>
      <c r="B119" s="192"/>
      <c r="C119" s="192"/>
      <c r="D119" s="192"/>
      <c r="E119" s="192"/>
      <c r="F119" s="9">
        <v>9544</v>
      </c>
      <c r="G119" s="32">
        <v>0.5</v>
      </c>
      <c r="H119" s="12"/>
      <c r="I119" s="10">
        <f>J57</f>
        <v>0</v>
      </c>
      <c r="J119" s="9" t="e">
        <f t="shared" si="1"/>
        <v>#DIV/0!</v>
      </c>
      <c r="K119" s="9">
        <f t="shared" si="2"/>
        <v>74557.728000000003</v>
      </c>
      <c r="L119" s="13"/>
      <c r="M119" s="9" t="e">
        <f t="shared" si="3"/>
        <v>#DIV/0!</v>
      </c>
      <c r="N119" s="86"/>
    </row>
    <row r="120" spans="1:14" ht="15.75" hidden="1" thickBot="1" x14ac:dyDescent="0.3">
      <c r="A120" s="192"/>
      <c r="B120" s="192"/>
      <c r="C120" s="192"/>
      <c r="D120" s="192"/>
      <c r="E120" s="192"/>
      <c r="F120" s="9">
        <v>9544</v>
      </c>
      <c r="G120" s="30">
        <v>1</v>
      </c>
      <c r="H120" s="12"/>
      <c r="I120" s="10">
        <f>J57</f>
        <v>0</v>
      </c>
      <c r="J120" s="9" t="e">
        <f t="shared" si="1"/>
        <v>#DIV/0!</v>
      </c>
      <c r="K120" s="9">
        <f t="shared" si="2"/>
        <v>149115.45600000001</v>
      </c>
      <c r="L120" s="13"/>
      <c r="M120" s="9" t="e">
        <f t="shared" si="3"/>
        <v>#DIV/0!</v>
      </c>
      <c r="N120" s="86"/>
    </row>
    <row r="121" spans="1:14" ht="15.75" hidden="1" customHeight="1" x14ac:dyDescent="0.25">
      <c r="A121" s="192"/>
      <c r="B121" s="192"/>
      <c r="C121" s="192"/>
      <c r="D121" s="192"/>
      <c r="E121" s="192"/>
      <c r="F121" s="9">
        <v>9544</v>
      </c>
      <c r="G121" s="30">
        <v>4</v>
      </c>
      <c r="H121" s="12"/>
      <c r="I121" s="10">
        <f>J57</f>
        <v>0</v>
      </c>
      <c r="J121" s="9" t="e">
        <f t="shared" si="1"/>
        <v>#DIV/0!</v>
      </c>
      <c r="K121" s="9">
        <f t="shared" si="2"/>
        <v>596461.82400000002</v>
      </c>
      <c r="L121" s="13"/>
      <c r="M121" s="9" t="e">
        <f t="shared" si="3"/>
        <v>#DIV/0!</v>
      </c>
      <c r="N121" s="86"/>
    </row>
    <row r="122" spans="1:14" ht="16.5" hidden="1" customHeight="1" thickBot="1" x14ac:dyDescent="0.3">
      <c r="A122" s="200"/>
      <c r="B122" s="201"/>
      <c r="C122" s="201"/>
      <c r="D122" s="201"/>
      <c r="E122" s="202"/>
      <c r="F122" s="9">
        <v>9544</v>
      </c>
      <c r="G122" s="30">
        <v>1</v>
      </c>
      <c r="H122" s="12"/>
      <c r="I122" s="10">
        <f>J57</f>
        <v>0</v>
      </c>
      <c r="J122" s="9" t="e">
        <f t="shared" si="1"/>
        <v>#DIV/0!</v>
      </c>
      <c r="K122" s="9">
        <f t="shared" si="2"/>
        <v>149115.45600000001</v>
      </c>
      <c r="L122" s="13"/>
      <c r="M122" s="9" t="e">
        <f t="shared" si="3"/>
        <v>#DIV/0!</v>
      </c>
      <c r="N122" s="86"/>
    </row>
    <row r="123" spans="1:14" ht="16.5" hidden="1" customHeight="1" thickBot="1" x14ac:dyDescent="0.3">
      <c r="A123" s="200"/>
      <c r="B123" s="201"/>
      <c r="C123" s="201"/>
      <c r="D123" s="201"/>
      <c r="E123" s="202"/>
      <c r="F123" s="9">
        <v>9544</v>
      </c>
      <c r="G123" s="33">
        <v>1.75</v>
      </c>
      <c r="H123" s="12"/>
      <c r="I123" s="10">
        <f>J57</f>
        <v>0</v>
      </c>
      <c r="J123" s="9" t="e">
        <f t="shared" si="1"/>
        <v>#DIV/0!</v>
      </c>
      <c r="K123" s="9">
        <f t="shared" si="2"/>
        <v>260952.04800000001</v>
      </c>
      <c r="L123" s="13"/>
      <c r="M123" s="9" t="e">
        <f t="shared" si="3"/>
        <v>#DIV/0!</v>
      </c>
      <c r="N123" s="86"/>
    </row>
    <row r="124" spans="1:14" ht="16.5" hidden="1" customHeight="1" x14ac:dyDescent="0.25">
      <c r="A124" s="200"/>
      <c r="B124" s="201"/>
      <c r="C124" s="201"/>
      <c r="D124" s="201"/>
      <c r="E124" s="202"/>
      <c r="F124" s="9">
        <v>9544</v>
      </c>
      <c r="G124" s="10"/>
      <c r="H124" s="12"/>
      <c r="I124" s="10">
        <f>J57</f>
        <v>0</v>
      </c>
      <c r="J124" s="9" t="e">
        <f t="shared" si="1"/>
        <v>#DIV/0!</v>
      </c>
      <c r="K124" s="9">
        <f t="shared" si="2"/>
        <v>0</v>
      </c>
      <c r="L124" s="13"/>
      <c r="M124" s="9" t="e">
        <f t="shared" si="3"/>
        <v>#DIV/0!</v>
      </c>
      <c r="N124" s="86"/>
    </row>
    <row r="125" spans="1:14" ht="16.5" hidden="1" customHeight="1" x14ac:dyDescent="0.25">
      <c r="A125" s="200"/>
      <c r="B125" s="201"/>
      <c r="C125" s="201"/>
      <c r="D125" s="201"/>
      <c r="E125" s="202"/>
      <c r="F125" s="9">
        <v>9544</v>
      </c>
      <c r="G125" s="32">
        <v>0.5</v>
      </c>
      <c r="H125" s="12"/>
      <c r="I125" s="10">
        <f>J57</f>
        <v>0</v>
      </c>
      <c r="J125" s="9" t="e">
        <f t="shared" si="1"/>
        <v>#DIV/0!</v>
      </c>
      <c r="K125" s="9">
        <f t="shared" si="2"/>
        <v>74557.728000000003</v>
      </c>
      <c r="L125" s="13"/>
      <c r="M125" s="9" t="e">
        <f t="shared" si="3"/>
        <v>#DIV/0!</v>
      </c>
      <c r="N125" s="86"/>
    </row>
    <row r="126" spans="1:14" ht="15" hidden="1" customHeight="1" x14ac:dyDescent="0.25">
      <c r="A126" s="200"/>
      <c r="B126" s="201"/>
      <c r="C126" s="201"/>
      <c r="D126" s="201"/>
      <c r="E126" s="202"/>
      <c r="F126" s="9"/>
      <c r="G126" s="9"/>
      <c r="H126" s="9"/>
      <c r="I126" s="9"/>
      <c r="J126" s="9"/>
      <c r="K126" s="9"/>
      <c r="L126" s="13"/>
      <c r="M126" s="9">
        <f t="shared" si="3"/>
        <v>0</v>
      </c>
      <c r="N126" s="86"/>
    </row>
    <row r="127" spans="1:14" ht="15.75" hidden="1" customHeight="1" x14ac:dyDescent="0.25">
      <c r="A127" s="200"/>
      <c r="B127" s="201"/>
      <c r="C127" s="201"/>
      <c r="D127" s="201"/>
      <c r="E127" s="202"/>
      <c r="F127" s="9"/>
      <c r="G127" s="9"/>
      <c r="H127" s="9"/>
      <c r="I127" s="9"/>
      <c r="J127" s="9"/>
      <c r="K127" s="9"/>
      <c r="L127" s="13"/>
      <c r="M127" s="9">
        <f t="shared" si="3"/>
        <v>0</v>
      </c>
      <c r="N127" s="86"/>
    </row>
    <row r="128" spans="1:14" ht="14.25" hidden="1" customHeight="1" x14ac:dyDescent="0.25">
      <c r="A128" s="200"/>
      <c r="B128" s="201"/>
      <c r="C128" s="201"/>
      <c r="D128" s="201"/>
      <c r="E128" s="202"/>
      <c r="F128" s="9"/>
      <c r="G128" s="9"/>
      <c r="H128" s="9"/>
      <c r="I128" s="9"/>
      <c r="J128" s="12">
        <v>105</v>
      </c>
      <c r="K128" s="14">
        <f>I128/J128</f>
        <v>0</v>
      </c>
      <c r="L128" s="13"/>
      <c r="M128" s="14">
        <f t="shared" si="3"/>
        <v>0</v>
      </c>
      <c r="N128" s="86"/>
    </row>
    <row r="129" spans="1:14" ht="15.75" thickBot="1" x14ac:dyDescent="0.3">
      <c r="A129" s="209" t="s">
        <v>81</v>
      </c>
      <c r="B129" s="209"/>
      <c r="C129" s="209"/>
      <c r="D129" s="209"/>
      <c r="E129" s="209"/>
      <c r="F129" s="34"/>
      <c r="G129" s="160"/>
      <c r="H129" s="160"/>
      <c r="I129" s="42">
        <f>I103</f>
        <v>193651.76</v>
      </c>
      <c r="J129" s="15"/>
      <c r="K129" s="35">
        <f>K103</f>
        <v>3397.3992982456143</v>
      </c>
      <c r="L129" s="13"/>
      <c r="M129" s="97"/>
      <c r="N129" s="13">
        <f>I129/88.1%</f>
        <v>219809.0351872872</v>
      </c>
    </row>
    <row r="130" spans="1:14" ht="24.75" customHeight="1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</row>
    <row r="131" spans="1:14" hidden="1" x14ac:dyDescent="0.25">
      <c r="A131" s="218" t="s">
        <v>38</v>
      </c>
      <c r="B131" s="218"/>
      <c r="C131" s="218"/>
      <c r="D131" s="218"/>
      <c r="E131" s="218"/>
      <c r="F131" s="218"/>
      <c r="G131" s="218"/>
      <c r="H131" s="218"/>
      <c r="I131" s="218"/>
      <c r="J131" s="218"/>
      <c r="K131" s="218"/>
      <c r="L131" s="218"/>
      <c r="M131" s="218"/>
      <c r="N131" s="13"/>
    </row>
    <row r="132" spans="1:14" hidden="1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</row>
    <row r="133" spans="1:14" ht="45" hidden="1" x14ac:dyDescent="0.25">
      <c r="A133" s="206" t="s">
        <v>39</v>
      </c>
      <c r="B133" s="206"/>
      <c r="C133" s="206"/>
      <c r="D133" s="206"/>
      <c r="E133" s="206"/>
      <c r="F133" s="6" t="s">
        <v>7</v>
      </c>
      <c r="G133" s="6" t="s">
        <v>18</v>
      </c>
      <c r="H133" s="6" t="s">
        <v>19</v>
      </c>
      <c r="I133" s="6" t="s">
        <v>20</v>
      </c>
      <c r="J133" s="6"/>
      <c r="K133" s="6" t="s">
        <v>21</v>
      </c>
      <c r="L133" s="6" t="s">
        <v>22</v>
      </c>
      <c r="M133" s="6" t="s">
        <v>82</v>
      </c>
      <c r="N133" s="13"/>
    </row>
    <row r="134" spans="1:14" hidden="1" x14ac:dyDescent="0.25">
      <c r="A134" s="196" t="s">
        <v>40</v>
      </c>
      <c r="B134" s="196"/>
      <c r="C134" s="196"/>
      <c r="D134" s="196"/>
      <c r="E134" s="196"/>
      <c r="F134" s="18" t="s">
        <v>43</v>
      </c>
      <c r="G134" s="18">
        <v>0</v>
      </c>
      <c r="H134" s="111">
        <f>M62</f>
        <v>0</v>
      </c>
      <c r="I134" s="101">
        <f>J57</f>
        <v>0</v>
      </c>
      <c r="J134" s="101"/>
      <c r="K134" s="18"/>
      <c r="L134" s="18"/>
      <c r="M134" s="18"/>
      <c r="N134" s="13"/>
    </row>
    <row r="135" spans="1:14" hidden="1" x14ac:dyDescent="0.25">
      <c r="A135" s="196" t="s">
        <v>41</v>
      </c>
      <c r="B135" s="196"/>
      <c r="C135" s="196"/>
      <c r="D135" s="196"/>
      <c r="E135" s="196"/>
      <c r="F135" s="18" t="s">
        <v>44</v>
      </c>
      <c r="G135" s="18">
        <v>0</v>
      </c>
      <c r="H135" s="111">
        <f>M62</f>
        <v>0</v>
      </c>
      <c r="I135" s="101">
        <f>J57</f>
        <v>0</v>
      </c>
      <c r="J135" s="101"/>
      <c r="K135" s="18"/>
      <c r="L135" s="18"/>
      <c r="M135" s="18"/>
      <c r="N135" s="13"/>
    </row>
    <row r="136" spans="1:14" hidden="1" x14ac:dyDescent="0.25">
      <c r="A136" s="196" t="s">
        <v>42</v>
      </c>
      <c r="B136" s="196"/>
      <c r="C136" s="196"/>
      <c r="D136" s="196"/>
      <c r="E136" s="196"/>
      <c r="F136" s="18" t="s">
        <v>44</v>
      </c>
      <c r="G136" s="18">
        <v>0</v>
      </c>
      <c r="H136" s="111">
        <f>M62</f>
        <v>0</v>
      </c>
      <c r="I136" s="101">
        <f>J57</f>
        <v>0</v>
      </c>
      <c r="J136" s="101"/>
      <c r="K136" s="18"/>
      <c r="L136" s="18"/>
      <c r="M136" s="18"/>
      <c r="N136" s="13"/>
    </row>
    <row r="137" spans="1:14" hidden="1" x14ac:dyDescent="0.25">
      <c r="A137" s="236" t="s">
        <v>45</v>
      </c>
      <c r="B137" s="237"/>
      <c r="C137" s="237"/>
      <c r="D137" s="237"/>
      <c r="E137" s="237"/>
      <c r="F137" s="237"/>
      <c r="G137" s="237"/>
      <c r="H137" s="237"/>
      <c r="I137" s="237"/>
      <c r="J137" s="237"/>
      <c r="K137" s="237"/>
      <c r="L137" s="238"/>
      <c r="M137" s="114">
        <f>M134+M135+M136</f>
        <v>0</v>
      </c>
      <c r="N137" s="13"/>
    </row>
    <row r="138" spans="1:14" hidden="1" x14ac:dyDescent="0.25">
      <c r="A138" s="86"/>
      <c r="B138" s="86"/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13"/>
    </row>
    <row r="139" spans="1:14" hidden="1" x14ac:dyDescent="0.25">
      <c r="A139" s="263" t="s">
        <v>93</v>
      </c>
      <c r="B139" s="264"/>
      <c r="C139" s="264"/>
      <c r="D139" s="264"/>
      <c r="E139" s="264"/>
      <c r="F139" s="264"/>
      <c r="G139" s="264"/>
      <c r="H139" s="264"/>
      <c r="I139" s="264"/>
      <c r="J139" s="264"/>
      <c r="K139" s="264"/>
      <c r="L139" s="264"/>
      <c r="M139" s="13"/>
      <c r="N139" s="13"/>
    </row>
    <row r="140" spans="1:14" hidden="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</row>
    <row r="141" spans="1:14" ht="75" hidden="1" x14ac:dyDescent="0.25">
      <c r="A141" s="197" t="s">
        <v>66</v>
      </c>
      <c r="B141" s="198"/>
      <c r="C141" s="198"/>
      <c r="D141" s="198"/>
      <c r="E141" s="199"/>
      <c r="F141" s="6" t="s">
        <v>7</v>
      </c>
      <c r="G141" s="6" t="s">
        <v>18</v>
      </c>
      <c r="H141" s="26" t="s">
        <v>22</v>
      </c>
      <c r="I141" s="6" t="s">
        <v>82</v>
      </c>
      <c r="J141" s="26" t="s">
        <v>78</v>
      </c>
      <c r="K141" s="26" t="s">
        <v>73</v>
      </c>
      <c r="L141" s="13"/>
      <c r="M141" s="13"/>
      <c r="N141" s="13"/>
    </row>
    <row r="142" spans="1:14" hidden="1" x14ac:dyDescent="0.25">
      <c r="A142" s="241">
        <v>1</v>
      </c>
      <c r="B142" s="242"/>
      <c r="C142" s="242"/>
      <c r="D142" s="242"/>
      <c r="E142" s="243"/>
      <c r="F142" s="26">
        <v>2</v>
      </c>
      <c r="G142" s="26">
        <v>3</v>
      </c>
      <c r="H142" s="26">
        <v>4</v>
      </c>
      <c r="I142" s="26">
        <v>5</v>
      </c>
      <c r="J142" s="99">
        <v>6</v>
      </c>
      <c r="K142" s="111">
        <v>7</v>
      </c>
      <c r="L142" s="13"/>
      <c r="M142" s="13"/>
      <c r="N142" s="13"/>
    </row>
    <row r="143" spans="1:14" hidden="1" x14ac:dyDescent="0.25">
      <c r="A143" s="249" t="s">
        <v>95</v>
      </c>
      <c r="B143" s="250"/>
      <c r="C143" s="250"/>
      <c r="D143" s="250"/>
      <c r="E143" s="251"/>
      <c r="F143" s="9"/>
      <c r="G143" s="12"/>
      <c r="H143" s="9"/>
      <c r="I143" s="9"/>
      <c r="J143" s="12">
        <v>30</v>
      </c>
      <c r="K143" s="36">
        <f>I143/J143</f>
        <v>0</v>
      </c>
      <c r="L143" s="13"/>
      <c r="M143" s="13"/>
      <c r="N143" s="13"/>
    </row>
    <row r="144" spans="1:14" ht="15.75" hidden="1" thickBot="1" x14ac:dyDescent="0.3">
      <c r="A144" s="34" t="s">
        <v>94</v>
      </c>
      <c r="B144" s="115"/>
      <c r="C144" s="115"/>
      <c r="D144" s="115"/>
      <c r="E144" s="115"/>
      <c r="F144" s="115"/>
      <c r="G144" s="115"/>
      <c r="H144" s="115"/>
      <c r="I144" s="116">
        <f>I143</f>
        <v>0</v>
      </c>
      <c r="J144" s="117"/>
      <c r="K144" s="118">
        <f>K143</f>
        <v>0</v>
      </c>
      <c r="L144" s="13"/>
      <c r="M144" s="13"/>
      <c r="N144" s="13"/>
    </row>
    <row r="145" spans="1:14" hidden="1" x14ac:dyDescent="0.25">
      <c r="A145" s="262" t="s">
        <v>65</v>
      </c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  <c r="L145" s="262"/>
      <c r="M145" s="262"/>
      <c r="N145" s="13"/>
    </row>
    <row r="146" spans="1:14" hidden="1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</row>
    <row r="147" spans="1:14" hidden="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</row>
    <row r="148" spans="1:14" hidden="1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</row>
    <row r="149" spans="1:14" hidden="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</row>
    <row r="150" spans="1:14" ht="60" hidden="1" x14ac:dyDescent="0.25">
      <c r="A150" s="197" t="s">
        <v>66</v>
      </c>
      <c r="B150" s="198"/>
      <c r="C150" s="198"/>
      <c r="D150" s="198"/>
      <c r="E150" s="199"/>
      <c r="F150" s="6" t="s">
        <v>7</v>
      </c>
      <c r="G150" s="6" t="s">
        <v>18</v>
      </c>
      <c r="H150" s="26" t="s">
        <v>22</v>
      </c>
      <c r="I150" s="6" t="s">
        <v>82</v>
      </c>
      <c r="J150" s="6" t="s">
        <v>102</v>
      </c>
      <c r="K150" s="6" t="s">
        <v>103</v>
      </c>
      <c r="L150" s="13"/>
      <c r="M150" s="13"/>
      <c r="N150" s="13"/>
    </row>
    <row r="151" spans="1:14" hidden="1" x14ac:dyDescent="0.25">
      <c r="A151" s="241">
        <v>1</v>
      </c>
      <c r="B151" s="242"/>
      <c r="C151" s="242"/>
      <c r="D151" s="242"/>
      <c r="E151" s="243"/>
      <c r="F151" s="26">
        <v>2</v>
      </c>
      <c r="G151" s="26">
        <v>3</v>
      </c>
      <c r="H151" s="26">
        <v>4</v>
      </c>
      <c r="I151" s="26">
        <v>5</v>
      </c>
      <c r="J151" s="99">
        <v>6</v>
      </c>
      <c r="K151" s="111">
        <v>7</v>
      </c>
      <c r="L151" s="13"/>
      <c r="M151" s="119"/>
      <c r="N151" s="13"/>
    </row>
    <row r="152" spans="1:14" hidden="1" x14ac:dyDescent="0.25">
      <c r="A152" s="249" t="s">
        <v>68</v>
      </c>
      <c r="B152" s="250"/>
      <c r="C152" s="250"/>
      <c r="D152" s="250"/>
      <c r="E152" s="251"/>
      <c r="F152" s="9" t="s">
        <v>31</v>
      </c>
      <c r="G152" s="12">
        <v>0</v>
      </c>
      <c r="H152" s="9"/>
      <c r="I152" s="9">
        <f>J57</f>
        <v>0</v>
      </c>
      <c r="J152" s="97"/>
      <c r="K152" s="13"/>
      <c r="L152" s="13"/>
      <c r="M152" s="113">
        <f>J152*H152</f>
        <v>0</v>
      </c>
      <c r="N152" s="13"/>
    </row>
    <row r="153" spans="1:14" hidden="1" x14ac:dyDescent="0.25">
      <c r="A153" s="249" t="s">
        <v>69</v>
      </c>
      <c r="B153" s="250"/>
      <c r="C153" s="250"/>
      <c r="D153" s="250"/>
      <c r="E153" s="251"/>
      <c r="F153" s="9" t="s">
        <v>31</v>
      </c>
      <c r="G153" s="12">
        <v>0</v>
      </c>
      <c r="H153" s="9"/>
      <c r="I153" s="9">
        <f>J57</f>
        <v>0</v>
      </c>
      <c r="J153" s="97"/>
      <c r="K153" s="13"/>
      <c r="L153" s="13"/>
      <c r="M153" s="9"/>
      <c r="N153" s="13"/>
    </row>
    <row r="154" spans="1:14" hidden="1" x14ac:dyDescent="0.25">
      <c r="A154" s="249" t="s">
        <v>70</v>
      </c>
      <c r="B154" s="250"/>
      <c r="C154" s="250"/>
      <c r="D154" s="250"/>
      <c r="E154" s="251"/>
      <c r="F154" s="9" t="s">
        <v>91</v>
      </c>
      <c r="G154" s="10"/>
      <c r="H154" s="9"/>
      <c r="I154" s="54"/>
      <c r="J154" s="12">
        <v>3260</v>
      </c>
      <c r="K154" s="120">
        <f>I154/J154</f>
        <v>0</v>
      </c>
      <c r="L154" s="13"/>
      <c r="M154" s="13"/>
      <c r="N154" s="13"/>
    </row>
    <row r="155" spans="1:14" ht="15.75" hidden="1" thickBot="1" x14ac:dyDescent="0.3">
      <c r="A155" s="34" t="s">
        <v>67</v>
      </c>
      <c r="B155" s="115"/>
      <c r="C155" s="115"/>
      <c r="D155" s="115"/>
      <c r="E155" s="115"/>
      <c r="F155" s="115"/>
      <c r="G155" s="115"/>
      <c r="H155" s="115"/>
      <c r="I155" s="116">
        <f>I154</f>
        <v>0</v>
      </c>
      <c r="J155" s="15"/>
      <c r="K155" s="20">
        <f>K154</f>
        <v>0</v>
      </c>
      <c r="L155" s="13"/>
      <c r="M155" s="13"/>
      <c r="N155" s="13"/>
    </row>
    <row r="156" spans="1:14" x14ac:dyDescent="0.25">
      <c r="A156" s="121"/>
      <c r="B156" s="121"/>
      <c r="C156" s="121"/>
      <c r="D156" s="121"/>
      <c r="E156" s="121"/>
      <c r="F156" s="121"/>
      <c r="G156" s="121"/>
      <c r="H156" s="121"/>
      <c r="I156" s="108"/>
      <c r="J156" s="122"/>
      <c r="K156" s="109"/>
      <c r="L156" s="13"/>
      <c r="M156" s="13"/>
      <c r="N156" s="13"/>
    </row>
    <row r="157" spans="1:14" x14ac:dyDescent="0.25">
      <c r="A157" s="239" t="s">
        <v>99</v>
      </c>
      <c r="B157" s="239"/>
      <c r="C157" s="239"/>
      <c r="D157" s="239"/>
      <c r="E157" s="239"/>
      <c r="F157" s="239"/>
      <c r="G157" s="239"/>
      <c r="H157" s="239"/>
      <c r="I157" s="239"/>
      <c r="J157" s="239"/>
      <c r="K157" s="239"/>
      <c r="L157" s="239"/>
      <c r="M157" s="13"/>
      <c r="N157" s="13"/>
    </row>
    <row r="158" spans="1:14" ht="60" x14ac:dyDescent="0.25">
      <c r="A158" s="197" t="s">
        <v>100</v>
      </c>
      <c r="B158" s="198"/>
      <c r="C158" s="198"/>
      <c r="D158" s="198"/>
      <c r="E158" s="199"/>
      <c r="F158" s="159" t="s">
        <v>7</v>
      </c>
      <c r="G158" s="159" t="s">
        <v>90</v>
      </c>
      <c r="H158" s="159" t="s">
        <v>71</v>
      </c>
      <c r="I158" s="159" t="s">
        <v>82</v>
      </c>
      <c r="J158" s="6" t="s">
        <v>102</v>
      </c>
      <c r="K158" s="6" t="s">
        <v>131</v>
      </c>
      <c r="L158" s="123"/>
      <c r="M158" s="13"/>
      <c r="N158" s="13"/>
    </row>
    <row r="159" spans="1:14" x14ac:dyDescent="0.25">
      <c r="A159" s="192" t="s">
        <v>158</v>
      </c>
      <c r="B159" s="192"/>
      <c r="C159" s="192"/>
      <c r="D159" s="192"/>
      <c r="E159" s="192"/>
      <c r="F159" s="36"/>
      <c r="G159" s="29">
        <v>70</v>
      </c>
      <c r="H159" s="45">
        <v>150</v>
      </c>
      <c r="I159" s="9">
        <f>3943.2*N4-0.0027</f>
        <v>216.8733</v>
      </c>
      <c r="J159" s="12">
        <v>57</v>
      </c>
      <c r="K159" s="158">
        <f>I159/J159</f>
        <v>3.8047947368421053</v>
      </c>
      <c r="L159" s="124"/>
      <c r="M159" s="13"/>
      <c r="N159" s="13"/>
    </row>
    <row r="160" spans="1:14" hidden="1" x14ac:dyDescent="0.25">
      <c r="A160" s="234"/>
      <c r="B160" s="235"/>
      <c r="C160" s="235"/>
      <c r="D160" s="235"/>
      <c r="E160" s="235"/>
      <c r="F160" s="235"/>
      <c r="G160" s="235"/>
      <c r="H160" s="235"/>
      <c r="I160" s="125"/>
      <c r="J160" s="125"/>
      <c r="K160" s="125"/>
      <c r="L160" s="124"/>
      <c r="M160" s="13"/>
      <c r="N160" s="13"/>
    </row>
    <row r="161" spans="1:14" hidden="1" x14ac:dyDescent="0.25">
      <c r="A161" s="203"/>
      <c r="B161" s="204"/>
      <c r="C161" s="204"/>
      <c r="D161" s="204"/>
      <c r="E161" s="205"/>
      <c r="F161" s="36"/>
      <c r="G161" s="36"/>
      <c r="H161" s="36"/>
      <c r="I161" s="7"/>
      <c r="J161" s="126"/>
      <c r="K161" s="158"/>
      <c r="L161" s="13"/>
      <c r="M161" s="13"/>
      <c r="N161" s="13"/>
    </row>
    <row r="162" spans="1:14" ht="15.75" thickBot="1" x14ac:dyDescent="0.3">
      <c r="A162" s="252" t="s">
        <v>94</v>
      </c>
      <c r="B162" s="252"/>
      <c r="C162" s="252"/>
      <c r="D162" s="252"/>
      <c r="E162" s="252"/>
      <c r="F162" s="253"/>
      <c r="G162" s="253"/>
      <c r="H162" s="254"/>
      <c r="I162" s="127">
        <f>I159+I161</f>
        <v>216.8733</v>
      </c>
      <c r="J162" s="128"/>
      <c r="K162" s="129">
        <f>K159+K161</f>
        <v>3.8047947368421053</v>
      </c>
      <c r="L162" s="13"/>
      <c r="M162" s="13"/>
      <c r="N162" s="13">
        <f>I162/88.1%</f>
        <v>246.16719636776392</v>
      </c>
    </row>
    <row r="163" spans="1:14" hidden="1" x14ac:dyDescent="0.25">
      <c r="A163" s="196" t="s">
        <v>41</v>
      </c>
      <c r="B163" s="196"/>
      <c r="C163" s="196"/>
      <c r="D163" s="196"/>
      <c r="E163" s="196"/>
      <c r="F163" s="18" t="s">
        <v>44</v>
      </c>
      <c r="G163" s="18">
        <v>0</v>
      </c>
      <c r="H163" s="111">
        <f>M86</f>
        <v>0</v>
      </c>
      <c r="I163" s="101">
        <f>J55</f>
        <v>0</v>
      </c>
      <c r="J163" s="101"/>
      <c r="K163" s="18"/>
      <c r="L163" s="18"/>
      <c r="M163" s="18"/>
      <c r="N163" s="3"/>
    </row>
    <row r="164" spans="1:14" hidden="1" x14ac:dyDescent="0.25">
      <c r="A164" s="196" t="s">
        <v>42</v>
      </c>
      <c r="B164" s="196"/>
      <c r="C164" s="196"/>
      <c r="D164" s="196"/>
      <c r="E164" s="196"/>
      <c r="F164" s="18" t="s">
        <v>44</v>
      </c>
      <c r="G164" s="18">
        <v>0</v>
      </c>
      <c r="H164" s="111">
        <f>M86</f>
        <v>0</v>
      </c>
      <c r="I164" s="101">
        <f>J55</f>
        <v>0</v>
      </c>
      <c r="J164" s="101"/>
      <c r="K164" s="18"/>
      <c r="L164" s="18"/>
      <c r="M164" s="18"/>
      <c r="N164" s="3"/>
    </row>
    <row r="165" spans="1:14" hidden="1" x14ac:dyDescent="0.25">
      <c r="A165" s="236" t="s">
        <v>45</v>
      </c>
      <c r="B165" s="237"/>
      <c r="C165" s="237"/>
      <c r="D165" s="237"/>
      <c r="E165" s="237"/>
      <c r="F165" s="237"/>
      <c r="G165" s="237"/>
      <c r="H165" s="237"/>
      <c r="I165" s="237"/>
      <c r="J165" s="237"/>
      <c r="K165" s="237"/>
      <c r="L165" s="238"/>
      <c r="M165" s="114">
        <f>M162+M163+M164</f>
        <v>0</v>
      </c>
      <c r="N165" s="3"/>
    </row>
    <row r="166" spans="1:14" hidden="1" x14ac:dyDescent="0.25">
      <c r="A166" s="86"/>
      <c r="B166" s="8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3"/>
    </row>
    <row r="167" spans="1:14" hidden="1" x14ac:dyDescent="0.25">
      <c r="A167" s="263" t="s">
        <v>93</v>
      </c>
      <c r="B167" s="264"/>
      <c r="C167" s="264"/>
      <c r="D167" s="264"/>
      <c r="E167" s="264"/>
      <c r="F167" s="264"/>
      <c r="G167" s="264"/>
      <c r="H167" s="264"/>
      <c r="I167" s="264"/>
      <c r="J167" s="264"/>
      <c r="K167" s="264"/>
      <c r="L167" s="264"/>
      <c r="M167" s="13"/>
      <c r="N167" s="3"/>
    </row>
    <row r="168" spans="1:14" hidden="1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3"/>
    </row>
    <row r="169" spans="1:14" ht="75" hidden="1" x14ac:dyDescent="0.25">
      <c r="A169" s="197" t="s">
        <v>66</v>
      </c>
      <c r="B169" s="198"/>
      <c r="C169" s="198"/>
      <c r="D169" s="198"/>
      <c r="E169" s="199"/>
      <c r="F169" s="6" t="s">
        <v>7</v>
      </c>
      <c r="G169" s="6" t="s">
        <v>18</v>
      </c>
      <c r="H169" s="26" t="s">
        <v>22</v>
      </c>
      <c r="I169" s="6" t="s">
        <v>82</v>
      </c>
      <c r="J169" s="26" t="s">
        <v>78</v>
      </c>
      <c r="K169" s="26" t="s">
        <v>73</v>
      </c>
      <c r="L169" s="13"/>
      <c r="M169" s="13"/>
      <c r="N169" s="3"/>
    </row>
    <row r="170" spans="1:14" hidden="1" x14ac:dyDescent="0.25">
      <c r="A170" s="241">
        <v>1</v>
      </c>
      <c r="B170" s="242"/>
      <c r="C170" s="242"/>
      <c r="D170" s="242"/>
      <c r="E170" s="243"/>
      <c r="F170" s="26">
        <v>2</v>
      </c>
      <c r="G170" s="26">
        <v>3</v>
      </c>
      <c r="H170" s="26">
        <v>4</v>
      </c>
      <c r="I170" s="26">
        <v>5</v>
      </c>
      <c r="J170" s="99">
        <v>6</v>
      </c>
      <c r="K170" s="111">
        <v>7</v>
      </c>
      <c r="L170" s="13"/>
      <c r="M170" s="13"/>
      <c r="N170" s="3"/>
    </row>
    <row r="171" spans="1:14" hidden="1" x14ac:dyDescent="0.25">
      <c r="A171" s="249" t="s">
        <v>95</v>
      </c>
      <c r="B171" s="250"/>
      <c r="C171" s="250"/>
      <c r="D171" s="250"/>
      <c r="E171" s="251"/>
      <c r="F171" s="9"/>
      <c r="G171" s="12"/>
      <c r="H171" s="9"/>
      <c r="I171" s="9"/>
      <c r="J171" s="12">
        <v>30</v>
      </c>
      <c r="K171" s="36">
        <f>I171/J171</f>
        <v>0</v>
      </c>
      <c r="L171" s="13"/>
      <c r="M171" s="13"/>
      <c r="N171" s="3"/>
    </row>
    <row r="172" spans="1:14" ht="15.75" hidden="1" thickBot="1" x14ac:dyDescent="0.3">
      <c r="A172" s="34" t="s">
        <v>94</v>
      </c>
      <c r="B172" s="115"/>
      <c r="C172" s="115"/>
      <c r="D172" s="115"/>
      <c r="E172" s="115"/>
      <c r="F172" s="115"/>
      <c r="G172" s="115"/>
      <c r="H172" s="115"/>
      <c r="I172" s="116">
        <f>I171</f>
        <v>0</v>
      </c>
      <c r="J172" s="117"/>
      <c r="K172" s="118">
        <f>K171</f>
        <v>0</v>
      </c>
      <c r="L172" s="13"/>
      <c r="M172" s="13"/>
      <c r="N172" s="3"/>
    </row>
    <row r="173" spans="1:14" hidden="1" x14ac:dyDescent="0.25">
      <c r="A173" s="262" t="s">
        <v>65</v>
      </c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  <c r="M173" s="262"/>
      <c r="N173" s="3"/>
    </row>
    <row r="174" spans="1:14" hidden="1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3"/>
    </row>
    <row r="175" spans="1:14" hidden="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3"/>
    </row>
    <row r="176" spans="1:14" hidden="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3"/>
    </row>
    <row r="177" spans="1:14" hidden="1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3"/>
    </row>
    <row r="178" spans="1:14" ht="60" hidden="1" x14ac:dyDescent="0.25">
      <c r="A178" s="197" t="s">
        <v>66</v>
      </c>
      <c r="B178" s="198"/>
      <c r="C178" s="198"/>
      <c r="D178" s="198"/>
      <c r="E178" s="199"/>
      <c r="F178" s="6" t="s">
        <v>7</v>
      </c>
      <c r="G178" s="6" t="s">
        <v>18</v>
      </c>
      <c r="H178" s="26" t="s">
        <v>22</v>
      </c>
      <c r="I178" s="6" t="s">
        <v>82</v>
      </c>
      <c r="J178" s="6" t="s">
        <v>102</v>
      </c>
      <c r="K178" s="6" t="s">
        <v>103</v>
      </c>
      <c r="L178" s="13"/>
      <c r="M178" s="13"/>
      <c r="N178" s="3"/>
    </row>
    <row r="179" spans="1:14" hidden="1" x14ac:dyDescent="0.25">
      <c r="A179" s="241">
        <v>1</v>
      </c>
      <c r="B179" s="242"/>
      <c r="C179" s="242"/>
      <c r="D179" s="242"/>
      <c r="E179" s="243"/>
      <c r="F179" s="26">
        <v>2</v>
      </c>
      <c r="G179" s="26">
        <v>3</v>
      </c>
      <c r="H179" s="26">
        <v>4</v>
      </c>
      <c r="I179" s="26">
        <v>5</v>
      </c>
      <c r="J179" s="99">
        <v>6</v>
      </c>
      <c r="K179" s="111">
        <v>7</v>
      </c>
      <c r="L179" s="13"/>
      <c r="M179" s="119"/>
      <c r="N179" s="3"/>
    </row>
    <row r="180" spans="1:14" hidden="1" x14ac:dyDescent="0.25">
      <c r="A180" s="249" t="s">
        <v>68</v>
      </c>
      <c r="B180" s="250"/>
      <c r="C180" s="250"/>
      <c r="D180" s="250"/>
      <c r="E180" s="251"/>
      <c r="F180" s="9" t="s">
        <v>31</v>
      </c>
      <c r="G180" s="12">
        <v>0</v>
      </c>
      <c r="H180" s="9"/>
      <c r="I180" s="9">
        <f>J55</f>
        <v>0</v>
      </c>
      <c r="J180" s="97"/>
      <c r="K180" s="13"/>
      <c r="L180" s="13"/>
      <c r="M180" s="113">
        <f>J180*H180</f>
        <v>0</v>
      </c>
      <c r="N180" s="3"/>
    </row>
    <row r="181" spans="1:14" hidden="1" x14ac:dyDescent="0.25">
      <c r="A181" s="249" t="s">
        <v>69</v>
      </c>
      <c r="B181" s="250"/>
      <c r="C181" s="250"/>
      <c r="D181" s="250"/>
      <c r="E181" s="251"/>
      <c r="F181" s="9" t="s">
        <v>31</v>
      </c>
      <c r="G181" s="12">
        <v>0</v>
      </c>
      <c r="H181" s="9"/>
      <c r="I181" s="9">
        <f>J55</f>
        <v>0</v>
      </c>
      <c r="J181" s="97"/>
      <c r="K181" s="13"/>
      <c r="L181" s="13"/>
      <c r="M181" s="9"/>
      <c r="N181" s="3"/>
    </row>
    <row r="182" spans="1:14" hidden="1" x14ac:dyDescent="0.25">
      <c r="A182" s="249" t="s">
        <v>70</v>
      </c>
      <c r="B182" s="250"/>
      <c r="C182" s="250"/>
      <c r="D182" s="250"/>
      <c r="E182" s="251"/>
      <c r="F182" s="9" t="s">
        <v>91</v>
      </c>
      <c r="G182" s="10"/>
      <c r="H182" s="9"/>
      <c r="I182" s="54"/>
      <c r="J182" s="12">
        <v>3260</v>
      </c>
      <c r="K182" s="120">
        <f>I182/J182</f>
        <v>0</v>
      </c>
      <c r="L182" s="13"/>
      <c r="M182" s="13"/>
      <c r="N182" s="3"/>
    </row>
    <row r="183" spans="1:14" ht="15.75" hidden="1" thickBot="1" x14ac:dyDescent="0.3">
      <c r="A183" s="34" t="s">
        <v>67</v>
      </c>
      <c r="B183" s="115"/>
      <c r="C183" s="115"/>
      <c r="D183" s="115"/>
      <c r="E183" s="115"/>
      <c r="F183" s="115"/>
      <c r="G183" s="115"/>
      <c r="H183" s="115"/>
      <c r="I183" s="116">
        <f>I182</f>
        <v>0</v>
      </c>
      <c r="J183" s="15"/>
      <c r="K183" s="20">
        <f>K182</f>
        <v>0</v>
      </c>
      <c r="L183" s="13"/>
      <c r="M183" s="13"/>
      <c r="N183" s="3"/>
    </row>
    <row r="184" spans="1:14" x14ac:dyDescent="0.25">
      <c r="A184" s="121"/>
      <c r="B184" s="121"/>
      <c r="C184" s="121"/>
      <c r="D184" s="121"/>
      <c r="E184" s="121"/>
      <c r="F184" s="121"/>
      <c r="G184" s="121"/>
      <c r="H184" s="121"/>
      <c r="I184" s="108"/>
      <c r="J184" s="122"/>
      <c r="K184" s="109"/>
      <c r="L184" s="13"/>
      <c r="M184" s="13"/>
      <c r="N184" s="3"/>
    </row>
    <row r="185" spans="1:14" x14ac:dyDescent="0.25">
      <c r="A185" s="149"/>
      <c r="B185" s="149"/>
      <c r="C185" s="149"/>
      <c r="D185" s="149"/>
      <c r="E185" s="149"/>
      <c r="F185" s="149"/>
      <c r="G185" s="149"/>
      <c r="H185" s="149"/>
      <c r="I185" s="65"/>
      <c r="J185" s="150"/>
      <c r="K185" s="151"/>
      <c r="L185" s="13"/>
      <c r="M185" s="13"/>
      <c r="N185" s="3"/>
    </row>
    <row r="186" spans="1:14" x14ac:dyDescent="0.25">
      <c r="A186" s="255" t="s">
        <v>132</v>
      </c>
      <c r="B186" s="255"/>
      <c r="C186" s="255"/>
      <c r="D186" s="255"/>
      <c r="E186" s="255"/>
      <c r="F186" s="255"/>
      <c r="G186" s="255"/>
      <c r="H186" s="255"/>
      <c r="I186" s="255"/>
      <c r="J186" s="255"/>
      <c r="K186" s="255"/>
      <c r="L186" s="239"/>
      <c r="M186" s="13"/>
      <c r="N186" s="4"/>
    </row>
    <row r="187" spans="1:14" ht="60" x14ac:dyDescent="0.25">
      <c r="A187" s="206" t="s">
        <v>130</v>
      </c>
      <c r="B187" s="206"/>
      <c r="C187" s="206"/>
      <c r="D187" s="206"/>
      <c r="E187" s="206"/>
      <c r="F187" s="44" t="s">
        <v>7</v>
      </c>
      <c r="G187" s="44" t="s">
        <v>90</v>
      </c>
      <c r="H187" s="44" t="s">
        <v>71</v>
      </c>
      <c r="I187" s="44" t="s">
        <v>82</v>
      </c>
      <c r="J187" s="6" t="s">
        <v>102</v>
      </c>
      <c r="K187" s="6" t="s">
        <v>131</v>
      </c>
      <c r="L187" s="123"/>
      <c r="M187" s="13"/>
      <c r="N187" s="4"/>
    </row>
    <row r="188" spans="1:14" s="308" customFormat="1" ht="28.5" customHeight="1" x14ac:dyDescent="0.25">
      <c r="A188" s="298" t="s">
        <v>136</v>
      </c>
      <c r="B188" s="299"/>
      <c r="C188" s="299"/>
      <c r="D188" s="299"/>
      <c r="E188" s="300"/>
      <c r="F188" s="301" t="s">
        <v>44</v>
      </c>
      <c r="G188" s="302"/>
      <c r="H188" s="302"/>
      <c r="I188" s="303">
        <v>136250</v>
      </c>
      <c r="J188" s="304">
        <v>57</v>
      </c>
      <c r="K188" s="305">
        <f>I188/J188</f>
        <v>2390.3508771929824</v>
      </c>
      <c r="L188" s="306"/>
      <c r="M188" s="307"/>
      <c r="N188" s="307"/>
    </row>
    <row r="189" spans="1:14" s="308" customFormat="1" ht="22.5" customHeight="1" thickBot="1" x14ac:dyDescent="0.3">
      <c r="A189" s="298" t="s">
        <v>150</v>
      </c>
      <c r="B189" s="299"/>
      <c r="C189" s="299"/>
      <c r="D189" s="299"/>
      <c r="E189" s="300"/>
      <c r="F189" s="301" t="s">
        <v>44</v>
      </c>
      <c r="G189" s="309"/>
      <c r="H189" s="310"/>
      <c r="I189" s="311">
        <v>10750</v>
      </c>
      <c r="J189" s="304">
        <v>57</v>
      </c>
      <c r="K189" s="305">
        <f>I189/J189</f>
        <v>188.59649122807016</v>
      </c>
      <c r="L189" s="312"/>
      <c r="M189" s="307"/>
      <c r="N189" s="307"/>
    </row>
    <row r="190" spans="1:14" ht="15.75" thickBot="1" x14ac:dyDescent="0.3">
      <c r="A190" s="234"/>
      <c r="B190" s="235"/>
      <c r="C190" s="235"/>
      <c r="D190" s="235"/>
      <c r="E190" s="235"/>
      <c r="F190" s="235"/>
      <c r="G190" s="235"/>
      <c r="H190" s="266"/>
      <c r="I190" s="46">
        <f>I188+I189</f>
        <v>147000</v>
      </c>
      <c r="J190" s="47"/>
      <c r="K190" s="35">
        <f>K188+K189</f>
        <v>2578.9473684210525</v>
      </c>
      <c r="L190" s="135"/>
      <c r="M190" s="13"/>
      <c r="N190" s="4"/>
    </row>
    <row r="191" spans="1:14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4"/>
    </row>
    <row r="192" spans="1:14" x14ac:dyDescent="0.25">
      <c r="A192" s="86"/>
      <c r="B192" s="86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6"/>
      <c r="N192" s="4"/>
    </row>
    <row r="193" spans="1:14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3"/>
    </row>
    <row r="194" spans="1:14" x14ac:dyDescent="0.25">
      <c r="A194" s="218" t="s">
        <v>46</v>
      </c>
      <c r="B194" s="218"/>
      <c r="C194" s="218"/>
      <c r="D194" s="218"/>
      <c r="E194" s="218"/>
      <c r="F194" s="218"/>
      <c r="G194" s="218"/>
      <c r="H194" s="218"/>
      <c r="I194" s="218"/>
      <c r="J194" s="218"/>
      <c r="K194" s="218"/>
      <c r="L194" s="218"/>
      <c r="M194" s="218"/>
      <c r="N194" s="3"/>
    </row>
    <row r="195" spans="1:14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3"/>
    </row>
    <row r="196" spans="1:14" ht="47.25" customHeight="1" x14ac:dyDescent="0.25">
      <c r="A196" s="185" t="s">
        <v>47</v>
      </c>
      <c r="B196" s="185"/>
      <c r="C196" s="185"/>
      <c r="D196" s="197" t="s">
        <v>48</v>
      </c>
      <c r="E196" s="198"/>
      <c r="F196" s="198"/>
      <c r="G196" s="198"/>
      <c r="H196" s="198"/>
      <c r="I196" s="198"/>
      <c r="J196" s="198"/>
      <c r="K196" s="199"/>
      <c r="L196" s="185" t="s">
        <v>58</v>
      </c>
      <c r="M196" s="185"/>
      <c r="N196" s="3"/>
    </row>
    <row r="197" spans="1:14" ht="30" x14ac:dyDescent="0.25">
      <c r="A197" s="36" t="s">
        <v>49</v>
      </c>
      <c r="B197" s="6" t="s">
        <v>50</v>
      </c>
      <c r="C197" s="36" t="s">
        <v>51</v>
      </c>
      <c r="D197" s="36" t="s">
        <v>52</v>
      </c>
      <c r="E197" s="36" t="s">
        <v>53</v>
      </c>
      <c r="F197" s="36" t="s">
        <v>133</v>
      </c>
      <c r="G197" s="36" t="s">
        <v>54</v>
      </c>
      <c r="H197" s="36" t="s">
        <v>55</v>
      </c>
      <c r="I197" s="36" t="s">
        <v>56</v>
      </c>
      <c r="J197" s="36" t="s">
        <v>96</v>
      </c>
      <c r="K197" s="36" t="s">
        <v>57</v>
      </c>
      <c r="L197" s="185"/>
      <c r="M197" s="185"/>
      <c r="N197" s="3"/>
    </row>
    <row r="198" spans="1:14" x14ac:dyDescent="0.25">
      <c r="A198" s="9">
        <f>K57</f>
        <v>5196.0226315789469</v>
      </c>
      <c r="B198" s="9"/>
      <c r="C198" s="9"/>
      <c r="D198" s="9">
        <f>K71</f>
        <v>426.79039912280689</v>
      </c>
      <c r="E198" s="9">
        <f>K82</f>
        <v>83.787385964912261</v>
      </c>
      <c r="F198" s="9">
        <f>K190</f>
        <v>2578.9473684210525</v>
      </c>
      <c r="G198" s="9">
        <f>L96</f>
        <v>58.74636842105263</v>
      </c>
      <c r="H198" s="9">
        <v>0</v>
      </c>
      <c r="I198" s="9">
        <f>K129</f>
        <v>3397.3992982456143</v>
      </c>
      <c r="J198" s="9">
        <f>K162</f>
        <v>3.8047947368421053</v>
      </c>
      <c r="K198" s="7">
        <f>J90</f>
        <v>63.684210526315795</v>
      </c>
      <c r="L198" s="247">
        <f>SUM(A198:K198)</f>
        <v>11809.182457017541</v>
      </c>
      <c r="M198" s="248"/>
      <c r="N198" s="4"/>
    </row>
    <row r="199" spans="1:14" ht="15.75" thickBot="1" x14ac:dyDescent="0.3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3"/>
    </row>
    <row r="200" spans="1:14" ht="15.75" thickBot="1" x14ac:dyDescent="0.3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N200" s="43">
        <f>L198*57</f>
        <v>673123.40004999982</v>
      </c>
    </row>
    <row r="201" spans="1:14" ht="15.75" thickBot="1" x14ac:dyDescent="0.3">
      <c r="A201" s="87" t="s">
        <v>104</v>
      </c>
      <c r="B201" s="87"/>
      <c r="C201" s="87"/>
      <c r="D201" s="13"/>
      <c r="E201" s="13"/>
      <c r="F201" s="13"/>
      <c r="G201" s="13"/>
      <c r="H201" s="13"/>
      <c r="I201" s="13"/>
      <c r="J201" s="86"/>
      <c r="K201" s="42">
        <f>I190+I162+I129+J96+H90+I82+I71+I57</f>
        <v>673123.40004999994</v>
      </c>
      <c r="L201" s="13"/>
      <c r="M201" s="13"/>
      <c r="N201" s="3"/>
    </row>
    <row r="202" spans="1:14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86"/>
      <c r="L202" s="13"/>
      <c r="M202" s="13"/>
      <c r="N202" s="3"/>
    </row>
    <row r="203" spans="1:14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8"/>
      <c r="L203" s="13"/>
      <c r="M203" s="13"/>
      <c r="N203" s="3"/>
    </row>
    <row r="204" spans="1:14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3"/>
    </row>
    <row r="205" spans="1:14" ht="18.75" x14ac:dyDescent="0.3">
      <c r="A205" s="139" t="s">
        <v>105</v>
      </c>
      <c r="B205" s="139"/>
      <c r="C205" s="139"/>
      <c r="G205" s="139" t="s">
        <v>163</v>
      </c>
      <c r="K205" s="140"/>
    </row>
    <row r="209" spans="1:11" ht="15.75" x14ac:dyDescent="0.25">
      <c r="A209" s="74" t="s">
        <v>72</v>
      </c>
      <c r="B209" s="74"/>
    </row>
    <row r="210" spans="1:11" ht="15.75" x14ac:dyDescent="0.25">
      <c r="A210" s="74" t="s">
        <v>159</v>
      </c>
      <c r="B210" s="74"/>
    </row>
    <row r="211" spans="1:11" ht="15.75" x14ac:dyDescent="0.25">
      <c r="A211" s="74" t="s">
        <v>160</v>
      </c>
      <c r="C211" s="74"/>
    </row>
    <row r="213" spans="1:11" x14ac:dyDescent="0.25">
      <c r="I213" s="138">
        <f>I162+I129+J96+H90+I82+I71+I57</f>
        <v>526123.40005000005</v>
      </c>
      <c r="K213" s="140" t="e">
        <f>#REF!+I157+J123+H117+I104+I94+I55</f>
        <v>#REF!</v>
      </c>
    </row>
    <row r="214" spans="1:11" ht="18.75" x14ac:dyDescent="0.3">
      <c r="I214" s="296">
        <f>I213/N4</f>
        <v>9565880.0009090919</v>
      </c>
    </row>
    <row r="215" spans="1:11" ht="15.75" x14ac:dyDescent="0.25">
      <c r="C215" s="74"/>
      <c r="K215" s="78" t="e">
        <f>K213/5.6%</f>
        <v>#REF!</v>
      </c>
    </row>
    <row r="216" spans="1:11" ht="15.75" x14ac:dyDescent="0.25">
      <c r="A216" s="141"/>
      <c r="B216" s="141"/>
      <c r="C216" s="141"/>
    </row>
    <row r="218" spans="1:11" x14ac:dyDescent="0.25">
      <c r="I218" s="140"/>
    </row>
  </sheetData>
  <mergeCells count="183">
    <mergeCell ref="A196:C196"/>
    <mergeCell ref="D196:K196"/>
    <mergeCell ref="L196:M197"/>
    <mergeCell ref="L198:M198"/>
    <mergeCell ref="A15:M15"/>
    <mergeCell ref="A187:E187"/>
    <mergeCell ref="A188:E188"/>
    <mergeCell ref="A189:E189"/>
    <mergeCell ref="A190:H190"/>
    <mergeCell ref="A194:M194"/>
    <mergeCell ref="A186:L186"/>
    <mergeCell ref="A173:M173"/>
    <mergeCell ref="A178:E178"/>
    <mergeCell ref="A179:E179"/>
    <mergeCell ref="A180:E180"/>
    <mergeCell ref="A181:E181"/>
    <mergeCell ref="A182:E182"/>
    <mergeCell ref="A164:E164"/>
    <mergeCell ref="A165:L165"/>
    <mergeCell ref="A167:L167"/>
    <mergeCell ref="A169:E169"/>
    <mergeCell ref="A170:E170"/>
    <mergeCell ref="A171:E171"/>
    <mergeCell ref="A161:E161"/>
    <mergeCell ref="A163:E163"/>
    <mergeCell ref="A157:L157"/>
    <mergeCell ref="A158:E158"/>
    <mergeCell ref="A159:E159"/>
    <mergeCell ref="A160:H160"/>
    <mergeCell ref="A162:H162"/>
    <mergeCell ref="A150:E150"/>
    <mergeCell ref="A151:E151"/>
    <mergeCell ref="A152:E152"/>
    <mergeCell ref="A153:E153"/>
    <mergeCell ref="A154:E154"/>
    <mergeCell ref="A145:M145"/>
    <mergeCell ref="A141:E141"/>
    <mergeCell ref="A142:E142"/>
    <mergeCell ref="A143:E143"/>
    <mergeCell ref="A133:E133"/>
    <mergeCell ref="A134:E134"/>
    <mergeCell ref="A135:E135"/>
    <mergeCell ref="A136:E136"/>
    <mergeCell ref="A137:L137"/>
    <mergeCell ref="A139:L139"/>
    <mergeCell ref="A131:M131"/>
    <mergeCell ref="A109:E109"/>
    <mergeCell ref="A110:E110"/>
    <mergeCell ref="A111:E111"/>
    <mergeCell ref="A112:E112"/>
    <mergeCell ref="A113:E113"/>
    <mergeCell ref="A115:E115"/>
    <mergeCell ref="A103:E103"/>
    <mergeCell ref="A108:E108"/>
    <mergeCell ref="A123:E123"/>
    <mergeCell ref="A129:E129"/>
    <mergeCell ref="A116:E116"/>
    <mergeCell ref="A117:E117"/>
    <mergeCell ref="A120:E120"/>
    <mergeCell ref="A121:E121"/>
    <mergeCell ref="A122:E122"/>
    <mergeCell ref="A118:E118"/>
    <mergeCell ref="A119:E119"/>
    <mergeCell ref="A124:E124"/>
    <mergeCell ref="A125:E125"/>
    <mergeCell ref="A126:E126"/>
    <mergeCell ref="A127:E127"/>
    <mergeCell ref="A128:E128"/>
    <mergeCell ref="A102:E102"/>
    <mergeCell ref="A99:M99"/>
    <mergeCell ref="A101:E101"/>
    <mergeCell ref="A104:E104"/>
    <mergeCell ref="A105:E105"/>
    <mergeCell ref="A106:E106"/>
    <mergeCell ref="A107:E107"/>
    <mergeCell ref="A114:E114"/>
    <mergeCell ref="A93:E93"/>
    <mergeCell ref="A95:E95"/>
    <mergeCell ref="A96:E96"/>
    <mergeCell ref="F96:I96"/>
    <mergeCell ref="A84:M84"/>
    <mergeCell ref="A88:E88"/>
    <mergeCell ref="A89:E89"/>
    <mergeCell ref="A90:E90"/>
    <mergeCell ref="A94:E94"/>
    <mergeCell ref="A86:E86"/>
    <mergeCell ref="A87:E87"/>
    <mergeCell ref="A92:N92"/>
    <mergeCell ref="A77:E77"/>
    <mergeCell ref="A78:E78"/>
    <mergeCell ref="A80:E80"/>
    <mergeCell ref="A81:E81"/>
    <mergeCell ref="A71:E71"/>
    <mergeCell ref="A75:E75"/>
    <mergeCell ref="A76:E76"/>
    <mergeCell ref="A73:M73"/>
    <mergeCell ref="A65:E65"/>
    <mergeCell ref="A66:E66"/>
    <mergeCell ref="A67:E67"/>
    <mergeCell ref="A68:E68"/>
    <mergeCell ref="A69:E69"/>
    <mergeCell ref="A70:E70"/>
    <mergeCell ref="A55:E55"/>
    <mergeCell ref="A64:E64"/>
    <mergeCell ref="A56:E56"/>
    <mergeCell ref="A57:E57"/>
    <mergeCell ref="A60:M60"/>
    <mergeCell ref="A62:L62"/>
    <mergeCell ref="A50:E50"/>
    <mergeCell ref="A51:E51"/>
    <mergeCell ref="A52:E52"/>
    <mergeCell ref="A53:E53"/>
    <mergeCell ref="A54:E54"/>
    <mergeCell ref="A43:E43"/>
    <mergeCell ref="G43:L43"/>
    <mergeCell ref="A44:E44"/>
    <mergeCell ref="G44:L44"/>
    <mergeCell ref="A45:E45"/>
    <mergeCell ref="G45:L45"/>
    <mergeCell ref="A49:M49"/>
    <mergeCell ref="A40:E40"/>
    <mergeCell ref="G40:L40"/>
    <mergeCell ref="A41:E41"/>
    <mergeCell ref="G41:L41"/>
    <mergeCell ref="A42:E42"/>
    <mergeCell ref="G42:L42"/>
    <mergeCell ref="A37:E37"/>
    <mergeCell ref="G37:L37"/>
    <mergeCell ref="A38:E38"/>
    <mergeCell ref="G38:L38"/>
    <mergeCell ref="A39:E39"/>
    <mergeCell ref="G39:L39"/>
    <mergeCell ref="A34:E34"/>
    <mergeCell ref="G34:L34"/>
    <mergeCell ref="A35:E35"/>
    <mergeCell ref="G35:L35"/>
    <mergeCell ref="A36:E36"/>
    <mergeCell ref="G36:L36"/>
    <mergeCell ref="A32:E32"/>
    <mergeCell ref="G32:L32"/>
    <mergeCell ref="A33:E33"/>
    <mergeCell ref="G33:L33"/>
    <mergeCell ref="G19:L19"/>
    <mergeCell ref="A20:E20"/>
    <mergeCell ref="G20:L20"/>
    <mergeCell ref="A27:E27"/>
    <mergeCell ref="G27:L27"/>
    <mergeCell ref="A28:E28"/>
    <mergeCell ref="A29:E29"/>
    <mergeCell ref="A30:E30"/>
    <mergeCell ref="G30:L30"/>
    <mergeCell ref="A24:E24"/>
    <mergeCell ref="G24:L24"/>
    <mergeCell ref="A25:E25"/>
    <mergeCell ref="G25:L25"/>
    <mergeCell ref="A26:E26"/>
    <mergeCell ref="G26:L26"/>
    <mergeCell ref="G28:L28"/>
    <mergeCell ref="A21:E21"/>
    <mergeCell ref="G21:L21"/>
    <mergeCell ref="A2:D2"/>
    <mergeCell ref="E2:H2"/>
    <mergeCell ref="A3:B3"/>
    <mergeCell ref="E3:F3"/>
    <mergeCell ref="A4:C4"/>
    <mergeCell ref="E4:G4"/>
    <mergeCell ref="I4:L4"/>
    <mergeCell ref="A31:E31"/>
    <mergeCell ref="G31:L31"/>
    <mergeCell ref="A22:E22"/>
    <mergeCell ref="G22:L22"/>
    <mergeCell ref="A23:E23"/>
    <mergeCell ref="G23:L23"/>
    <mergeCell ref="A18:E18"/>
    <mergeCell ref="G18:L18"/>
    <mergeCell ref="A19:E19"/>
    <mergeCell ref="A6:C6"/>
    <mergeCell ref="E6:G6"/>
    <mergeCell ref="A8:G8"/>
    <mergeCell ref="A9:H9"/>
    <mergeCell ref="A13:M13"/>
    <mergeCell ref="A17:E17"/>
    <mergeCell ref="G17:L17"/>
  </mergeCells>
  <pageMargins left="0.70866141732283472" right="0.70866141732283472" top="0.15" bottom="0.23" header="0.15" footer="0.15"/>
  <pageSetup paperSize="9" scale="6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7"/>
  <sheetViews>
    <sheetView view="pageBreakPreview" topLeftCell="A169" zoomScale="60" zoomScaleNormal="50" workbookViewId="0">
      <selection activeCell="A179" sqref="A179:XFD179"/>
    </sheetView>
  </sheetViews>
  <sheetFormatPr defaultRowHeight="15" x14ac:dyDescent="0.25"/>
  <cols>
    <col min="1" max="1" width="12.7109375" style="78" customWidth="1"/>
    <col min="2" max="2" width="10.42578125" style="78" customWidth="1"/>
    <col min="3" max="3" width="9.140625" style="78"/>
    <col min="4" max="4" width="15.5703125" style="78" customWidth="1"/>
    <col min="5" max="5" width="24.7109375" style="78" customWidth="1"/>
    <col min="6" max="6" width="16.42578125" style="78" customWidth="1"/>
    <col min="7" max="7" width="13.85546875" style="78" customWidth="1"/>
    <col min="8" max="8" width="17.42578125" style="78" customWidth="1"/>
    <col min="9" max="9" width="18.85546875" style="78" customWidth="1"/>
    <col min="10" max="10" width="15.140625" style="78" customWidth="1"/>
    <col min="11" max="11" width="13.85546875" style="78" customWidth="1"/>
    <col min="12" max="12" width="16" style="78" customWidth="1"/>
    <col min="13" max="13" width="13.140625" style="78" customWidth="1"/>
    <col min="14" max="14" width="16.140625" customWidth="1"/>
  </cols>
  <sheetData>
    <row r="2" spans="1:14" ht="15.75" x14ac:dyDescent="0.25">
      <c r="A2" s="186"/>
      <c r="B2" s="186"/>
      <c r="C2" s="186"/>
      <c r="D2" s="186"/>
      <c r="E2" s="186"/>
      <c r="F2" s="186"/>
      <c r="G2" s="186"/>
      <c r="H2" s="186"/>
    </row>
    <row r="3" spans="1:14" ht="15.75" x14ac:dyDescent="0.25">
      <c r="A3" s="186"/>
      <c r="B3" s="186"/>
      <c r="C3" s="75"/>
      <c r="D3" s="75"/>
      <c r="E3" s="186"/>
      <c r="F3" s="186"/>
      <c r="G3" s="75"/>
      <c r="H3" s="75"/>
    </row>
    <row r="4" spans="1:14" ht="40.5" customHeight="1" x14ac:dyDescent="0.25">
      <c r="A4" s="187"/>
      <c r="B4" s="187"/>
      <c r="C4" s="187"/>
      <c r="D4" s="76"/>
      <c r="E4" s="187"/>
      <c r="F4" s="187"/>
      <c r="G4" s="187"/>
      <c r="H4" s="74"/>
      <c r="J4" s="187" t="s">
        <v>155</v>
      </c>
      <c r="K4" s="188"/>
      <c r="L4" s="188"/>
      <c r="M4" s="188"/>
      <c r="N4" s="171">
        <v>2.41E-2</v>
      </c>
    </row>
    <row r="5" spans="1:14" ht="15.75" x14ac:dyDescent="0.25">
      <c r="A5" s="76"/>
      <c r="B5" s="76"/>
      <c r="C5" s="76"/>
      <c r="D5" s="74"/>
      <c r="E5" s="76"/>
      <c r="F5" s="76"/>
      <c r="G5" s="76"/>
      <c r="H5" s="74"/>
    </row>
    <row r="6" spans="1:14" ht="15.75" x14ac:dyDescent="0.25">
      <c r="A6" s="182"/>
      <c r="B6" s="182"/>
      <c r="C6" s="182"/>
      <c r="D6" s="74"/>
      <c r="E6" s="182"/>
      <c r="F6" s="182"/>
      <c r="G6" s="182"/>
      <c r="H6" s="74"/>
    </row>
    <row r="7" spans="1:14" x14ac:dyDescent="0.25">
      <c r="A7" s="77"/>
      <c r="B7" s="77"/>
      <c r="C7" s="77"/>
      <c r="D7" s="77"/>
      <c r="E7" s="77"/>
      <c r="F7" s="77"/>
      <c r="G7" s="77"/>
      <c r="H7" s="77"/>
    </row>
    <row r="8" spans="1:14" ht="15.75" x14ac:dyDescent="0.25">
      <c r="A8" s="183" t="s">
        <v>101</v>
      </c>
      <c r="B8" s="184"/>
      <c r="C8" s="184"/>
      <c r="D8" s="184"/>
      <c r="E8" s="184"/>
      <c r="F8" s="184"/>
      <c r="G8" s="184"/>
      <c r="H8" s="77"/>
    </row>
    <row r="9" spans="1:14" ht="15.75" x14ac:dyDescent="0.25">
      <c r="A9" s="183" t="s">
        <v>175</v>
      </c>
      <c r="B9" s="184"/>
      <c r="C9" s="184"/>
      <c r="D9" s="184"/>
      <c r="E9" s="184"/>
      <c r="F9" s="184"/>
      <c r="G9" s="184"/>
      <c r="H9" s="188"/>
    </row>
    <row r="11" spans="1:14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3"/>
    </row>
    <row r="12" spans="1:14" ht="15.75" x14ac:dyDescent="0.25">
      <c r="A12" s="80" t="s">
        <v>164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2"/>
    </row>
    <row r="13" spans="1:14" ht="31.5" customHeight="1" x14ac:dyDescent="0.25">
      <c r="A13" s="189" t="s">
        <v>171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2"/>
    </row>
    <row r="14" spans="1:14" ht="15.75" x14ac:dyDescent="0.25">
      <c r="A14" s="80" t="s">
        <v>166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2"/>
    </row>
    <row r="15" spans="1:14" ht="21" customHeight="1" x14ac:dyDescent="0.25">
      <c r="A15" s="189" t="s">
        <v>172</v>
      </c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"/>
    </row>
    <row r="16" spans="1:14" ht="15.75" x14ac:dyDescent="0.25">
      <c r="A16" s="80" t="s">
        <v>167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2"/>
    </row>
    <row r="17" spans="1:14" ht="51.75" customHeight="1" x14ac:dyDescent="0.25">
      <c r="A17" s="185" t="s">
        <v>107</v>
      </c>
      <c r="B17" s="185"/>
      <c r="C17" s="185"/>
      <c r="D17" s="185"/>
      <c r="E17" s="185"/>
      <c r="F17" s="6" t="s">
        <v>106</v>
      </c>
      <c r="G17" s="185" t="s">
        <v>108</v>
      </c>
      <c r="H17" s="185"/>
      <c r="I17" s="185"/>
      <c r="J17" s="185"/>
      <c r="K17" s="185"/>
      <c r="L17" s="185"/>
      <c r="M17" s="6" t="s">
        <v>106</v>
      </c>
      <c r="N17" s="13"/>
    </row>
    <row r="18" spans="1:14" x14ac:dyDescent="0.25">
      <c r="A18" s="191" t="s">
        <v>119</v>
      </c>
      <c r="B18" s="191"/>
      <c r="C18" s="191"/>
      <c r="D18" s="191"/>
      <c r="E18" s="191"/>
      <c r="F18" s="59">
        <f>1*$N$4</f>
        <v>2.41E-2</v>
      </c>
      <c r="G18" s="192" t="s">
        <v>1</v>
      </c>
      <c r="H18" s="192"/>
      <c r="I18" s="192"/>
      <c r="J18" s="192"/>
      <c r="K18" s="192"/>
      <c r="L18" s="192"/>
      <c r="M18" s="62">
        <f>1*N4</f>
        <v>2.41E-2</v>
      </c>
      <c r="N18" s="13"/>
    </row>
    <row r="19" spans="1:14" x14ac:dyDescent="0.25">
      <c r="A19" s="191" t="s">
        <v>120</v>
      </c>
      <c r="B19" s="191"/>
      <c r="C19" s="191"/>
      <c r="D19" s="191"/>
      <c r="E19" s="191"/>
      <c r="F19" s="59">
        <f>9.75*N4</f>
        <v>0.23497499999999999</v>
      </c>
      <c r="G19" s="193" t="s">
        <v>157</v>
      </c>
      <c r="H19" s="194"/>
      <c r="I19" s="194"/>
      <c r="J19" s="194"/>
      <c r="K19" s="194"/>
      <c r="L19" s="195"/>
      <c r="M19" s="62">
        <f>1*N4</f>
        <v>2.41E-2</v>
      </c>
      <c r="N19" s="13"/>
    </row>
    <row r="20" spans="1:14" x14ac:dyDescent="0.25">
      <c r="A20" s="191" t="s">
        <v>121</v>
      </c>
      <c r="B20" s="191"/>
      <c r="C20" s="191"/>
      <c r="D20" s="191"/>
      <c r="E20" s="191"/>
      <c r="F20" s="59">
        <f>1*N4</f>
        <v>2.41E-2</v>
      </c>
      <c r="G20" s="196" t="s">
        <v>125</v>
      </c>
      <c r="H20" s="196"/>
      <c r="I20" s="196"/>
      <c r="J20" s="196"/>
      <c r="K20" s="196"/>
      <c r="L20" s="196"/>
      <c r="M20" s="62">
        <f>0.5*N4</f>
        <v>1.205E-2</v>
      </c>
      <c r="N20" s="13"/>
    </row>
    <row r="21" spans="1:14" x14ac:dyDescent="0.25">
      <c r="A21" s="191" t="s">
        <v>122</v>
      </c>
      <c r="B21" s="191"/>
      <c r="C21" s="191"/>
      <c r="D21" s="191"/>
      <c r="E21" s="191"/>
      <c r="F21" s="59">
        <f>0.25*N4</f>
        <v>6.025E-3</v>
      </c>
      <c r="G21" s="192" t="s">
        <v>127</v>
      </c>
      <c r="H21" s="192"/>
      <c r="I21" s="192"/>
      <c r="J21" s="192"/>
      <c r="K21" s="192"/>
      <c r="L21" s="192"/>
      <c r="M21" s="62">
        <f>1*N4</f>
        <v>2.41E-2</v>
      </c>
      <c r="N21" s="13"/>
    </row>
    <row r="22" spans="1:14" x14ac:dyDescent="0.25">
      <c r="A22" s="191" t="s">
        <v>124</v>
      </c>
      <c r="B22" s="191"/>
      <c r="C22" s="191"/>
      <c r="D22" s="191"/>
      <c r="E22" s="191"/>
      <c r="F22" s="59">
        <f>1*N4</f>
        <v>2.41E-2</v>
      </c>
      <c r="G22" s="192" t="s">
        <v>126</v>
      </c>
      <c r="H22" s="192"/>
      <c r="I22" s="192"/>
      <c r="J22" s="192"/>
      <c r="K22" s="192"/>
      <c r="L22" s="192"/>
      <c r="M22" s="62">
        <f>2*N4</f>
        <v>4.82E-2</v>
      </c>
      <c r="N22" s="13"/>
    </row>
    <row r="23" spans="1:14" x14ac:dyDescent="0.25">
      <c r="A23" s="197"/>
      <c r="B23" s="198"/>
      <c r="C23" s="198"/>
      <c r="D23" s="198"/>
      <c r="E23" s="199"/>
      <c r="F23" s="57"/>
      <c r="G23" s="193" t="s">
        <v>123</v>
      </c>
      <c r="H23" s="194"/>
      <c r="I23" s="194"/>
      <c r="J23" s="194"/>
      <c r="K23" s="194"/>
      <c r="L23" s="195"/>
      <c r="M23" s="62">
        <f>1*N4</f>
        <v>2.41E-2</v>
      </c>
      <c r="N23" s="178"/>
    </row>
    <row r="24" spans="1:14" x14ac:dyDescent="0.25">
      <c r="A24" s="191"/>
      <c r="B24" s="191"/>
      <c r="C24" s="191"/>
      <c r="D24" s="191"/>
      <c r="E24" s="191"/>
      <c r="F24" s="58"/>
      <c r="G24" s="192" t="s">
        <v>128</v>
      </c>
      <c r="H24" s="192"/>
      <c r="I24" s="192"/>
      <c r="J24" s="192"/>
      <c r="K24" s="192"/>
      <c r="L24" s="192"/>
      <c r="M24" s="62">
        <f>1.25*N4</f>
        <v>3.0124999999999999E-2</v>
      </c>
      <c r="N24" s="178"/>
    </row>
    <row r="25" spans="1:14" ht="15.75" customHeight="1" x14ac:dyDescent="0.25">
      <c r="A25" s="191"/>
      <c r="B25" s="191"/>
      <c r="C25" s="191"/>
      <c r="D25" s="191"/>
      <c r="E25" s="191"/>
      <c r="F25" s="58"/>
      <c r="G25" s="200" t="s">
        <v>129</v>
      </c>
      <c r="H25" s="201"/>
      <c r="I25" s="201"/>
      <c r="J25" s="201"/>
      <c r="K25" s="201"/>
      <c r="L25" s="202"/>
      <c r="M25" s="62">
        <f>0.75*N4</f>
        <v>1.8075000000000001E-2</v>
      </c>
      <c r="N25" s="178"/>
    </row>
    <row r="26" spans="1:14" x14ac:dyDescent="0.25">
      <c r="A26" s="203"/>
      <c r="B26" s="204"/>
      <c r="C26" s="204"/>
      <c r="D26" s="204"/>
      <c r="E26" s="205"/>
      <c r="F26" s="58"/>
      <c r="G26" s="200"/>
      <c r="H26" s="201"/>
      <c r="I26" s="201"/>
      <c r="J26" s="201"/>
      <c r="K26" s="201"/>
      <c r="L26" s="202"/>
      <c r="M26" s="58"/>
      <c r="N26" s="178">
        <v>2.41E-2</v>
      </c>
    </row>
    <row r="27" spans="1:14" ht="15.75" customHeight="1" x14ac:dyDescent="0.25">
      <c r="A27" s="203"/>
      <c r="B27" s="204"/>
      <c r="C27" s="204"/>
      <c r="D27" s="204"/>
      <c r="E27" s="205"/>
      <c r="F27" s="58"/>
      <c r="G27" s="200"/>
      <c r="H27" s="201"/>
      <c r="I27" s="201"/>
      <c r="J27" s="201"/>
      <c r="K27" s="201"/>
      <c r="L27" s="202"/>
      <c r="M27" s="58"/>
      <c r="N27" s="178">
        <v>2.41E-2</v>
      </c>
    </row>
    <row r="28" spans="1:14" x14ac:dyDescent="0.25">
      <c r="A28" s="203"/>
      <c r="B28" s="204"/>
      <c r="C28" s="204"/>
      <c r="D28" s="204"/>
      <c r="E28" s="205"/>
      <c r="F28" s="18"/>
      <c r="G28" s="200"/>
      <c r="H28" s="201"/>
      <c r="I28" s="201"/>
      <c r="J28" s="201"/>
      <c r="K28" s="201"/>
      <c r="L28" s="202"/>
      <c r="M28" s="18"/>
      <c r="N28" s="13"/>
    </row>
    <row r="29" spans="1:14" ht="15.75" customHeight="1" x14ac:dyDescent="0.25">
      <c r="A29" s="203"/>
      <c r="B29" s="204"/>
      <c r="C29" s="204"/>
      <c r="D29" s="204"/>
      <c r="E29" s="205"/>
      <c r="F29" s="18"/>
      <c r="G29" s="82"/>
      <c r="H29" s="82"/>
      <c r="I29" s="82"/>
      <c r="J29" s="82"/>
      <c r="K29" s="82"/>
      <c r="L29" s="82"/>
      <c r="M29" s="18"/>
      <c r="N29" s="13"/>
    </row>
    <row r="30" spans="1:14" x14ac:dyDescent="0.25">
      <c r="A30" s="206"/>
      <c r="B30" s="206"/>
      <c r="C30" s="206"/>
      <c r="D30" s="206"/>
      <c r="E30" s="206"/>
      <c r="F30" s="18"/>
      <c r="G30" s="192"/>
      <c r="H30" s="192"/>
      <c r="I30" s="192"/>
      <c r="J30" s="192"/>
      <c r="K30" s="192"/>
      <c r="L30" s="192"/>
      <c r="M30" s="18"/>
      <c r="N30" s="13"/>
    </row>
    <row r="31" spans="1:14" x14ac:dyDescent="0.25">
      <c r="A31" s="206"/>
      <c r="B31" s="206"/>
      <c r="C31" s="206"/>
      <c r="D31" s="206"/>
      <c r="E31" s="206"/>
      <c r="F31" s="18"/>
      <c r="G31" s="192"/>
      <c r="H31" s="192"/>
      <c r="I31" s="192"/>
      <c r="J31" s="192"/>
      <c r="K31" s="192"/>
      <c r="L31" s="192"/>
      <c r="M31" s="18"/>
      <c r="N31" s="13"/>
    </row>
    <row r="32" spans="1:14" x14ac:dyDescent="0.25">
      <c r="A32" s="206"/>
      <c r="B32" s="206"/>
      <c r="C32" s="206"/>
      <c r="D32" s="206"/>
      <c r="E32" s="206"/>
      <c r="F32" s="18"/>
      <c r="G32" s="200"/>
      <c r="H32" s="201"/>
      <c r="I32" s="201"/>
      <c r="J32" s="201"/>
      <c r="K32" s="201"/>
      <c r="L32" s="202"/>
      <c r="M32" s="18"/>
      <c r="N32" s="13"/>
    </row>
    <row r="33" spans="1:15" ht="15" customHeight="1" x14ac:dyDescent="0.25">
      <c r="A33" s="206"/>
      <c r="B33" s="206"/>
      <c r="C33" s="206"/>
      <c r="D33" s="206"/>
      <c r="E33" s="206"/>
      <c r="F33" s="18"/>
      <c r="G33" s="200"/>
      <c r="H33" s="201"/>
      <c r="I33" s="201"/>
      <c r="J33" s="201"/>
      <c r="K33" s="201"/>
      <c r="L33" s="202"/>
      <c r="M33" s="18"/>
      <c r="N33" s="13"/>
    </row>
    <row r="34" spans="1:15" ht="15.75" customHeight="1" x14ac:dyDescent="0.25">
      <c r="A34" s="197"/>
      <c r="B34" s="198"/>
      <c r="C34" s="198"/>
      <c r="D34" s="198"/>
      <c r="E34" s="199"/>
      <c r="F34" s="18"/>
      <c r="G34" s="200"/>
      <c r="H34" s="201"/>
      <c r="I34" s="201"/>
      <c r="J34" s="201"/>
      <c r="K34" s="201"/>
      <c r="L34" s="202"/>
      <c r="M34" s="18"/>
      <c r="N34" s="83"/>
      <c r="O34" s="61"/>
    </row>
    <row r="35" spans="1:15" x14ac:dyDescent="0.25">
      <c r="A35" s="207" t="s">
        <v>2</v>
      </c>
      <c r="B35" s="207"/>
      <c r="C35" s="207"/>
      <c r="D35" s="207"/>
      <c r="E35" s="207"/>
      <c r="F35" s="84">
        <f>SUM(F18:F22)</f>
        <v>0.31330000000000002</v>
      </c>
      <c r="G35" s="208" t="s">
        <v>2</v>
      </c>
      <c r="H35" s="208"/>
      <c r="I35" s="208"/>
      <c r="J35" s="208"/>
      <c r="K35" s="208"/>
      <c r="L35" s="208"/>
      <c r="M35" s="85">
        <f>SUM(M18:M25)</f>
        <v>0.20485000000000003</v>
      </c>
      <c r="N35" s="13"/>
    </row>
    <row r="36" spans="1:15" x14ac:dyDescent="0.25">
      <c r="A36" s="87"/>
      <c r="B36" s="87"/>
      <c r="C36" s="87"/>
      <c r="D36" s="87"/>
      <c r="E36" s="87"/>
      <c r="F36" s="13"/>
      <c r="G36" s="13"/>
      <c r="H36" s="13"/>
      <c r="I36" s="13"/>
      <c r="J36" s="13"/>
      <c r="K36" s="13"/>
      <c r="L36" s="13"/>
      <c r="M36" s="13"/>
      <c r="N36" s="3"/>
    </row>
    <row r="37" spans="1:15" ht="30" customHeight="1" x14ac:dyDescent="0.25">
      <c r="A37" s="87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3"/>
    </row>
    <row r="38" spans="1:15" ht="15" customHeight="1" x14ac:dyDescent="0.25">
      <c r="A38" s="210" t="s">
        <v>117</v>
      </c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3"/>
    </row>
    <row r="39" spans="1:15" ht="60" x14ac:dyDescent="0.25">
      <c r="A39" s="206" t="s">
        <v>3</v>
      </c>
      <c r="B39" s="206"/>
      <c r="C39" s="206"/>
      <c r="D39" s="206"/>
      <c r="E39" s="206"/>
      <c r="F39" s="6" t="s">
        <v>4</v>
      </c>
      <c r="G39" s="6" t="s">
        <v>0</v>
      </c>
      <c r="H39" s="6" t="s">
        <v>74</v>
      </c>
      <c r="I39" s="6" t="s">
        <v>76</v>
      </c>
      <c r="J39" s="6" t="s">
        <v>102</v>
      </c>
      <c r="K39" s="6" t="s">
        <v>131</v>
      </c>
      <c r="L39" s="6" t="s">
        <v>80</v>
      </c>
      <c r="M39" s="13"/>
      <c r="N39" s="3"/>
    </row>
    <row r="40" spans="1:15" hidden="1" x14ac:dyDescent="0.25">
      <c r="A40" s="191"/>
      <c r="B40" s="191"/>
      <c r="C40" s="191"/>
      <c r="D40" s="191"/>
      <c r="E40" s="191"/>
      <c r="F40" s="36"/>
      <c r="G40" s="36"/>
      <c r="H40" s="36"/>
      <c r="I40" s="36"/>
      <c r="J40" s="88"/>
      <c r="K40" s="88"/>
      <c r="L40" s="88"/>
      <c r="M40" s="13"/>
      <c r="N40" s="3"/>
    </row>
    <row r="41" spans="1:15" hidden="1" x14ac:dyDescent="0.25">
      <c r="A41" s="191"/>
      <c r="B41" s="191"/>
      <c r="C41" s="191"/>
      <c r="D41" s="191"/>
      <c r="E41" s="191"/>
      <c r="F41" s="36"/>
      <c r="G41" s="36"/>
      <c r="H41" s="36"/>
      <c r="I41" s="36"/>
      <c r="J41" s="88"/>
      <c r="K41" s="88"/>
      <c r="L41" s="88"/>
      <c r="M41" s="13"/>
      <c r="N41" s="3"/>
    </row>
    <row r="42" spans="1:15" x14ac:dyDescent="0.25">
      <c r="A42" s="212">
        <v>1</v>
      </c>
      <c r="B42" s="213"/>
      <c r="C42" s="213"/>
      <c r="D42" s="213"/>
      <c r="E42" s="214"/>
      <c r="F42" s="36">
        <v>2</v>
      </c>
      <c r="G42" s="36">
        <v>3</v>
      </c>
      <c r="H42" s="36" t="s">
        <v>75</v>
      </c>
      <c r="I42" s="36" t="s">
        <v>77</v>
      </c>
      <c r="J42" s="31">
        <v>6</v>
      </c>
      <c r="K42" s="31" t="s">
        <v>79</v>
      </c>
      <c r="L42" s="31">
        <v>8</v>
      </c>
      <c r="M42" s="13"/>
      <c r="N42" s="3"/>
    </row>
    <row r="43" spans="1:15" ht="15.75" thickBot="1" x14ac:dyDescent="0.3">
      <c r="A43" s="192" t="s">
        <v>107</v>
      </c>
      <c r="B43" s="192"/>
      <c r="C43" s="192"/>
      <c r="D43" s="192"/>
      <c r="E43" s="192"/>
      <c r="F43" s="9">
        <f>H43/12/G43</f>
        <v>26794.540322580648</v>
      </c>
      <c r="G43" s="9">
        <v>0.31</v>
      </c>
      <c r="H43" s="9">
        <v>99675.69</v>
      </c>
      <c r="I43" s="56">
        <v>129777.75</v>
      </c>
      <c r="J43" s="12">
        <v>25</v>
      </c>
      <c r="K43" s="9">
        <f>I43/J43</f>
        <v>5191.1099999999997</v>
      </c>
      <c r="L43" s="9">
        <f>I43/5384968.83*100</f>
        <v>2.4100000222285409</v>
      </c>
      <c r="M43" s="13"/>
      <c r="N43" s="3"/>
    </row>
    <row r="44" spans="1:15" ht="15.75" hidden="1" thickBot="1" x14ac:dyDescent="0.3">
      <c r="A44" s="191"/>
      <c r="B44" s="191"/>
      <c r="C44" s="191"/>
      <c r="D44" s="191"/>
      <c r="E44" s="191"/>
      <c r="F44" s="7"/>
      <c r="G44" s="7"/>
      <c r="H44" s="7"/>
      <c r="I44" s="21"/>
      <c r="J44" s="10"/>
      <c r="K44" s="21"/>
      <c r="L44" s="7"/>
      <c r="M44" s="13"/>
      <c r="N44" s="3"/>
    </row>
    <row r="45" spans="1:15" ht="15.75" thickBot="1" x14ac:dyDescent="0.3">
      <c r="A45" s="234" t="s">
        <v>81</v>
      </c>
      <c r="B45" s="235"/>
      <c r="C45" s="235"/>
      <c r="D45" s="235"/>
      <c r="E45" s="246"/>
      <c r="F45" s="89"/>
      <c r="G45" s="89"/>
      <c r="H45" s="90"/>
      <c r="I45" s="42">
        <f>I43</f>
        <v>129777.75</v>
      </c>
      <c r="J45" s="91"/>
      <c r="K45" s="92">
        <f>K43</f>
        <v>5191.1099999999997</v>
      </c>
      <c r="L45" s="93"/>
      <c r="M45" s="137"/>
      <c r="N45" s="3"/>
    </row>
    <row r="46" spans="1:15" x14ac:dyDescent="0.25">
      <c r="A46" s="94"/>
      <c r="B46" s="94"/>
      <c r="C46" s="94"/>
      <c r="D46" s="94"/>
      <c r="E46" s="94"/>
      <c r="F46" s="95"/>
      <c r="G46" s="95"/>
      <c r="H46" s="95"/>
      <c r="I46" s="95"/>
      <c r="J46" s="96"/>
      <c r="K46" s="97"/>
      <c r="L46" s="97"/>
      <c r="M46" s="13"/>
      <c r="N46" s="3"/>
    </row>
    <row r="47" spans="1:15" ht="98.25" hidden="1" customHeight="1" x14ac:dyDescent="0.25">
      <c r="A47" s="94"/>
      <c r="B47" s="94"/>
      <c r="C47" s="94"/>
      <c r="D47" s="94"/>
      <c r="E47" s="94"/>
      <c r="F47" s="66"/>
      <c r="G47" s="66"/>
      <c r="H47" s="66"/>
      <c r="I47" s="66"/>
      <c r="J47" s="66"/>
      <c r="K47" s="135"/>
      <c r="L47" s="66"/>
      <c r="M47" s="135"/>
      <c r="N47" s="3"/>
    </row>
    <row r="48" spans="1:15" hidden="1" x14ac:dyDescent="0.25">
      <c r="A48" s="239" t="s">
        <v>15</v>
      </c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3"/>
    </row>
    <row r="49" spans="1:14" hidden="1" x14ac:dyDescent="0.25">
      <c r="A49" s="142"/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3"/>
    </row>
    <row r="50" spans="1:14" ht="80.25" hidden="1" customHeight="1" x14ac:dyDescent="0.25">
      <c r="A50" s="271" t="s">
        <v>6</v>
      </c>
      <c r="B50" s="271"/>
      <c r="C50" s="271"/>
      <c r="D50" s="271"/>
      <c r="E50" s="271"/>
      <c r="F50" s="143" t="s">
        <v>7</v>
      </c>
      <c r="G50" s="143" t="s">
        <v>8</v>
      </c>
      <c r="H50" s="143" t="s">
        <v>9</v>
      </c>
      <c r="I50" s="143" t="s">
        <v>10</v>
      </c>
      <c r="J50" s="143"/>
      <c r="K50" s="143" t="s">
        <v>11</v>
      </c>
      <c r="L50" s="143" t="s">
        <v>12</v>
      </c>
      <c r="M50" s="143" t="s">
        <v>5</v>
      </c>
      <c r="N50" s="3"/>
    </row>
    <row r="51" spans="1:14" ht="15" hidden="1" customHeight="1" x14ac:dyDescent="0.25">
      <c r="A51" s="272">
        <v>1</v>
      </c>
      <c r="B51" s="273"/>
      <c r="C51" s="273"/>
      <c r="D51" s="273"/>
      <c r="E51" s="274"/>
      <c r="F51" s="143">
        <v>2</v>
      </c>
      <c r="G51" s="143">
        <v>3</v>
      </c>
      <c r="H51" s="143">
        <v>4</v>
      </c>
      <c r="I51" s="143" t="s">
        <v>59</v>
      </c>
      <c r="J51" s="143"/>
      <c r="K51" s="143">
        <v>6</v>
      </c>
      <c r="L51" s="143">
        <v>7</v>
      </c>
      <c r="M51" s="143" t="s">
        <v>60</v>
      </c>
      <c r="N51" s="3"/>
    </row>
    <row r="52" spans="1:14" ht="15" hidden="1" customHeight="1" x14ac:dyDescent="0.25">
      <c r="A52" s="267" t="s">
        <v>62</v>
      </c>
      <c r="B52" s="267"/>
      <c r="C52" s="267"/>
      <c r="D52" s="267"/>
      <c r="E52" s="267"/>
      <c r="F52" s="144" t="s">
        <v>13</v>
      </c>
      <c r="G52" s="143">
        <v>7</v>
      </c>
      <c r="H52" s="144">
        <v>10</v>
      </c>
      <c r="I52" s="145">
        <f>G52/H52</f>
        <v>0.7</v>
      </c>
      <c r="J52" s="145"/>
      <c r="K52" s="143">
        <v>20</v>
      </c>
      <c r="L52" s="146">
        <v>7100</v>
      </c>
      <c r="M52" s="146">
        <f>I52*L52</f>
        <v>4970</v>
      </c>
      <c r="N52" s="3"/>
    </row>
    <row r="53" spans="1:14" ht="15" hidden="1" customHeight="1" x14ac:dyDescent="0.25">
      <c r="A53" s="267" t="s">
        <v>63</v>
      </c>
      <c r="B53" s="267"/>
      <c r="C53" s="267"/>
      <c r="D53" s="267"/>
      <c r="E53" s="267"/>
      <c r="F53" s="144" t="s">
        <v>13</v>
      </c>
      <c r="G53" s="143">
        <v>1</v>
      </c>
      <c r="H53" s="144">
        <v>10</v>
      </c>
      <c r="I53" s="145">
        <f t="shared" ref="I53:I69" si="0">G53/H53</f>
        <v>0.1</v>
      </c>
      <c r="J53" s="145"/>
      <c r="K53" s="143">
        <v>20</v>
      </c>
      <c r="L53" s="146">
        <v>538700</v>
      </c>
      <c r="M53" s="146">
        <f t="shared" ref="M53:M70" si="1">I53*L53</f>
        <v>53870</v>
      </c>
      <c r="N53" s="3"/>
    </row>
    <row r="54" spans="1:14" ht="15" hidden="1" customHeight="1" x14ac:dyDescent="0.25">
      <c r="A54" s="267" t="s">
        <v>64</v>
      </c>
      <c r="B54" s="267"/>
      <c r="C54" s="267"/>
      <c r="D54" s="267"/>
      <c r="E54" s="267"/>
      <c r="F54" s="144" t="s">
        <v>13</v>
      </c>
      <c r="G54" s="143">
        <v>1</v>
      </c>
      <c r="H54" s="144">
        <v>10</v>
      </c>
      <c r="I54" s="145">
        <f t="shared" si="0"/>
        <v>0.1</v>
      </c>
      <c r="J54" s="145"/>
      <c r="K54" s="143">
        <v>20</v>
      </c>
      <c r="L54" s="146">
        <v>380000</v>
      </c>
      <c r="M54" s="146">
        <f t="shared" si="1"/>
        <v>38000</v>
      </c>
      <c r="N54" s="3"/>
    </row>
    <row r="55" spans="1:14" ht="12.75" hidden="1" customHeight="1" x14ac:dyDescent="0.25">
      <c r="A55" s="267"/>
      <c r="B55" s="267"/>
      <c r="C55" s="267"/>
      <c r="D55" s="267"/>
      <c r="E55" s="267"/>
      <c r="F55" s="144" t="s">
        <v>13</v>
      </c>
      <c r="G55" s="143"/>
      <c r="H55" s="144">
        <v>10</v>
      </c>
      <c r="I55" s="145">
        <f t="shared" si="0"/>
        <v>0</v>
      </c>
      <c r="J55" s="145"/>
      <c r="K55" s="143"/>
      <c r="L55" s="146"/>
      <c r="M55" s="146">
        <f t="shared" si="1"/>
        <v>0</v>
      </c>
      <c r="N55" s="3"/>
    </row>
    <row r="56" spans="1:14" ht="15" hidden="1" customHeight="1" x14ac:dyDescent="0.25">
      <c r="A56" s="267"/>
      <c r="B56" s="267"/>
      <c r="C56" s="267"/>
      <c r="D56" s="267"/>
      <c r="E56" s="267"/>
      <c r="F56" s="144" t="s">
        <v>13</v>
      </c>
      <c r="G56" s="143"/>
      <c r="H56" s="144">
        <v>10</v>
      </c>
      <c r="I56" s="145">
        <f t="shared" si="0"/>
        <v>0</v>
      </c>
      <c r="J56" s="145"/>
      <c r="K56" s="143"/>
      <c r="L56" s="146"/>
      <c r="M56" s="146">
        <f t="shared" si="1"/>
        <v>0</v>
      </c>
      <c r="N56" s="3"/>
    </row>
    <row r="57" spans="1:14" ht="15" hidden="1" customHeight="1" x14ac:dyDescent="0.25">
      <c r="A57" s="268"/>
      <c r="B57" s="269"/>
      <c r="C57" s="269"/>
      <c r="D57" s="269"/>
      <c r="E57" s="270"/>
      <c r="F57" s="144" t="s">
        <v>13</v>
      </c>
      <c r="G57" s="143"/>
      <c r="H57" s="144">
        <v>10</v>
      </c>
      <c r="I57" s="145">
        <f t="shared" si="0"/>
        <v>0</v>
      </c>
      <c r="J57" s="145"/>
      <c r="K57" s="143"/>
      <c r="L57" s="146"/>
      <c r="M57" s="146">
        <f t="shared" si="1"/>
        <v>0</v>
      </c>
      <c r="N57" s="3"/>
    </row>
    <row r="58" spans="1:14" ht="15" hidden="1" customHeight="1" x14ac:dyDescent="0.25">
      <c r="A58" s="268"/>
      <c r="B58" s="269"/>
      <c r="C58" s="269"/>
      <c r="D58" s="269"/>
      <c r="E58" s="270"/>
      <c r="F58" s="144" t="s">
        <v>13</v>
      </c>
      <c r="G58" s="143"/>
      <c r="H58" s="144">
        <v>10</v>
      </c>
      <c r="I58" s="145">
        <f t="shared" si="0"/>
        <v>0</v>
      </c>
      <c r="J58" s="145"/>
      <c r="K58" s="143"/>
      <c r="L58" s="146"/>
      <c r="M58" s="146">
        <f t="shared" si="1"/>
        <v>0</v>
      </c>
      <c r="N58" s="3"/>
    </row>
    <row r="59" spans="1:14" ht="15" hidden="1" customHeight="1" x14ac:dyDescent="0.25">
      <c r="A59" s="268"/>
      <c r="B59" s="269"/>
      <c r="C59" s="269"/>
      <c r="D59" s="269"/>
      <c r="E59" s="270"/>
      <c r="F59" s="144" t="s">
        <v>13</v>
      </c>
      <c r="G59" s="143"/>
      <c r="H59" s="144">
        <v>10</v>
      </c>
      <c r="I59" s="145">
        <f t="shared" si="0"/>
        <v>0</v>
      </c>
      <c r="J59" s="145"/>
      <c r="K59" s="143"/>
      <c r="L59" s="146"/>
      <c r="M59" s="146">
        <f t="shared" si="1"/>
        <v>0</v>
      </c>
      <c r="N59" s="3"/>
    </row>
    <row r="60" spans="1:14" ht="15" hidden="1" customHeight="1" x14ac:dyDescent="0.25">
      <c r="A60" s="268"/>
      <c r="B60" s="269"/>
      <c r="C60" s="269"/>
      <c r="D60" s="269"/>
      <c r="E60" s="270"/>
      <c r="F60" s="144" t="s">
        <v>13</v>
      </c>
      <c r="G60" s="143"/>
      <c r="H60" s="144">
        <v>10</v>
      </c>
      <c r="I60" s="145">
        <f t="shared" si="0"/>
        <v>0</v>
      </c>
      <c r="J60" s="145"/>
      <c r="K60" s="143"/>
      <c r="L60" s="146"/>
      <c r="M60" s="146">
        <f t="shared" si="1"/>
        <v>0</v>
      </c>
      <c r="N60" s="3"/>
    </row>
    <row r="61" spans="1:14" ht="15" hidden="1" customHeight="1" x14ac:dyDescent="0.25">
      <c r="A61" s="268"/>
      <c r="B61" s="269"/>
      <c r="C61" s="269"/>
      <c r="D61" s="269"/>
      <c r="E61" s="270"/>
      <c r="F61" s="144" t="s">
        <v>13</v>
      </c>
      <c r="G61" s="143"/>
      <c r="H61" s="144">
        <v>10</v>
      </c>
      <c r="I61" s="145">
        <f t="shared" si="0"/>
        <v>0</v>
      </c>
      <c r="J61" s="145"/>
      <c r="K61" s="143"/>
      <c r="L61" s="146"/>
      <c r="M61" s="146">
        <f t="shared" si="1"/>
        <v>0</v>
      </c>
      <c r="N61" s="3"/>
    </row>
    <row r="62" spans="1:14" hidden="1" x14ac:dyDescent="0.25">
      <c r="A62" s="275"/>
      <c r="B62" s="276"/>
      <c r="C62" s="276"/>
      <c r="D62" s="276"/>
      <c r="E62" s="277"/>
      <c r="F62" s="144" t="s">
        <v>13</v>
      </c>
      <c r="G62" s="144"/>
      <c r="H62" s="144">
        <v>10</v>
      </c>
      <c r="I62" s="145">
        <f t="shared" si="0"/>
        <v>0</v>
      </c>
      <c r="J62" s="145"/>
      <c r="K62" s="144"/>
      <c r="L62" s="147"/>
      <c r="M62" s="146">
        <f t="shared" si="1"/>
        <v>0</v>
      </c>
      <c r="N62" s="3"/>
    </row>
    <row r="63" spans="1:14" hidden="1" x14ac:dyDescent="0.25">
      <c r="A63" s="275"/>
      <c r="B63" s="276"/>
      <c r="C63" s="276"/>
      <c r="D63" s="276"/>
      <c r="E63" s="277"/>
      <c r="F63" s="144" t="s">
        <v>13</v>
      </c>
      <c r="G63" s="144"/>
      <c r="H63" s="144">
        <v>10</v>
      </c>
      <c r="I63" s="145">
        <f t="shared" si="0"/>
        <v>0</v>
      </c>
      <c r="J63" s="145"/>
      <c r="K63" s="144"/>
      <c r="L63" s="147"/>
      <c r="M63" s="146">
        <f t="shared" si="1"/>
        <v>0</v>
      </c>
      <c r="N63" s="3"/>
    </row>
    <row r="64" spans="1:14" hidden="1" x14ac:dyDescent="0.25">
      <c r="A64" s="275"/>
      <c r="B64" s="276"/>
      <c r="C64" s="276"/>
      <c r="D64" s="276"/>
      <c r="E64" s="277"/>
      <c r="F64" s="144" t="s">
        <v>13</v>
      </c>
      <c r="G64" s="144"/>
      <c r="H64" s="144">
        <v>10</v>
      </c>
      <c r="I64" s="145">
        <f t="shared" si="0"/>
        <v>0</v>
      </c>
      <c r="J64" s="145"/>
      <c r="K64" s="144"/>
      <c r="L64" s="147"/>
      <c r="M64" s="146">
        <f t="shared" si="1"/>
        <v>0</v>
      </c>
      <c r="N64" s="3"/>
    </row>
    <row r="65" spans="1:17" hidden="1" x14ac:dyDescent="0.25">
      <c r="A65" s="275"/>
      <c r="B65" s="276"/>
      <c r="C65" s="276"/>
      <c r="D65" s="276"/>
      <c r="E65" s="277"/>
      <c r="F65" s="144" t="s">
        <v>13</v>
      </c>
      <c r="G65" s="144"/>
      <c r="H65" s="144">
        <v>10</v>
      </c>
      <c r="I65" s="145">
        <f t="shared" si="0"/>
        <v>0</v>
      </c>
      <c r="J65" s="145"/>
      <c r="K65" s="144"/>
      <c r="L65" s="147"/>
      <c r="M65" s="146">
        <f t="shared" si="1"/>
        <v>0</v>
      </c>
      <c r="N65" s="3"/>
    </row>
    <row r="66" spans="1:17" hidden="1" x14ac:dyDescent="0.25">
      <c r="A66" s="275"/>
      <c r="B66" s="276"/>
      <c r="C66" s="276"/>
      <c r="D66" s="276"/>
      <c r="E66" s="277"/>
      <c r="F66" s="144" t="s">
        <v>13</v>
      </c>
      <c r="G66" s="144"/>
      <c r="H66" s="144">
        <v>10</v>
      </c>
      <c r="I66" s="145">
        <f t="shared" si="0"/>
        <v>0</v>
      </c>
      <c r="J66" s="145"/>
      <c r="K66" s="144"/>
      <c r="L66" s="147"/>
      <c r="M66" s="146">
        <f t="shared" si="1"/>
        <v>0</v>
      </c>
      <c r="N66" s="3"/>
    </row>
    <row r="67" spans="1:17" hidden="1" x14ac:dyDescent="0.25">
      <c r="A67" s="275"/>
      <c r="B67" s="276"/>
      <c r="C67" s="276"/>
      <c r="D67" s="276"/>
      <c r="E67" s="277"/>
      <c r="F67" s="144" t="s">
        <v>13</v>
      </c>
      <c r="G67" s="144"/>
      <c r="H67" s="144">
        <v>10</v>
      </c>
      <c r="I67" s="145">
        <f t="shared" si="0"/>
        <v>0</v>
      </c>
      <c r="J67" s="145"/>
      <c r="K67" s="144"/>
      <c r="L67" s="147"/>
      <c r="M67" s="146">
        <f t="shared" si="1"/>
        <v>0</v>
      </c>
      <c r="N67" s="3"/>
    </row>
    <row r="68" spans="1:17" hidden="1" x14ac:dyDescent="0.25">
      <c r="A68" s="275"/>
      <c r="B68" s="276"/>
      <c r="C68" s="276"/>
      <c r="D68" s="276"/>
      <c r="E68" s="277"/>
      <c r="F68" s="144" t="s">
        <v>13</v>
      </c>
      <c r="G68" s="144"/>
      <c r="H68" s="144">
        <v>10</v>
      </c>
      <c r="I68" s="145">
        <f t="shared" si="0"/>
        <v>0</v>
      </c>
      <c r="J68" s="145"/>
      <c r="K68" s="144"/>
      <c r="L68" s="147"/>
      <c r="M68" s="146">
        <f t="shared" si="1"/>
        <v>0</v>
      </c>
      <c r="N68" s="3"/>
    </row>
    <row r="69" spans="1:17" hidden="1" x14ac:dyDescent="0.25">
      <c r="A69" s="275"/>
      <c r="B69" s="276"/>
      <c r="C69" s="276"/>
      <c r="D69" s="276"/>
      <c r="E69" s="277"/>
      <c r="F69" s="144" t="s">
        <v>13</v>
      </c>
      <c r="G69" s="144"/>
      <c r="H69" s="144">
        <v>10</v>
      </c>
      <c r="I69" s="145">
        <f t="shared" si="0"/>
        <v>0</v>
      </c>
      <c r="J69" s="145"/>
      <c r="K69" s="144"/>
      <c r="L69" s="147"/>
      <c r="M69" s="146">
        <f t="shared" si="1"/>
        <v>0</v>
      </c>
      <c r="N69" s="3"/>
    </row>
    <row r="70" spans="1:17" hidden="1" x14ac:dyDescent="0.25">
      <c r="A70" s="278" t="s">
        <v>170</v>
      </c>
      <c r="B70" s="278"/>
      <c r="C70" s="278"/>
      <c r="D70" s="278"/>
      <c r="E70" s="278"/>
      <c r="F70" s="144"/>
      <c r="G70" s="144"/>
      <c r="H70" s="144"/>
      <c r="I70" s="148"/>
      <c r="J70" s="148"/>
      <c r="K70" s="144"/>
      <c r="L70" s="147"/>
      <c r="M70" s="147">
        <f t="shared" si="1"/>
        <v>0</v>
      </c>
      <c r="N70" s="3"/>
    </row>
    <row r="71" spans="1:17" ht="0.75" customHeight="1" x14ac:dyDescent="0.25">
      <c r="A71" s="279" t="s">
        <v>14</v>
      </c>
      <c r="B71" s="280"/>
      <c r="C71" s="280"/>
      <c r="D71" s="280"/>
      <c r="E71" s="280"/>
      <c r="F71" s="280"/>
      <c r="G71" s="280"/>
      <c r="H71" s="280"/>
      <c r="I71" s="280"/>
      <c r="J71" s="280"/>
      <c r="K71" s="280"/>
      <c r="L71" s="281"/>
      <c r="M71" s="147">
        <f>M70+M54+M53+M52</f>
        <v>96840</v>
      </c>
      <c r="N71" s="3"/>
    </row>
    <row r="72" spans="1:17" ht="11.25" customHeight="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3"/>
    </row>
    <row r="73" spans="1:17" x14ac:dyDescent="0.25">
      <c r="A73" s="218" t="s">
        <v>16</v>
      </c>
      <c r="B73" s="218"/>
      <c r="C73" s="218"/>
      <c r="D73" s="218"/>
      <c r="E73" s="218"/>
      <c r="F73" s="218"/>
      <c r="G73" s="218"/>
      <c r="H73" s="218"/>
      <c r="I73" s="218"/>
      <c r="J73" s="218"/>
      <c r="K73" s="218"/>
      <c r="L73" s="218"/>
      <c r="M73" s="218"/>
      <c r="N73" s="3"/>
    </row>
    <row r="74" spans="1:17" x14ac:dyDescent="0.25">
      <c r="A74" s="98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3"/>
    </row>
    <row r="75" spans="1:17" ht="30.75" hidden="1" customHeight="1" x14ac:dyDescent="0.25">
      <c r="A75" s="219"/>
      <c r="B75" s="219"/>
      <c r="C75" s="219"/>
      <c r="D75" s="219"/>
      <c r="E75" s="219"/>
      <c r="F75" s="219"/>
      <c r="G75" s="219"/>
      <c r="H75" s="219"/>
      <c r="I75" s="219"/>
      <c r="J75" s="219"/>
      <c r="K75" s="219"/>
      <c r="L75" s="219"/>
      <c r="M75" s="5"/>
      <c r="N75" s="3"/>
    </row>
    <row r="76" spans="1:17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3"/>
    </row>
    <row r="77" spans="1:17" ht="73.5" customHeight="1" x14ac:dyDescent="0.25">
      <c r="A77" s="206" t="s">
        <v>17</v>
      </c>
      <c r="B77" s="206"/>
      <c r="C77" s="206"/>
      <c r="D77" s="206"/>
      <c r="E77" s="206"/>
      <c r="F77" s="6" t="s">
        <v>7</v>
      </c>
      <c r="G77" s="6" t="s">
        <v>90</v>
      </c>
      <c r="H77" s="6" t="s">
        <v>71</v>
      </c>
      <c r="I77" s="6" t="s">
        <v>82</v>
      </c>
      <c r="J77" s="6" t="s">
        <v>102</v>
      </c>
      <c r="K77" s="6" t="s">
        <v>131</v>
      </c>
      <c r="L77" s="13"/>
      <c r="M77" s="13"/>
      <c r="N77" s="3"/>
    </row>
    <row r="78" spans="1:17" ht="18.75" customHeight="1" x14ac:dyDescent="0.25">
      <c r="A78" s="220">
        <v>1</v>
      </c>
      <c r="B78" s="221"/>
      <c r="C78" s="221"/>
      <c r="D78" s="221"/>
      <c r="E78" s="222"/>
      <c r="F78" s="6">
        <v>2</v>
      </c>
      <c r="G78" s="6">
        <v>3</v>
      </c>
      <c r="H78" s="26">
        <v>4</v>
      </c>
      <c r="I78" s="26">
        <v>5</v>
      </c>
      <c r="J78" s="99">
        <v>6</v>
      </c>
      <c r="K78" s="99" t="s">
        <v>79</v>
      </c>
      <c r="L78" s="13"/>
      <c r="M78" s="100"/>
      <c r="N78" s="3"/>
    </row>
    <row r="79" spans="1:17" x14ac:dyDescent="0.25">
      <c r="A79" s="227" t="s">
        <v>23</v>
      </c>
      <c r="B79" s="227"/>
      <c r="C79" s="227"/>
      <c r="D79" s="227"/>
      <c r="E79" s="227"/>
      <c r="F79" s="7" t="s">
        <v>26</v>
      </c>
      <c r="G79" s="10">
        <f>I79/H79</f>
        <v>0.16889878168747632</v>
      </c>
      <c r="H79" s="9">
        <v>8457.6</v>
      </c>
      <c r="I79" s="9">
        <f>59272.96*N27</f>
        <v>1428.4783359999999</v>
      </c>
      <c r="J79" s="12">
        <v>25</v>
      </c>
      <c r="K79" s="9">
        <f>I79/J79</f>
        <v>57.139133439999995</v>
      </c>
      <c r="L79" s="13"/>
      <c r="M79" s="66"/>
      <c r="N79" s="9"/>
      <c r="Q79">
        <v>5702.59</v>
      </c>
    </row>
    <row r="80" spans="1:17" x14ac:dyDescent="0.25">
      <c r="A80" s="227" t="s">
        <v>24</v>
      </c>
      <c r="B80" s="227"/>
      <c r="C80" s="227"/>
      <c r="D80" s="227"/>
      <c r="E80" s="227"/>
      <c r="F80" s="7" t="s">
        <v>27</v>
      </c>
      <c r="G80" s="10">
        <f>I80/H80</f>
        <v>4.5635252919613309</v>
      </c>
      <c r="H80" s="9">
        <v>1849.56</v>
      </c>
      <c r="I80" s="9">
        <f>350228.79*N27</f>
        <v>8440.5138389999993</v>
      </c>
      <c r="J80" s="12">
        <v>25</v>
      </c>
      <c r="K80" s="9">
        <f>I80/J80</f>
        <v>337.62055355999996</v>
      </c>
      <c r="L80" s="13"/>
      <c r="M80" s="13"/>
      <c r="N80" s="14"/>
      <c r="Q80">
        <v>8442.66</v>
      </c>
    </row>
    <row r="81" spans="1:14" x14ac:dyDescent="0.25">
      <c r="A81" s="227" t="s">
        <v>83</v>
      </c>
      <c r="B81" s="227"/>
      <c r="C81" s="227"/>
      <c r="D81" s="227"/>
      <c r="E81" s="227"/>
      <c r="F81" s="7" t="s">
        <v>28</v>
      </c>
      <c r="G81" s="10">
        <f>I81/H81</f>
        <v>3.0670087034144164</v>
      </c>
      <c r="H81" s="9">
        <v>44.81</v>
      </c>
      <c r="I81" s="9">
        <f>5702.6*N27</f>
        <v>137.43266</v>
      </c>
      <c r="J81" s="12">
        <v>25</v>
      </c>
      <c r="K81" s="9">
        <f>I81/J81</f>
        <v>5.4973064000000003</v>
      </c>
      <c r="L81" s="13"/>
      <c r="M81" s="13"/>
      <c r="N81" s="13"/>
    </row>
    <row r="82" spans="1:14" x14ac:dyDescent="0.25">
      <c r="A82" s="228" t="s">
        <v>25</v>
      </c>
      <c r="B82" s="228"/>
      <c r="C82" s="228"/>
      <c r="D82" s="228"/>
      <c r="E82" s="228"/>
      <c r="F82" s="21" t="s">
        <v>28</v>
      </c>
      <c r="G82" s="10">
        <f>I82/H82</f>
        <v>3.1178220962304626</v>
      </c>
      <c r="H82" s="14">
        <v>65.260000000000005</v>
      </c>
      <c r="I82" s="14">
        <f>8442.7*N27</f>
        <v>203.46907000000002</v>
      </c>
      <c r="J82" s="12">
        <v>25</v>
      </c>
      <c r="K82" s="14">
        <f>I82/J82</f>
        <v>8.1387628000000003</v>
      </c>
      <c r="L82" s="13"/>
      <c r="M82" s="13"/>
      <c r="N82" s="13"/>
    </row>
    <row r="83" spans="1:14" ht="15.75" thickBot="1" x14ac:dyDescent="0.3">
      <c r="A83" s="228" t="s">
        <v>162</v>
      </c>
      <c r="B83" s="228"/>
      <c r="C83" s="228"/>
      <c r="D83" s="228"/>
      <c r="E83" s="228"/>
      <c r="F83" s="21"/>
      <c r="G83" s="10">
        <f>I83/H83</f>
        <v>0.37107359128784756</v>
      </c>
      <c r="H83" s="14">
        <v>1212.0999999999999</v>
      </c>
      <c r="I83" s="14">
        <f>18663*N27</f>
        <v>449.7783</v>
      </c>
      <c r="J83" s="12">
        <v>25</v>
      </c>
      <c r="K83" s="14">
        <f>I83/J83</f>
        <v>17.991132</v>
      </c>
      <c r="L83" s="13"/>
      <c r="M83" s="13"/>
      <c r="N83" s="13"/>
    </row>
    <row r="84" spans="1:14" ht="15.75" thickBot="1" x14ac:dyDescent="0.3">
      <c r="A84" s="229" t="s">
        <v>29</v>
      </c>
      <c r="B84" s="230"/>
      <c r="C84" s="230"/>
      <c r="D84" s="230"/>
      <c r="E84" s="231"/>
      <c r="F84" s="22"/>
      <c r="G84" s="22"/>
      <c r="H84" s="22"/>
      <c r="I84" s="42">
        <f>SUM(I79:I83)</f>
        <v>10659.672204999999</v>
      </c>
      <c r="J84" s="15"/>
      <c r="K84" s="24">
        <f>SUM(K79:K83)</f>
        <v>426.38688819999999</v>
      </c>
      <c r="L84" s="13"/>
      <c r="M84" s="13"/>
      <c r="N84" s="13">
        <f>I84/88.1%</f>
        <v>12099.514421112373</v>
      </c>
    </row>
    <row r="85" spans="1:14" x14ac:dyDescent="0.25">
      <c r="A85" s="64"/>
      <c r="B85" s="64"/>
      <c r="C85" s="64"/>
      <c r="D85" s="64"/>
      <c r="E85" s="64"/>
      <c r="F85" s="64"/>
      <c r="G85" s="64"/>
      <c r="H85" s="64"/>
      <c r="I85" s="65"/>
      <c r="J85" s="66"/>
      <c r="K85" s="67"/>
      <c r="L85" s="13"/>
      <c r="M85" s="13"/>
      <c r="N85" s="16"/>
    </row>
    <row r="86" spans="1:14" x14ac:dyDescent="0.25">
      <c r="A86" s="218" t="s">
        <v>30</v>
      </c>
      <c r="B86" s="218"/>
      <c r="C86" s="218"/>
      <c r="D86" s="218"/>
      <c r="E86" s="218"/>
      <c r="F86" s="218"/>
      <c r="G86" s="218"/>
      <c r="H86" s="218"/>
      <c r="I86" s="218"/>
      <c r="J86" s="218"/>
      <c r="K86" s="218"/>
      <c r="L86" s="218"/>
      <c r="M86" s="218"/>
      <c r="N86" s="3"/>
    </row>
    <row r="87" spans="1:14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3"/>
    </row>
    <row r="88" spans="1:14" ht="60" x14ac:dyDescent="0.25">
      <c r="A88" s="223" t="s">
        <v>32</v>
      </c>
      <c r="B88" s="223"/>
      <c r="C88" s="223"/>
      <c r="D88" s="223"/>
      <c r="E88" s="223"/>
      <c r="F88" s="26" t="s">
        <v>7</v>
      </c>
      <c r="G88" s="26" t="s">
        <v>18</v>
      </c>
      <c r="H88" s="8" t="s">
        <v>85</v>
      </c>
      <c r="I88" s="6" t="s">
        <v>82</v>
      </c>
      <c r="J88" s="6" t="s">
        <v>102</v>
      </c>
      <c r="K88" s="6" t="s">
        <v>131</v>
      </c>
      <c r="L88" s="13"/>
      <c r="M88" s="13"/>
      <c r="N88" s="3"/>
    </row>
    <row r="89" spans="1:14" x14ac:dyDescent="0.25">
      <c r="A89" s="196" t="s">
        <v>161</v>
      </c>
      <c r="B89" s="196"/>
      <c r="C89" s="196"/>
      <c r="D89" s="196"/>
      <c r="E89" s="196"/>
      <c r="F89" s="18" t="s">
        <v>31</v>
      </c>
      <c r="G89" s="18">
        <v>1</v>
      </c>
      <c r="H89" s="54">
        <v>3027.85</v>
      </c>
      <c r="I89" s="9">
        <f>36334.2*$N$4</f>
        <v>875.6542199999999</v>
      </c>
      <c r="J89" s="12">
        <v>25</v>
      </c>
      <c r="K89" s="23">
        <f t="shared" ref="K89:K94" si="2">I89/J89</f>
        <v>35.026168799999994</v>
      </c>
      <c r="L89" s="13"/>
      <c r="M89" s="13"/>
      <c r="N89" s="13"/>
    </row>
    <row r="90" spans="1:14" ht="36.6" customHeight="1" x14ac:dyDescent="0.25">
      <c r="A90" s="232" t="s">
        <v>109</v>
      </c>
      <c r="B90" s="232"/>
      <c r="C90" s="232"/>
      <c r="D90" s="232"/>
      <c r="E90" s="233"/>
      <c r="F90" s="18" t="s">
        <v>31</v>
      </c>
      <c r="G90" s="18">
        <v>1</v>
      </c>
      <c r="H90" s="55"/>
      <c r="I90" s="101">
        <f>10000*N4</f>
        <v>241</v>
      </c>
      <c r="J90" s="12">
        <v>25</v>
      </c>
      <c r="K90" s="23">
        <f t="shared" si="2"/>
        <v>9.64</v>
      </c>
      <c r="L90" s="13"/>
      <c r="M90" s="97"/>
      <c r="N90" s="13"/>
    </row>
    <row r="91" spans="1:14" ht="15" customHeight="1" x14ac:dyDescent="0.25">
      <c r="A91" s="224" t="s">
        <v>110</v>
      </c>
      <c r="B91" s="225"/>
      <c r="C91" s="225"/>
      <c r="D91" s="225"/>
      <c r="E91" s="226"/>
      <c r="F91" s="18" t="s">
        <v>31</v>
      </c>
      <c r="G91" s="18">
        <v>1</v>
      </c>
      <c r="H91" s="54"/>
      <c r="I91" s="9">
        <f>6500*N4</f>
        <v>156.65</v>
      </c>
      <c r="J91" s="12">
        <v>25</v>
      </c>
      <c r="K91" s="23">
        <f t="shared" si="2"/>
        <v>6.266</v>
      </c>
      <c r="L91" s="13"/>
      <c r="M91" s="13"/>
      <c r="N91" s="13"/>
    </row>
    <row r="92" spans="1:14" x14ac:dyDescent="0.25">
      <c r="A92" s="164" t="s">
        <v>111</v>
      </c>
      <c r="B92" s="165"/>
      <c r="C92" s="165"/>
      <c r="D92" s="165"/>
      <c r="E92" s="166"/>
      <c r="F92" s="18" t="s">
        <v>31</v>
      </c>
      <c r="G92" s="18">
        <v>1</v>
      </c>
      <c r="H92" s="54"/>
      <c r="I92" s="9">
        <f>10000*N4</f>
        <v>241</v>
      </c>
      <c r="J92" s="12">
        <v>25</v>
      </c>
      <c r="K92" s="23">
        <f t="shared" si="2"/>
        <v>9.64</v>
      </c>
      <c r="L92" s="13"/>
      <c r="M92" s="13"/>
      <c r="N92" s="13"/>
    </row>
    <row r="93" spans="1:14" x14ac:dyDescent="0.25">
      <c r="A93" s="196" t="s">
        <v>112</v>
      </c>
      <c r="B93" s="196"/>
      <c r="C93" s="196"/>
      <c r="D93" s="196"/>
      <c r="E93" s="196"/>
      <c r="F93" s="18" t="s">
        <v>31</v>
      </c>
      <c r="G93" s="18">
        <v>1</v>
      </c>
      <c r="H93" s="54">
        <v>500</v>
      </c>
      <c r="I93" s="14">
        <f>6000*N4</f>
        <v>144.6</v>
      </c>
      <c r="J93" s="12">
        <v>25</v>
      </c>
      <c r="K93" s="23">
        <f>I93/J93</f>
        <v>5.7839999999999998</v>
      </c>
      <c r="L93" s="13"/>
      <c r="M93" s="13"/>
      <c r="N93" s="13"/>
    </row>
    <row r="94" spans="1:14" s="1" customFormat="1" ht="15.75" thickBot="1" x14ac:dyDescent="0.3">
      <c r="A94" s="215" t="s">
        <v>116</v>
      </c>
      <c r="B94" s="216"/>
      <c r="C94" s="216"/>
      <c r="D94" s="216"/>
      <c r="E94" s="217"/>
      <c r="F94" s="18" t="s">
        <v>31</v>
      </c>
      <c r="G94" s="18">
        <v>1</v>
      </c>
      <c r="H94" s="54">
        <v>1500</v>
      </c>
      <c r="I94" s="14">
        <f>18000*N4</f>
        <v>433.8</v>
      </c>
      <c r="J94" s="12">
        <v>25</v>
      </c>
      <c r="K94" s="23">
        <f t="shared" si="2"/>
        <v>17.352</v>
      </c>
      <c r="L94" s="86"/>
      <c r="M94" s="86"/>
      <c r="N94" s="86"/>
    </row>
    <row r="95" spans="1:14" ht="15.75" thickBot="1" x14ac:dyDescent="0.3">
      <c r="A95" s="167" t="s">
        <v>89</v>
      </c>
      <c r="B95" s="168"/>
      <c r="C95" s="168"/>
      <c r="D95" s="168"/>
      <c r="E95" s="168"/>
      <c r="F95" s="168"/>
      <c r="G95" s="168"/>
      <c r="H95" s="168"/>
      <c r="I95" s="102">
        <f>SUM(I89:I94)</f>
        <v>2092.7042200000001</v>
      </c>
      <c r="J95" s="13"/>
      <c r="K95" s="92">
        <f>SUM(K89:K94)</f>
        <v>83.708168799999996</v>
      </c>
      <c r="L95" s="13"/>
      <c r="M95" s="13"/>
      <c r="N95" s="13">
        <f>I95/88.1%</f>
        <v>2375.3736889897846</v>
      </c>
    </row>
    <row r="96" spans="1:14" x14ac:dyDescent="0.25">
      <c r="A96" s="218" t="s">
        <v>84</v>
      </c>
      <c r="B96" s="218"/>
      <c r="C96" s="218"/>
      <c r="D96" s="218"/>
      <c r="E96" s="218"/>
      <c r="F96" s="218"/>
      <c r="G96" s="218"/>
      <c r="H96" s="218"/>
      <c r="I96" s="218"/>
      <c r="J96" s="218"/>
      <c r="K96" s="218"/>
      <c r="L96" s="218"/>
      <c r="M96" s="218"/>
      <c r="N96" s="3"/>
    </row>
    <row r="97" spans="1:14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3"/>
    </row>
    <row r="98" spans="1:14" ht="60" x14ac:dyDescent="0.25">
      <c r="A98" s="206" t="s">
        <v>32</v>
      </c>
      <c r="B98" s="206"/>
      <c r="C98" s="206"/>
      <c r="D98" s="206"/>
      <c r="E98" s="206"/>
      <c r="F98" s="6" t="s">
        <v>92</v>
      </c>
      <c r="G98" s="6" t="s">
        <v>22</v>
      </c>
      <c r="H98" s="6" t="s">
        <v>82</v>
      </c>
      <c r="I98" s="6" t="s">
        <v>102</v>
      </c>
      <c r="J98" s="6" t="s">
        <v>131</v>
      </c>
      <c r="K98" s="13"/>
      <c r="L98" s="13"/>
      <c r="M98" s="13"/>
      <c r="N98" s="3"/>
    </row>
    <row r="99" spans="1:14" ht="18" customHeight="1" x14ac:dyDescent="0.25">
      <c r="A99" s="200" t="s">
        <v>113</v>
      </c>
      <c r="B99" s="201"/>
      <c r="C99" s="201"/>
      <c r="D99" s="201"/>
      <c r="E99" s="202"/>
      <c r="F99" s="6">
        <v>4</v>
      </c>
      <c r="G99" s="26">
        <v>4500</v>
      </c>
      <c r="H99" s="103">
        <f>18000*N27</f>
        <v>433.8</v>
      </c>
      <c r="I99" s="12">
        <v>25</v>
      </c>
      <c r="J99" s="19">
        <f>H99/I99</f>
        <v>17.352</v>
      </c>
      <c r="K99" s="13"/>
      <c r="L99" s="13"/>
      <c r="M99" s="13"/>
      <c r="N99" s="13"/>
    </row>
    <row r="100" spans="1:14" ht="20.25" customHeight="1" x14ac:dyDescent="0.25">
      <c r="A100" s="192" t="s">
        <v>114</v>
      </c>
      <c r="B100" s="192"/>
      <c r="C100" s="192"/>
      <c r="D100" s="192"/>
      <c r="E100" s="192"/>
      <c r="F100" s="6">
        <v>12</v>
      </c>
      <c r="G100" s="26">
        <v>3000</v>
      </c>
      <c r="H100" s="103">
        <f>36000*N27</f>
        <v>867.6</v>
      </c>
      <c r="I100" s="12">
        <v>25</v>
      </c>
      <c r="J100" s="19">
        <f>H100/I100</f>
        <v>34.704000000000001</v>
      </c>
      <c r="K100" s="13"/>
      <c r="L100" s="13"/>
      <c r="M100" s="13"/>
      <c r="N100" s="13"/>
    </row>
    <row r="101" spans="1:14" ht="18.75" customHeight="1" thickBot="1" x14ac:dyDescent="0.3">
      <c r="A101" s="192" t="s">
        <v>115</v>
      </c>
      <c r="B101" s="192"/>
      <c r="C101" s="192"/>
      <c r="D101" s="192"/>
      <c r="E101" s="192"/>
      <c r="F101" s="6">
        <v>12</v>
      </c>
      <c r="G101" s="26">
        <v>1000</v>
      </c>
      <c r="H101" s="103">
        <f>12000*N26</f>
        <v>289.2</v>
      </c>
      <c r="I101" s="12">
        <v>25</v>
      </c>
      <c r="J101" s="19">
        <f>H101/I101</f>
        <v>11.568</v>
      </c>
      <c r="K101" s="13"/>
      <c r="L101" s="13"/>
      <c r="M101" s="13"/>
      <c r="N101" s="13"/>
    </row>
    <row r="102" spans="1:14" ht="20.25" customHeight="1" thickBot="1" x14ac:dyDescent="0.3">
      <c r="A102" s="236" t="s">
        <v>88</v>
      </c>
      <c r="B102" s="237"/>
      <c r="C102" s="237"/>
      <c r="D102" s="237"/>
      <c r="E102" s="238"/>
      <c r="F102" s="104"/>
      <c r="G102" s="104"/>
      <c r="H102" s="42">
        <f>SUM(H99:H101)</f>
        <v>1590.6000000000001</v>
      </c>
      <c r="I102" s="13"/>
      <c r="J102" s="20">
        <f>SUM(J99:J101)</f>
        <v>63.623999999999995</v>
      </c>
      <c r="K102" s="13"/>
      <c r="L102" s="105"/>
      <c r="M102" s="13"/>
      <c r="N102" s="13">
        <f>H102/88.1%</f>
        <v>1805.4483541430197</v>
      </c>
    </row>
    <row r="103" spans="1:14" ht="69" customHeight="1" x14ac:dyDescent="0.25">
      <c r="A103" s="106"/>
      <c r="B103" s="107"/>
      <c r="C103" s="107"/>
      <c r="D103" s="107"/>
      <c r="E103" s="107"/>
      <c r="F103" s="107"/>
      <c r="G103" s="107"/>
      <c r="H103" s="108"/>
      <c r="I103" s="86"/>
      <c r="J103" s="109"/>
      <c r="K103" s="13"/>
      <c r="L103" s="105"/>
      <c r="M103" s="13"/>
      <c r="N103" s="3"/>
    </row>
    <row r="104" spans="1:14" ht="31.5" customHeight="1" x14ac:dyDescent="0.25">
      <c r="A104" s="282" t="s">
        <v>86</v>
      </c>
      <c r="B104" s="282"/>
      <c r="C104" s="282"/>
      <c r="D104" s="282"/>
      <c r="E104" s="282"/>
      <c r="F104" s="283"/>
      <c r="G104" s="283"/>
      <c r="H104" s="283"/>
      <c r="I104" s="283"/>
      <c r="J104" s="283"/>
      <c r="K104" s="283"/>
      <c r="L104" s="283"/>
      <c r="M104" s="283"/>
      <c r="N104" s="283"/>
    </row>
    <row r="105" spans="1:14" ht="45" x14ac:dyDescent="0.25">
      <c r="A105" s="206" t="s">
        <v>33</v>
      </c>
      <c r="B105" s="206"/>
      <c r="C105" s="206"/>
      <c r="D105" s="206"/>
      <c r="E105" s="206"/>
      <c r="F105" s="6" t="s">
        <v>7</v>
      </c>
      <c r="G105" s="6" t="s">
        <v>18</v>
      </c>
      <c r="H105" s="6" t="s">
        <v>71</v>
      </c>
      <c r="I105" s="6" t="s">
        <v>34</v>
      </c>
      <c r="J105" s="6" t="s">
        <v>82</v>
      </c>
      <c r="K105" s="26" t="s">
        <v>102</v>
      </c>
      <c r="L105" s="6" t="s">
        <v>131</v>
      </c>
      <c r="M105" s="13"/>
      <c r="N105" s="3"/>
    </row>
    <row r="106" spans="1:14" ht="31.5" customHeight="1" x14ac:dyDescent="0.25">
      <c r="A106" s="206" t="s">
        <v>35</v>
      </c>
      <c r="B106" s="206"/>
      <c r="C106" s="206"/>
      <c r="D106" s="206"/>
      <c r="E106" s="206"/>
      <c r="F106" s="17" t="s">
        <v>36</v>
      </c>
      <c r="G106" s="18">
        <v>3</v>
      </c>
      <c r="H106" s="52">
        <v>590.59</v>
      </c>
      <c r="I106" s="18">
        <v>12</v>
      </c>
      <c r="J106" s="14">
        <f>(14174.16+1012.44+9696)*N26</f>
        <v>599.67066</v>
      </c>
      <c r="K106" s="12">
        <v>25</v>
      </c>
      <c r="L106" s="19">
        <f>J106/K106</f>
        <v>23.986826399999998</v>
      </c>
      <c r="M106" s="13"/>
      <c r="N106" s="13"/>
    </row>
    <row r="107" spans="1:14" ht="22.5" customHeight="1" thickBot="1" x14ac:dyDescent="0.3">
      <c r="A107" s="206" t="s">
        <v>97</v>
      </c>
      <c r="B107" s="206"/>
      <c r="C107" s="206"/>
      <c r="D107" s="206"/>
      <c r="E107" s="206"/>
      <c r="F107" s="17" t="s">
        <v>98</v>
      </c>
      <c r="G107" s="18">
        <v>1</v>
      </c>
      <c r="H107" s="52">
        <v>3300</v>
      </c>
      <c r="I107" s="18">
        <v>12</v>
      </c>
      <c r="J107" s="14">
        <f>36000*N26</f>
        <v>867.6</v>
      </c>
      <c r="K107" s="12">
        <v>25</v>
      </c>
      <c r="L107" s="19">
        <f>J107/K107</f>
        <v>34.704000000000001</v>
      </c>
      <c r="M107" s="13"/>
      <c r="N107" s="13"/>
    </row>
    <row r="108" spans="1:14" ht="20.25" customHeight="1" thickBot="1" x14ac:dyDescent="0.3">
      <c r="A108" s="234" t="s">
        <v>37</v>
      </c>
      <c r="B108" s="235"/>
      <c r="C108" s="235"/>
      <c r="D108" s="235"/>
      <c r="E108" s="246"/>
      <c r="F108" s="234"/>
      <c r="G108" s="235"/>
      <c r="H108" s="235"/>
      <c r="I108" s="235"/>
      <c r="J108" s="42">
        <f>J107+J106</f>
        <v>1467.2706600000001</v>
      </c>
      <c r="K108" s="13"/>
      <c r="L108" s="20">
        <f>SUM(L106:L107)</f>
        <v>58.690826399999999</v>
      </c>
      <c r="M108" s="137"/>
      <c r="N108" s="3"/>
    </row>
    <row r="109" spans="1:14" ht="62.25" customHeight="1" x14ac:dyDescent="0.25">
      <c r="A109" s="110"/>
      <c r="B109" s="110"/>
      <c r="C109" s="110"/>
      <c r="D109" s="110"/>
      <c r="E109" s="110"/>
      <c r="F109" s="110"/>
      <c r="G109" s="110"/>
      <c r="H109" s="110"/>
      <c r="I109" s="110"/>
      <c r="J109" s="108"/>
      <c r="K109" s="86"/>
      <c r="L109" s="109"/>
      <c r="M109" s="13"/>
      <c r="N109" s="3"/>
    </row>
    <row r="110" spans="1:14" ht="95.25" hidden="1" customHeight="1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66"/>
      <c r="M110" s="66"/>
      <c r="N110" s="3"/>
    </row>
    <row r="111" spans="1:14" ht="12" customHeight="1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66"/>
      <c r="M111" s="66"/>
      <c r="N111" s="3"/>
    </row>
    <row r="112" spans="1:14" x14ac:dyDescent="0.25">
      <c r="A112" s="218" t="s">
        <v>118</v>
      </c>
      <c r="B112" s="218"/>
      <c r="C112" s="218"/>
      <c r="D112" s="218"/>
      <c r="E112" s="218"/>
      <c r="F112" s="218"/>
      <c r="G112" s="218"/>
      <c r="H112" s="218"/>
      <c r="I112" s="218"/>
      <c r="J112" s="218"/>
      <c r="K112" s="218"/>
      <c r="L112" s="218"/>
      <c r="M112" s="218"/>
      <c r="N112" s="3"/>
    </row>
    <row r="113" spans="1:14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3"/>
    </row>
    <row r="114" spans="1:14" ht="60" x14ac:dyDescent="0.25">
      <c r="A114" s="206" t="s">
        <v>3</v>
      </c>
      <c r="B114" s="206"/>
      <c r="C114" s="206"/>
      <c r="D114" s="206"/>
      <c r="E114" s="206"/>
      <c r="F114" s="6" t="s">
        <v>4</v>
      </c>
      <c r="G114" s="36" t="s">
        <v>0</v>
      </c>
      <c r="H114" s="17" t="s">
        <v>87</v>
      </c>
      <c r="I114" s="17" t="s">
        <v>76</v>
      </c>
      <c r="J114" s="6" t="s">
        <v>102</v>
      </c>
      <c r="K114" s="6" t="s">
        <v>131</v>
      </c>
      <c r="L114" s="6" t="s">
        <v>80</v>
      </c>
      <c r="M114" s="100"/>
      <c r="N114" s="3"/>
    </row>
    <row r="115" spans="1:14" x14ac:dyDescent="0.25">
      <c r="A115" s="241">
        <v>1</v>
      </c>
      <c r="B115" s="242"/>
      <c r="C115" s="242"/>
      <c r="D115" s="242"/>
      <c r="E115" s="243"/>
      <c r="F115" s="26">
        <v>2</v>
      </c>
      <c r="G115" s="18">
        <v>3</v>
      </c>
      <c r="H115" s="26">
        <v>4</v>
      </c>
      <c r="I115" s="26">
        <v>5</v>
      </c>
      <c r="J115" s="99">
        <v>6</v>
      </c>
      <c r="K115" s="111">
        <v>7</v>
      </c>
      <c r="L115" s="112">
        <v>8</v>
      </c>
      <c r="M115" s="100"/>
      <c r="N115" s="4"/>
    </row>
    <row r="116" spans="1:14" ht="15.75" thickBot="1" x14ac:dyDescent="0.3">
      <c r="A116" s="192" t="s">
        <v>108</v>
      </c>
      <c r="B116" s="192"/>
      <c r="C116" s="192"/>
      <c r="D116" s="192"/>
      <c r="E116" s="192"/>
      <c r="F116" s="9">
        <f>H116/12/G116</f>
        <v>27155.237499999996</v>
      </c>
      <c r="G116" s="9">
        <v>0.2</v>
      </c>
      <c r="H116" s="9">
        <v>65172.57</v>
      </c>
      <c r="I116" s="9">
        <v>84854.68</v>
      </c>
      <c r="J116" s="12">
        <v>25</v>
      </c>
      <c r="K116" s="9">
        <f>I116/J116</f>
        <v>3394.1871999999998</v>
      </c>
      <c r="L116" s="88">
        <f>I116/3520941.17*100</f>
        <v>2.4099999376019108</v>
      </c>
      <c r="M116" s="97"/>
      <c r="N116" s="4"/>
    </row>
    <row r="117" spans="1:14" ht="15.75" hidden="1" thickBot="1" x14ac:dyDescent="0.3">
      <c r="A117" s="193"/>
      <c r="B117" s="194"/>
      <c r="C117" s="194"/>
      <c r="D117" s="194"/>
      <c r="E117" s="195"/>
      <c r="F117" s="9">
        <v>17865.98</v>
      </c>
      <c r="G117" s="30">
        <v>4</v>
      </c>
      <c r="H117" s="12"/>
      <c r="I117" s="10">
        <f>J70</f>
        <v>0</v>
      </c>
      <c r="J117" s="9" t="e">
        <f t="shared" ref="J117:J138" si="3">G117/H117*I117</f>
        <v>#DIV/0!</v>
      </c>
      <c r="K117" s="9">
        <f t="shared" ref="K117:K138" si="4">F117*G117*12*1.302</f>
        <v>1116552.28608</v>
      </c>
      <c r="L117" s="31" t="s">
        <v>61</v>
      </c>
      <c r="M117" s="113" t="e">
        <f t="shared" ref="M117:M141" si="5">J117*K117</f>
        <v>#DIV/0!</v>
      </c>
      <c r="N117" s="4"/>
    </row>
    <row r="118" spans="1:14" ht="15.75" hidden="1" thickBot="1" x14ac:dyDescent="0.3">
      <c r="A118" s="196"/>
      <c r="B118" s="196"/>
      <c r="C118" s="196"/>
      <c r="D118" s="196"/>
      <c r="E118" s="196"/>
      <c r="F118" s="9">
        <v>9544</v>
      </c>
      <c r="G118" s="30">
        <v>1</v>
      </c>
      <c r="H118" s="12"/>
      <c r="I118" s="10">
        <f>J70</f>
        <v>0</v>
      </c>
      <c r="J118" s="9" t="e">
        <f t="shared" si="3"/>
        <v>#DIV/0!</v>
      </c>
      <c r="K118" s="9">
        <f t="shared" si="4"/>
        <v>149115.45600000001</v>
      </c>
      <c r="L118" s="10">
        <f>I118/11277167.39*100</f>
        <v>0</v>
      </c>
      <c r="M118" s="9" t="e">
        <f t="shared" si="5"/>
        <v>#DIV/0!</v>
      </c>
      <c r="N118" s="4"/>
    </row>
    <row r="119" spans="1:14" ht="15" hidden="1" customHeight="1" x14ac:dyDescent="0.25">
      <c r="A119" s="244"/>
      <c r="B119" s="215"/>
      <c r="C119" s="215"/>
      <c r="D119" s="215"/>
      <c r="E119" s="245"/>
      <c r="F119" s="9">
        <v>11560</v>
      </c>
      <c r="G119" s="30">
        <v>1</v>
      </c>
      <c r="H119" s="12"/>
      <c r="I119" s="10">
        <f>J70</f>
        <v>0</v>
      </c>
      <c r="J119" s="9" t="e">
        <f t="shared" si="3"/>
        <v>#DIV/0!</v>
      </c>
      <c r="K119" s="9">
        <f t="shared" si="4"/>
        <v>180613.44</v>
      </c>
      <c r="L119" s="7"/>
      <c r="M119" s="9" t="e">
        <f t="shared" si="5"/>
        <v>#DIV/0!</v>
      </c>
      <c r="N119" s="4"/>
    </row>
    <row r="120" spans="1:14" ht="15.75" hidden="1" thickBot="1" x14ac:dyDescent="0.3">
      <c r="A120" s="192"/>
      <c r="B120" s="192"/>
      <c r="C120" s="192"/>
      <c r="D120" s="192"/>
      <c r="E120" s="192"/>
      <c r="F120" s="9">
        <v>9544</v>
      </c>
      <c r="G120" s="32">
        <v>0.5</v>
      </c>
      <c r="H120" s="12"/>
      <c r="I120" s="10">
        <f>J70</f>
        <v>0</v>
      </c>
      <c r="J120" s="9" t="e">
        <f t="shared" si="3"/>
        <v>#DIV/0!</v>
      </c>
      <c r="K120" s="9">
        <f t="shared" si="4"/>
        <v>74557.728000000003</v>
      </c>
      <c r="L120" s="7"/>
      <c r="M120" s="9" t="e">
        <f t="shared" si="5"/>
        <v>#DIV/0!</v>
      </c>
      <c r="N120" s="4"/>
    </row>
    <row r="121" spans="1:14" ht="15.75" hidden="1" thickBot="1" x14ac:dyDescent="0.3">
      <c r="A121" s="192"/>
      <c r="B121" s="192"/>
      <c r="C121" s="192"/>
      <c r="D121" s="192"/>
      <c r="E121" s="192"/>
      <c r="F121" s="9">
        <v>9544</v>
      </c>
      <c r="G121" s="30">
        <v>1</v>
      </c>
      <c r="H121" s="12"/>
      <c r="I121" s="10">
        <f>J70</f>
        <v>0</v>
      </c>
      <c r="J121" s="9" t="e">
        <f t="shared" si="3"/>
        <v>#DIV/0!</v>
      </c>
      <c r="K121" s="9">
        <f t="shared" si="4"/>
        <v>149115.45600000001</v>
      </c>
      <c r="L121" s="9"/>
      <c r="M121" s="9" t="e">
        <f t="shared" si="5"/>
        <v>#DIV/0!</v>
      </c>
      <c r="N121" s="4"/>
    </row>
    <row r="122" spans="1:14" ht="14.25" hidden="1" customHeight="1" x14ac:dyDescent="0.25">
      <c r="A122" s="192"/>
      <c r="B122" s="192"/>
      <c r="C122" s="192"/>
      <c r="D122" s="192"/>
      <c r="E122" s="192"/>
      <c r="F122" s="9">
        <v>9544</v>
      </c>
      <c r="G122" s="30">
        <v>1</v>
      </c>
      <c r="H122" s="12"/>
      <c r="I122" s="10">
        <f>J70</f>
        <v>0</v>
      </c>
      <c r="J122" s="9" t="e">
        <f t="shared" si="3"/>
        <v>#DIV/0!</v>
      </c>
      <c r="K122" s="9">
        <f t="shared" si="4"/>
        <v>149115.45600000001</v>
      </c>
      <c r="L122" s="13"/>
      <c r="M122" s="9" t="e">
        <f t="shared" si="5"/>
        <v>#DIV/0!</v>
      </c>
      <c r="N122" s="4"/>
    </row>
    <row r="123" spans="1:14" ht="15.75" hidden="1" thickBot="1" x14ac:dyDescent="0.3">
      <c r="A123" s="200"/>
      <c r="B123" s="201"/>
      <c r="C123" s="201"/>
      <c r="D123" s="201"/>
      <c r="E123" s="202"/>
      <c r="F123" s="9">
        <v>9544</v>
      </c>
      <c r="G123" s="9"/>
      <c r="H123" s="12"/>
      <c r="I123" s="10">
        <f>J70</f>
        <v>0</v>
      </c>
      <c r="J123" s="9" t="e">
        <f t="shared" si="3"/>
        <v>#DIV/0!</v>
      </c>
      <c r="K123" s="9">
        <f t="shared" si="4"/>
        <v>0</v>
      </c>
      <c r="L123" s="13"/>
      <c r="M123" s="9" t="e">
        <f t="shared" si="5"/>
        <v>#DIV/0!</v>
      </c>
      <c r="N123" s="4"/>
    </row>
    <row r="124" spans="1:14" ht="15.75" hidden="1" thickBot="1" x14ac:dyDescent="0.3">
      <c r="A124" s="200"/>
      <c r="B124" s="201"/>
      <c r="C124" s="201"/>
      <c r="D124" s="201"/>
      <c r="E124" s="202"/>
      <c r="F124" s="9">
        <v>9544</v>
      </c>
      <c r="G124" s="33">
        <v>0.25</v>
      </c>
      <c r="H124" s="12"/>
      <c r="I124" s="10">
        <f>J70</f>
        <v>0</v>
      </c>
      <c r="J124" s="9" t="e">
        <f t="shared" si="3"/>
        <v>#DIV/0!</v>
      </c>
      <c r="K124" s="9">
        <f t="shared" si="4"/>
        <v>37278.864000000001</v>
      </c>
      <c r="L124" s="13"/>
      <c r="M124" s="9" t="e">
        <f t="shared" si="5"/>
        <v>#DIV/0!</v>
      </c>
      <c r="N124" s="4"/>
    </row>
    <row r="125" spans="1:14" ht="15.75" hidden="1" thickBot="1" x14ac:dyDescent="0.3">
      <c r="A125" s="200"/>
      <c r="B125" s="201"/>
      <c r="C125" s="201"/>
      <c r="D125" s="201"/>
      <c r="E125" s="202"/>
      <c r="F125" s="9">
        <v>9544</v>
      </c>
      <c r="G125" s="9"/>
      <c r="H125" s="12"/>
      <c r="I125" s="10">
        <f>J70</f>
        <v>0</v>
      </c>
      <c r="J125" s="9" t="e">
        <f t="shared" si="3"/>
        <v>#DIV/0!</v>
      </c>
      <c r="K125" s="9">
        <f t="shared" si="4"/>
        <v>0</v>
      </c>
      <c r="L125" s="13"/>
      <c r="M125" s="9" t="e">
        <f t="shared" si="5"/>
        <v>#DIV/0!</v>
      </c>
      <c r="N125" s="4"/>
    </row>
    <row r="126" spans="1:14" ht="15.75" hidden="1" thickBot="1" x14ac:dyDescent="0.3">
      <c r="A126" s="200"/>
      <c r="B126" s="201"/>
      <c r="C126" s="201"/>
      <c r="D126" s="201"/>
      <c r="E126" s="202"/>
      <c r="F126" s="9">
        <v>9544</v>
      </c>
      <c r="G126" s="32">
        <v>0.5</v>
      </c>
      <c r="H126" s="12"/>
      <c r="I126" s="10">
        <f>J70</f>
        <v>0</v>
      </c>
      <c r="J126" s="9" t="e">
        <f t="shared" si="3"/>
        <v>#DIV/0!</v>
      </c>
      <c r="K126" s="9">
        <f t="shared" si="4"/>
        <v>74557.728000000003</v>
      </c>
      <c r="L126" s="13"/>
      <c r="M126" s="9" t="e">
        <f t="shared" si="5"/>
        <v>#DIV/0!</v>
      </c>
      <c r="N126" s="4"/>
    </row>
    <row r="127" spans="1:14" ht="15.75" hidden="1" customHeight="1" x14ac:dyDescent="0.25">
      <c r="A127" s="200"/>
      <c r="B127" s="201"/>
      <c r="C127" s="201"/>
      <c r="D127" s="201"/>
      <c r="E127" s="202"/>
      <c r="F127" s="9">
        <v>9544</v>
      </c>
      <c r="G127" s="30">
        <v>1</v>
      </c>
      <c r="H127" s="12"/>
      <c r="I127" s="10">
        <f>J70</f>
        <v>0</v>
      </c>
      <c r="J127" s="9" t="e">
        <f t="shared" si="3"/>
        <v>#DIV/0!</v>
      </c>
      <c r="K127" s="9">
        <f t="shared" si="4"/>
        <v>149115.45600000001</v>
      </c>
      <c r="L127" s="13"/>
      <c r="M127" s="9" t="e">
        <f t="shared" si="5"/>
        <v>#DIV/0!</v>
      </c>
      <c r="N127" s="4"/>
    </row>
    <row r="128" spans="1:14" ht="15" hidden="1" customHeight="1" x14ac:dyDescent="0.25">
      <c r="A128" s="192"/>
      <c r="B128" s="192"/>
      <c r="C128" s="192"/>
      <c r="D128" s="192"/>
      <c r="E128" s="192"/>
      <c r="F128" s="9">
        <v>9544</v>
      </c>
      <c r="G128" s="30">
        <v>1</v>
      </c>
      <c r="H128" s="12"/>
      <c r="I128" s="10">
        <f>J70</f>
        <v>0</v>
      </c>
      <c r="J128" s="9" t="e">
        <f t="shared" si="3"/>
        <v>#DIV/0!</v>
      </c>
      <c r="K128" s="9">
        <f t="shared" si="4"/>
        <v>149115.45600000001</v>
      </c>
      <c r="L128" s="13"/>
      <c r="M128" s="9" t="e">
        <f t="shared" si="5"/>
        <v>#DIV/0!</v>
      </c>
      <c r="N128" s="4"/>
    </row>
    <row r="129" spans="1:14" ht="15" hidden="1" customHeight="1" x14ac:dyDescent="0.25">
      <c r="A129" s="192"/>
      <c r="B129" s="192"/>
      <c r="C129" s="192"/>
      <c r="D129" s="192"/>
      <c r="E129" s="192"/>
      <c r="F129" s="9">
        <v>9544</v>
      </c>
      <c r="G129" s="32">
        <v>5.5</v>
      </c>
      <c r="H129" s="12"/>
      <c r="I129" s="10">
        <f>J70</f>
        <v>0</v>
      </c>
      <c r="J129" s="9" t="e">
        <f t="shared" si="3"/>
        <v>#DIV/0!</v>
      </c>
      <c r="K129" s="9">
        <f t="shared" si="4"/>
        <v>820135.00800000003</v>
      </c>
      <c r="L129" s="13"/>
      <c r="M129" s="9" t="e">
        <f t="shared" si="5"/>
        <v>#DIV/0!</v>
      </c>
      <c r="N129" s="4"/>
    </row>
    <row r="130" spans="1:14" ht="15" hidden="1" customHeight="1" x14ac:dyDescent="0.25">
      <c r="A130" s="192"/>
      <c r="B130" s="192"/>
      <c r="C130" s="192"/>
      <c r="D130" s="192"/>
      <c r="E130" s="192"/>
      <c r="F130" s="9">
        <v>9544</v>
      </c>
      <c r="G130" s="30">
        <v>1</v>
      </c>
      <c r="H130" s="12"/>
      <c r="I130" s="10">
        <f>J70</f>
        <v>0</v>
      </c>
      <c r="J130" s="9" t="e">
        <f t="shared" si="3"/>
        <v>#DIV/0!</v>
      </c>
      <c r="K130" s="9">
        <f t="shared" si="4"/>
        <v>149115.45600000001</v>
      </c>
      <c r="L130" s="13"/>
      <c r="M130" s="9" t="e">
        <f t="shared" si="5"/>
        <v>#DIV/0!</v>
      </c>
      <c r="N130" s="4"/>
    </row>
    <row r="131" spans="1:14" ht="15" hidden="1" customHeight="1" x14ac:dyDescent="0.25">
      <c r="A131" s="192"/>
      <c r="B131" s="192"/>
      <c r="C131" s="192"/>
      <c r="D131" s="192"/>
      <c r="E131" s="192"/>
      <c r="F131" s="9">
        <v>9544</v>
      </c>
      <c r="G131" s="32">
        <v>0.5</v>
      </c>
      <c r="H131" s="12"/>
      <c r="I131" s="10">
        <f>J70</f>
        <v>0</v>
      </c>
      <c r="J131" s="9" t="e">
        <f t="shared" si="3"/>
        <v>#DIV/0!</v>
      </c>
      <c r="K131" s="9">
        <f t="shared" si="4"/>
        <v>74557.728000000003</v>
      </c>
      <c r="L131" s="13"/>
      <c r="M131" s="9" t="e">
        <f t="shared" si="5"/>
        <v>#DIV/0!</v>
      </c>
      <c r="N131" s="4"/>
    </row>
    <row r="132" spans="1:14" ht="15" hidden="1" customHeight="1" x14ac:dyDescent="0.25">
      <c r="A132" s="192"/>
      <c r="B132" s="192"/>
      <c r="C132" s="192"/>
      <c r="D132" s="192"/>
      <c r="E132" s="192"/>
      <c r="F132" s="9">
        <v>9544</v>
      </c>
      <c r="G132" s="32">
        <v>0.5</v>
      </c>
      <c r="H132" s="12"/>
      <c r="I132" s="10">
        <f>J70</f>
        <v>0</v>
      </c>
      <c r="J132" s="9" t="e">
        <f t="shared" si="3"/>
        <v>#DIV/0!</v>
      </c>
      <c r="K132" s="9">
        <f t="shared" si="4"/>
        <v>74557.728000000003</v>
      </c>
      <c r="L132" s="13"/>
      <c r="M132" s="9" t="e">
        <f t="shared" si="5"/>
        <v>#DIV/0!</v>
      </c>
      <c r="N132" s="4"/>
    </row>
    <row r="133" spans="1:14" ht="15.75" hidden="1" thickBot="1" x14ac:dyDescent="0.3">
      <c r="A133" s="192"/>
      <c r="B133" s="192"/>
      <c r="C133" s="192"/>
      <c r="D133" s="192"/>
      <c r="E133" s="192"/>
      <c r="F133" s="9">
        <v>9544</v>
      </c>
      <c r="G133" s="30">
        <v>1</v>
      </c>
      <c r="H133" s="12"/>
      <c r="I133" s="10">
        <f>J70</f>
        <v>0</v>
      </c>
      <c r="J133" s="9" t="e">
        <f t="shared" si="3"/>
        <v>#DIV/0!</v>
      </c>
      <c r="K133" s="9">
        <f t="shared" si="4"/>
        <v>149115.45600000001</v>
      </c>
      <c r="L133" s="13"/>
      <c r="M133" s="9" t="e">
        <f t="shared" si="5"/>
        <v>#DIV/0!</v>
      </c>
      <c r="N133" s="4"/>
    </row>
    <row r="134" spans="1:14" ht="15.75" hidden="1" customHeight="1" x14ac:dyDescent="0.25">
      <c r="A134" s="192"/>
      <c r="B134" s="192"/>
      <c r="C134" s="192"/>
      <c r="D134" s="192"/>
      <c r="E134" s="192"/>
      <c r="F134" s="9">
        <v>9544</v>
      </c>
      <c r="G134" s="30">
        <v>4</v>
      </c>
      <c r="H134" s="12"/>
      <c r="I134" s="10">
        <f>J70</f>
        <v>0</v>
      </c>
      <c r="J134" s="9" t="e">
        <f t="shared" si="3"/>
        <v>#DIV/0!</v>
      </c>
      <c r="K134" s="9">
        <f t="shared" si="4"/>
        <v>596461.82400000002</v>
      </c>
      <c r="L134" s="13"/>
      <c r="M134" s="9" t="e">
        <f t="shared" si="5"/>
        <v>#DIV/0!</v>
      </c>
      <c r="N134" s="4"/>
    </row>
    <row r="135" spans="1:14" ht="16.5" hidden="1" customHeight="1" x14ac:dyDescent="0.25">
      <c r="A135" s="200"/>
      <c r="B135" s="201"/>
      <c r="C135" s="201"/>
      <c r="D135" s="201"/>
      <c r="E135" s="202"/>
      <c r="F135" s="9">
        <v>9544</v>
      </c>
      <c r="G135" s="30">
        <v>1</v>
      </c>
      <c r="H135" s="12"/>
      <c r="I135" s="10">
        <f>J70</f>
        <v>0</v>
      </c>
      <c r="J135" s="9" t="e">
        <f t="shared" si="3"/>
        <v>#DIV/0!</v>
      </c>
      <c r="K135" s="9">
        <f t="shared" si="4"/>
        <v>149115.45600000001</v>
      </c>
      <c r="L135" s="13"/>
      <c r="M135" s="9" t="e">
        <f t="shared" si="5"/>
        <v>#DIV/0!</v>
      </c>
      <c r="N135" s="4"/>
    </row>
    <row r="136" spans="1:14" ht="16.5" hidden="1" customHeight="1" x14ac:dyDescent="0.25">
      <c r="A136" s="200"/>
      <c r="B136" s="201"/>
      <c r="C136" s="201"/>
      <c r="D136" s="201"/>
      <c r="E136" s="202"/>
      <c r="F136" s="9">
        <v>9544</v>
      </c>
      <c r="G136" s="33">
        <v>1.75</v>
      </c>
      <c r="H136" s="12"/>
      <c r="I136" s="10">
        <f>J70</f>
        <v>0</v>
      </c>
      <c r="J136" s="9" t="e">
        <f t="shared" si="3"/>
        <v>#DIV/0!</v>
      </c>
      <c r="K136" s="9">
        <f t="shared" si="4"/>
        <v>260952.04800000001</v>
      </c>
      <c r="L136" s="13"/>
      <c r="M136" s="9" t="e">
        <f t="shared" si="5"/>
        <v>#DIV/0!</v>
      </c>
      <c r="N136" s="4"/>
    </row>
    <row r="137" spans="1:14" ht="16.5" hidden="1" customHeight="1" x14ac:dyDescent="0.25">
      <c r="A137" s="200"/>
      <c r="B137" s="201"/>
      <c r="C137" s="201"/>
      <c r="D137" s="201"/>
      <c r="E137" s="202"/>
      <c r="F137" s="9">
        <v>9544</v>
      </c>
      <c r="G137" s="10"/>
      <c r="H137" s="12"/>
      <c r="I137" s="10">
        <f>J70</f>
        <v>0</v>
      </c>
      <c r="J137" s="9" t="e">
        <f t="shared" si="3"/>
        <v>#DIV/0!</v>
      </c>
      <c r="K137" s="9">
        <f t="shared" si="4"/>
        <v>0</v>
      </c>
      <c r="L137" s="13"/>
      <c r="M137" s="9" t="e">
        <f t="shared" si="5"/>
        <v>#DIV/0!</v>
      </c>
      <c r="N137" s="4"/>
    </row>
    <row r="138" spans="1:14" ht="16.5" hidden="1" customHeight="1" x14ac:dyDescent="0.25">
      <c r="A138" s="200"/>
      <c r="B138" s="201"/>
      <c r="C138" s="201"/>
      <c r="D138" s="201"/>
      <c r="E138" s="202"/>
      <c r="F138" s="9">
        <v>9544</v>
      </c>
      <c r="G138" s="32">
        <v>0.5</v>
      </c>
      <c r="H138" s="12"/>
      <c r="I138" s="10">
        <f>J70</f>
        <v>0</v>
      </c>
      <c r="J138" s="9" t="e">
        <f t="shared" si="3"/>
        <v>#DIV/0!</v>
      </c>
      <c r="K138" s="9">
        <f t="shared" si="4"/>
        <v>74557.728000000003</v>
      </c>
      <c r="L138" s="13"/>
      <c r="M138" s="9" t="e">
        <f t="shared" si="5"/>
        <v>#DIV/0!</v>
      </c>
      <c r="N138" s="4"/>
    </row>
    <row r="139" spans="1:14" ht="15" hidden="1" customHeight="1" x14ac:dyDescent="0.25">
      <c r="A139" s="200"/>
      <c r="B139" s="201"/>
      <c r="C139" s="201"/>
      <c r="D139" s="201"/>
      <c r="E139" s="202"/>
      <c r="F139" s="9"/>
      <c r="G139" s="9"/>
      <c r="H139" s="9"/>
      <c r="I139" s="9"/>
      <c r="J139" s="9"/>
      <c r="K139" s="9"/>
      <c r="L139" s="13"/>
      <c r="M139" s="9">
        <f t="shared" si="5"/>
        <v>0</v>
      </c>
      <c r="N139" s="4"/>
    </row>
    <row r="140" spans="1:14" ht="15.75" hidden="1" customHeight="1" x14ac:dyDescent="0.25">
      <c r="A140" s="200"/>
      <c r="B140" s="201"/>
      <c r="C140" s="201"/>
      <c r="D140" s="201"/>
      <c r="E140" s="202"/>
      <c r="F140" s="9"/>
      <c r="G140" s="9"/>
      <c r="H140" s="9"/>
      <c r="I140" s="9"/>
      <c r="J140" s="9"/>
      <c r="K140" s="9"/>
      <c r="L140" s="13"/>
      <c r="M140" s="9">
        <f t="shared" si="5"/>
        <v>0</v>
      </c>
      <c r="N140" s="4"/>
    </row>
    <row r="141" spans="1:14" ht="14.25" hidden="1" customHeight="1" x14ac:dyDescent="0.25">
      <c r="A141" s="200"/>
      <c r="B141" s="201"/>
      <c r="C141" s="201"/>
      <c r="D141" s="201"/>
      <c r="E141" s="202"/>
      <c r="F141" s="9"/>
      <c r="G141" s="9"/>
      <c r="H141" s="9"/>
      <c r="I141" s="9"/>
      <c r="J141" s="12">
        <v>105</v>
      </c>
      <c r="K141" s="14">
        <f>I141/J141</f>
        <v>0</v>
      </c>
      <c r="L141" s="13"/>
      <c r="M141" s="14">
        <f t="shared" si="5"/>
        <v>0</v>
      </c>
      <c r="N141" s="4"/>
    </row>
    <row r="142" spans="1:14" ht="15.75" thickBot="1" x14ac:dyDescent="0.3">
      <c r="A142" s="209" t="s">
        <v>81</v>
      </c>
      <c r="B142" s="209"/>
      <c r="C142" s="209"/>
      <c r="D142" s="209"/>
      <c r="E142" s="209"/>
      <c r="F142" s="34"/>
      <c r="G142" s="73"/>
      <c r="H142" s="73"/>
      <c r="I142" s="42">
        <f>I116</f>
        <v>84854.68</v>
      </c>
      <c r="J142" s="15"/>
      <c r="K142" s="35">
        <f>K116</f>
        <v>3394.1871999999998</v>
      </c>
      <c r="L142" s="13"/>
      <c r="M142" s="97"/>
      <c r="N142" s="4"/>
    </row>
    <row r="143" spans="1:14" ht="24.75" customHeight="1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3"/>
    </row>
    <row r="144" spans="1:14" hidden="1" x14ac:dyDescent="0.25">
      <c r="A144" s="218" t="s">
        <v>38</v>
      </c>
      <c r="B144" s="218"/>
      <c r="C144" s="218"/>
      <c r="D144" s="218"/>
      <c r="E144" s="218"/>
      <c r="F144" s="218"/>
      <c r="G144" s="218"/>
      <c r="H144" s="218"/>
      <c r="I144" s="218"/>
      <c r="J144" s="218"/>
      <c r="K144" s="218"/>
      <c r="L144" s="218"/>
      <c r="M144" s="218"/>
      <c r="N144" s="3"/>
    </row>
    <row r="145" spans="1:14" hidden="1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3"/>
    </row>
    <row r="146" spans="1:14" ht="45" hidden="1" x14ac:dyDescent="0.25">
      <c r="A146" s="206" t="s">
        <v>39</v>
      </c>
      <c r="B146" s="206"/>
      <c r="C146" s="206"/>
      <c r="D146" s="206"/>
      <c r="E146" s="206"/>
      <c r="F146" s="6" t="s">
        <v>7</v>
      </c>
      <c r="G146" s="6" t="s">
        <v>18</v>
      </c>
      <c r="H146" s="6" t="s">
        <v>19</v>
      </c>
      <c r="I146" s="6" t="s">
        <v>20</v>
      </c>
      <c r="J146" s="6"/>
      <c r="K146" s="6" t="s">
        <v>21</v>
      </c>
      <c r="L146" s="6" t="s">
        <v>22</v>
      </c>
      <c r="M146" s="6" t="s">
        <v>82</v>
      </c>
      <c r="N146" s="3"/>
    </row>
    <row r="147" spans="1:14" hidden="1" x14ac:dyDescent="0.25">
      <c r="A147" s="196" t="s">
        <v>40</v>
      </c>
      <c r="B147" s="196"/>
      <c r="C147" s="196"/>
      <c r="D147" s="196"/>
      <c r="E147" s="196"/>
      <c r="F147" s="18" t="s">
        <v>43</v>
      </c>
      <c r="G147" s="18">
        <v>0</v>
      </c>
      <c r="H147" s="111">
        <f>M75</f>
        <v>0</v>
      </c>
      <c r="I147" s="101">
        <f>J45</f>
        <v>0</v>
      </c>
      <c r="J147" s="101"/>
      <c r="K147" s="18"/>
      <c r="L147" s="18"/>
      <c r="M147" s="18"/>
      <c r="N147" s="3"/>
    </row>
    <row r="148" spans="1:14" hidden="1" x14ac:dyDescent="0.25">
      <c r="A148" s="196" t="s">
        <v>41</v>
      </c>
      <c r="B148" s="196"/>
      <c r="C148" s="196"/>
      <c r="D148" s="196"/>
      <c r="E148" s="196"/>
      <c r="F148" s="18" t="s">
        <v>44</v>
      </c>
      <c r="G148" s="18">
        <v>0</v>
      </c>
      <c r="H148" s="111">
        <f>M75</f>
        <v>0</v>
      </c>
      <c r="I148" s="101">
        <f>J45</f>
        <v>0</v>
      </c>
      <c r="J148" s="101"/>
      <c r="K148" s="18"/>
      <c r="L148" s="18"/>
      <c r="M148" s="18"/>
      <c r="N148" s="3"/>
    </row>
    <row r="149" spans="1:14" hidden="1" x14ac:dyDescent="0.25">
      <c r="A149" s="196" t="s">
        <v>42</v>
      </c>
      <c r="B149" s="196"/>
      <c r="C149" s="196"/>
      <c r="D149" s="196"/>
      <c r="E149" s="196"/>
      <c r="F149" s="18" t="s">
        <v>44</v>
      </c>
      <c r="G149" s="18">
        <v>0</v>
      </c>
      <c r="H149" s="111">
        <f>M75</f>
        <v>0</v>
      </c>
      <c r="I149" s="101">
        <f>J45</f>
        <v>0</v>
      </c>
      <c r="J149" s="101"/>
      <c r="K149" s="18"/>
      <c r="L149" s="18"/>
      <c r="M149" s="18"/>
      <c r="N149" s="3"/>
    </row>
    <row r="150" spans="1:14" hidden="1" x14ac:dyDescent="0.25">
      <c r="A150" s="236" t="s">
        <v>45</v>
      </c>
      <c r="B150" s="237"/>
      <c r="C150" s="237"/>
      <c r="D150" s="237"/>
      <c r="E150" s="237"/>
      <c r="F150" s="237"/>
      <c r="G150" s="237"/>
      <c r="H150" s="237"/>
      <c r="I150" s="237"/>
      <c r="J150" s="237"/>
      <c r="K150" s="237"/>
      <c r="L150" s="238"/>
      <c r="M150" s="114">
        <f>M147+M148+M149</f>
        <v>0</v>
      </c>
      <c r="N150" s="3"/>
    </row>
    <row r="151" spans="1:14" hidden="1" x14ac:dyDescent="0.25">
      <c r="A151" s="86"/>
      <c r="B151" s="86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6"/>
      <c r="N151" s="3"/>
    </row>
    <row r="152" spans="1:14" hidden="1" x14ac:dyDescent="0.25">
      <c r="A152" s="263" t="s">
        <v>93</v>
      </c>
      <c r="B152" s="264"/>
      <c r="C152" s="264"/>
      <c r="D152" s="264"/>
      <c r="E152" s="264"/>
      <c r="F152" s="264"/>
      <c r="G152" s="264"/>
      <c r="H152" s="264"/>
      <c r="I152" s="264"/>
      <c r="J152" s="264"/>
      <c r="K152" s="264"/>
      <c r="L152" s="264"/>
      <c r="M152" s="13"/>
      <c r="N152" s="3"/>
    </row>
    <row r="153" spans="1:14" hidden="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3"/>
    </row>
    <row r="154" spans="1:14" ht="75" hidden="1" x14ac:dyDescent="0.25">
      <c r="A154" s="197" t="s">
        <v>66</v>
      </c>
      <c r="B154" s="198"/>
      <c r="C154" s="198"/>
      <c r="D154" s="198"/>
      <c r="E154" s="199"/>
      <c r="F154" s="6" t="s">
        <v>7</v>
      </c>
      <c r="G154" s="6" t="s">
        <v>18</v>
      </c>
      <c r="H154" s="26" t="s">
        <v>22</v>
      </c>
      <c r="I154" s="6" t="s">
        <v>82</v>
      </c>
      <c r="J154" s="26" t="s">
        <v>78</v>
      </c>
      <c r="K154" s="26" t="s">
        <v>73</v>
      </c>
      <c r="L154" s="13"/>
      <c r="M154" s="13"/>
      <c r="N154" s="3"/>
    </row>
    <row r="155" spans="1:14" hidden="1" x14ac:dyDescent="0.25">
      <c r="A155" s="241">
        <v>1</v>
      </c>
      <c r="B155" s="242"/>
      <c r="C155" s="242"/>
      <c r="D155" s="242"/>
      <c r="E155" s="243"/>
      <c r="F155" s="26">
        <v>2</v>
      </c>
      <c r="G155" s="26">
        <v>3</v>
      </c>
      <c r="H155" s="26">
        <v>4</v>
      </c>
      <c r="I155" s="26">
        <v>5</v>
      </c>
      <c r="J155" s="99">
        <v>6</v>
      </c>
      <c r="K155" s="111">
        <v>7</v>
      </c>
      <c r="L155" s="13"/>
      <c r="M155" s="13"/>
      <c r="N155" s="3"/>
    </row>
    <row r="156" spans="1:14" hidden="1" x14ac:dyDescent="0.25">
      <c r="A156" s="249" t="s">
        <v>95</v>
      </c>
      <c r="B156" s="250"/>
      <c r="C156" s="250"/>
      <c r="D156" s="250"/>
      <c r="E156" s="251"/>
      <c r="F156" s="9"/>
      <c r="G156" s="12"/>
      <c r="H156" s="9"/>
      <c r="I156" s="9"/>
      <c r="J156" s="12">
        <v>30</v>
      </c>
      <c r="K156" s="36">
        <f>I156/J156</f>
        <v>0</v>
      </c>
      <c r="L156" s="13"/>
      <c r="M156" s="13"/>
      <c r="N156" s="3"/>
    </row>
    <row r="157" spans="1:14" ht="15.75" hidden="1" thickBot="1" x14ac:dyDescent="0.3">
      <c r="A157" s="34" t="s">
        <v>94</v>
      </c>
      <c r="B157" s="115"/>
      <c r="C157" s="115"/>
      <c r="D157" s="115"/>
      <c r="E157" s="115"/>
      <c r="F157" s="115"/>
      <c r="G157" s="115"/>
      <c r="H157" s="115"/>
      <c r="I157" s="116">
        <f>I156</f>
        <v>0</v>
      </c>
      <c r="J157" s="117"/>
      <c r="K157" s="118">
        <f>K156</f>
        <v>0</v>
      </c>
      <c r="L157" s="13"/>
      <c r="M157" s="13"/>
      <c r="N157" s="3"/>
    </row>
    <row r="158" spans="1:14" hidden="1" x14ac:dyDescent="0.25">
      <c r="A158" s="262" t="s">
        <v>65</v>
      </c>
      <c r="B158" s="262"/>
      <c r="C158" s="262"/>
      <c r="D158" s="262"/>
      <c r="E158" s="262"/>
      <c r="F158" s="262"/>
      <c r="G158" s="262"/>
      <c r="H158" s="262"/>
      <c r="I158" s="262"/>
      <c r="J158" s="262"/>
      <c r="K158" s="262"/>
      <c r="L158" s="262"/>
      <c r="M158" s="262"/>
      <c r="N158" s="3"/>
    </row>
    <row r="159" spans="1:14" hidden="1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3"/>
    </row>
    <row r="160" spans="1:14" hidden="1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3"/>
    </row>
    <row r="161" spans="1:14" hidden="1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3"/>
    </row>
    <row r="162" spans="1:14" hidden="1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3"/>
    </row>
    <row r="163" spans="1:14" ht="60" hidden="1" x14ac:dyDescent="0.25">
      <c r="A163" s="197" t="s">
        <v>66</v>
      </c>
      <c r="B163" s="198"/>
      <c r="C163" s="198"/>
      <c r="D163" s="198"/>
      <c r="E163" s="199"/>
      <c r="F163" s="6" t="s">
        <v>7</v>
      </c>
      <c r="G163" s="6" t="s">
        <v>18</v>
      </c>
      <c r="H163" s="26" t="s">
        <v>22</v>
      </c>
      <c r="I163" s="6" t="s">
        <v>82</v>
      </c>
      <c r="J163" s="6" t="s">
        <v>102</v>
      </c>
      <c r="K163" s="6" t="s">
        <v>103</v>
      </c>
      <c r="L163" s="13"/>
      <c r="M163" s="13"/>
      <c r="N163" s="3"/>
    </row>
    <row r="164" spans="1:14" hidden="1" x14ac:dyDescent="0.25">
      <c r="A164" s="241">
        <v>1</v>
      </c>
      <c r="B164" s="242"/>
      <c r="C164" s="242"/>
      <c r="D164" s="242"/>
      <c r="E164" s="243"/>
      <c r="F164" s="26">
        <v>2</v>
      </c>
      <c r="G164" s="26">
        <v>3</v>
      </c>
      <c r="H164" s="26">
        <v>4</v>
      </c>
      <c r="I164" s="26">
        <v>5</v>
      </c>
      <c r="J164" s="99">
        <v>6</v>
      </c>
      <c r="K164" s="111">
        <v>7</v>
      </c>
      <c r="L164" s="13"/>
      <c r="M164" s="119"/>
      <c r="N164" s="3"/>
    </row>
    <row r="165" spans="1:14" hidden="1" x14ac:dyDescent="0.25">
      <c r="A165" s="249" t="s">
        <v>68</v>
      </c>
      <c r="B165" s="250"/>
      <c r="C165" s="250"/>
      <c r="D165" s="250"/>
      <c r="E165" s="251"/>
      <c r="F165" s="9" t="s">
        <v>31</v>
      </c>
      <c r="G165" s="12">
        <v>0</v>
      </c>
      <c r="H165" s="9"/>
      <c r="I165" s="9">
        <f>J45</f>
        <v>0</v>
      </c>
      <c r="J165" s="97"/>
      <c r="K165" s="13"/>
      <c r="L165" s="13"/>
      <c r="M165" s="113">
        <f>J165*H165</f>
        <v>0</v>
      </c>
      <c r="N165" s="3"/>
    </row>
    <row r="166" spans="1:14" hidden="1" x14ac:dyDescent="0.25">
      <c r="A166" s="249" t="s">
        <v>69</v>
      </c>
      <c r="B166" s="250"/>
      <c r="C166" s="250"/>
      <c r="D166" s="250"/>
      <c r="E166" s="251"/>
      <c r="F166" s="9" t="s">
        <v>31</v>
      </c>
      <c r="G166" s="12">
        <v>0</v>
      </c>
      <c r="H166" s="9"/>
      <c r="I166" s="9">
        <f>J45</f>
        <v>0</v>
      </c>
      <c r="J166" s="97"/>
      <c r="K166" s="13"/>
      <c r="L166" s="13"/>
      <c r="M166" s="9"/>
      <c r="N166" s="3"/>
    </row>
    <row r="167" spans="1:14" hidden="1" x14ac:dyDescent="0.25">
      <c r="A167" s="249" t="s">
        <v>70</v>
      </c>
      <c r="B167" s="250"/>
      <c r="C167" s="250"/>
      <c r="D167" s="250"/>
      <c r="E167" s="251"/>
      <c r="F167" s="9" t="s">
        <v>91</v>
      </c>
      <c r="G167" s="10"/>
      <c r="H167" s="9"/>
      <c r="I167" s="54"/>
      <c r="J167" s="12">
        <v>3260</v>
      </c>
      <c r="K167" s="120">
        <f>I167/J167</f>
        <v>0</v>
      </c>
      <c r="L167" s="13"/>
      <c r="M167" s="13"/>
      <c r="N167" s="3"/>
    </row>
    <row r="168" spans="1:14" ht="15.75" hidden="1" thickBot="1" x14ac:dyDescent="0.3">
      <c r="A168" s="34" t="s">
        <v>67</v>
      </c>
      <c r="B168" s="115"/>
      <c r="C168" s="115"/>
      <c r="D168" s="115"/>
      <c r="E168" s="115"/>
      <c r="F168" s="115"/>
      <c r="G168" s="115"/>
      <c r="H168" s="115"/>
      <c r="I168" s="116">
        <f>I167</f>
        <v>0</v>
      </c>
      <c r="J168" s="15"/>
      <c r="K168" s="20">
        <f>K167</f>
        <v>0</v>
      </c>
      <c r="L168" s="13"/>
      <c r="M168" s="13"/>
      <c r="N168" s="3"/>
    </row>
    <row r="169" spans="1:14" x14ac:dyDescent="0.25">
      <c r="A169" s="121"/>
      <c r="B169" s="121"/>
      <c r="C169" s="121"/>
      <c r="D169" s="121"/>
      <c r="E169" s="121"/>
      <c r="F169" s="121"/>
      <c r="G169" s="121"/>
      <c r="H169" s="121"/>
      <c r="I169" s="108"/>
      <c r="J169" s="122"/>
      <c r="K169" s="109"/>
      <c r="L169" s="13"/>
      <c r="M169" s="13"/>
      <c r="N169" s="3"/>
    </row>
    <row r="170" spans="1:14" x14ac:dyDescent="0.25">
      <c r="A170" s="13"/>
      <c r="B170" s="13"/>
      <c r="C170" s="13"/>
      <c r="D170" s="13"/>
      <c r="E170" s="13"/>
      <c r="F170" s="13"/>
      <c r="G170" s="13"/>
      <c r="H170" s="13"/>
      <c r="I170" s="86"/>
      <c r="J170" s="86"/>
      <c r="K170" s="86"/>
      <c r="L170" s="13"/>
      <c r="M170" s="13"/>
      <c r="N170" s="3"/>
    </row>
    <row r="171" spans="1:14" x14ac:dyDescent="0.25">
      <c r="A171" s="239" t="s">
        <v>99</v>
      </c>
      <c r="B171" s="239"/>
      <c r="C171" s="239"/>
      <c r="D171" s="239"/>
      <c r="E171" s="239"/>
      <c r="F171" s="239"/>
      <c r="G171" s="239"/>
      <c r="H171" s="239"/>
      <c r="I171" s="239"/>
      <c r="J171" s="239"/>
      <c r="K171" s="239"/>
      <c r="L171" s="239"/>
      <c r="M171" s="13"/>
      <c r="N171" s="3"/>
    </row>
    <row r="172" spans="1:14" ht="60" x14ac:dyDescent="0.25">
      <c r="A172" s="197" t="s">
        <v>100</v>
      </c>
      <c r="B172" s="198"/>
      <c r="C172" s="198"/>
      <c r="D172" s="198"/>
      <c r="E172" s="199"/>
      <c r="F172" s="44" t="s">
        <v>7</v>
      </c>
      <c r="G172" s="44" t="s">
        <v>90</v>
      </c>
      <c r="H172" s="44" t="s">
        <v>71</v>
      </c>
      <c r="I172" s="44" t="s">
        <v>82</v>
      </c>
      <c r="J172" s="6" t="s">
        <v>102</v>
      </c>
      <c r="K172" s="6" t="s">
        <v>131</v>
      </c>
      <c r="L172" s="123"/>
      <c r="M172" s="13"/>
      <c r="N172" s="3"/>
    </row>
    <row r="173" spans="1:14" x14ac:dyDescent="0.25">
      <c r="A173" s="192" t="s">
        <v>158</v>
      </c>
      <c r="B173" s="192"/>
      <c r="C173" s="192"/>
      <c r="D173" s="192"/>
      <c r="E173" s="192"/>
      <c r="F173" s="36"/>
      <c r="G173" s="29">
        <v>70</v>
      </c>
      <c r="H173" s="45">
        <v>150</v>
      </c>
      <c r="I173" s="9">
        <f>3943.2*N4</f>
        <v>95.031120000000001</v>
      </c>
      <c r="J173" s="12">
        <v>25</v>
      </c>
      <c r="K173" s="169">
        <f>I173/J173</f>
        <v>3.8012448000000001</v>
      </c>
      <c r="L173" s="124"/>
      <c r="M173" s="13"/>
      <c r="N173" s="13"/>
    </row>
    <row r="174" spans="1:14" hidden="1" x14ac:dyDescent="0.25">
      <c r="A174" s="203"/>
      <c r="B174" s="204"/>
      <c r="C174" s="204"/>
      <c r="D174" s="204"/>
      <c r="E174" s="205"/>
      <c r="F174" s="36"/>
      <c r="G174" s="36"/>
      <c r="H174" s="36"/>
      <c r="I174" s="7"/>
      <c r="J174" s="12"/>
      <c r="K174" s="7"/>
      <c r="L174" s="13"/>
      <c r="M174" s="13"/>
      <c r="N174" s="3"/>
    </row>
    <row r="175" spans="1:14" ht="15.75" thickBot="1" x14ac:dyDescent="0.3">
      <c r="A175" s="252" t="s">
        <v>94</v>
      </c>
      <c r="B175" s="252"/>
      <c r="C175" s="252"/>
      <c r="D175" s="252"/>
      <c r="E175" s="252"/>
      <c r="F175" s="253"/>
      <c r="G175" s="253"/>
      <c r="H175" s="254"/>
      <c r="I175" s="127">
        <f>I173+I174</f>
        <v>95.031120000000001</v>
      </c>
      <c r="J175" s="128"/>
      <c r="K175" s="129">
        <f>SUM(K173:K174)</f>
        <v>3.8012448000000001</v>
      </c>
      <c r="L175" s="13"/>
      <c r="M175" s="13"/>
      <c r="N175" s="16">
        <f>I175/88.1%</f>
        <v>107.8673325766175</v>
      </c>
    </row>
    <row r="176" spans="1:14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3"/>
    </row>
    <row r="177" spans="1:14" x14ac:dyDescent="0.25">
      <c r="A177" s="255" t="s">
        <v>132</v>
      </c>
      <c r="B177" s="255"/>
      <c r="C177" s="255"/>
      <c r="D177" s="255"/>
      <c r="E177" s="255"/>
      <c r="F177" s="255"/>
      <c r="G177" s="255"/>
      <c r="H177" s="255"/>
      <c r="I177" s="255"/>
      <c r="J177" s="255"/>
      <c r="K177" s="255"/>
      <c r="L177" s="239"/>
      <c r="M177" s="13"/>
      <c r="N177" s="4"/>
    </row>
    <row r="178" spans="1:14" ht="60" x14ac:dyDescent="0.25">
      <c r="A178" s="206" t="s">
        <v>130</v>
      </c>
      <c r="B178" s="206"/>
      <c r="C178" s="206"/>
      <c r="D178" s="206"/>
      <c r="E178" s="206"/>
      <c r="F178" s="44" t="s">
        <v>7</v>
      </c>
      <c r="G178" s="44" t="s">
        <v>90</v>
      </c>
      <c r="H178" s="44" t="s">
        <v>71</v>
      </c>
      <c r="I178" s="44" t="s">
        <v>82</v>
      </c>
      <c r="J178" s="6" t="s">
        <v>102</v>
      </c>
      <c r="K178" s="6" t="s">
        <v>131</v>
      </c>
      <c r="L178" s="123"/>
      <c r="M178" s="13"/>
      <c r="N178" s="4"/>
    </row>
    <row r="179" spans="1:14" s="308" customFormat="1" ht="28.5" customHeight="1" thickBot="1" x14ac:dyDescent="0.3">
      <c r="A179" s="298" t="s">
        <v>137</v>
      </c>
      <c r="B179" s="299"/>
      <c r="C179" s="299"/>
      <c r="D179" s="299"/>
      <c r="E179" s="300"/>
      <c r="F179" s="301" t="s">
        <v>44</v>
      </c>
      <c r="G179" s="302"/>
      <c r="H179" s="302"/>
      <c r="I179" s="303">
        <v>85650</v>
      </c>
      <c r="J179" s="304">
        <v>25</v>
      </c>
      <c r="K179" s="305">
        <f>I179/J179</f>
        <v>3426</v>
      </c>
      <c r="L179" s="306"/>
      <c r="M179" s="307"/>
      <c r="N179" s="307"/>
    </row>
    <row r="180" spans="1:14" ht="15.75" thickBot="1" x14ac:dyDescent="0.3">
      <c r="A180" s="234"/>
      <c r="B180" s="235"/>
      <c r="C180" s="235"/>
      <c r="D180" s="235"/>
      <c r="E180" s="235"/>
      <c r="F180" s="235"/>
      <c r="G180" s="235"/>
      <c r="H180" s="235"/>
      <c r="I180" s="46">
        <f>I179</f>
        <v>85650</v>
      </c>
      <c r="J180" s="47"/>
      <c r="K180" s="35">
        <f>SUM(K179:K179)</f>
        <v>3426</v>
      </c>
      <c r="L180" s="135"/>
      <c r="M180" s="13"/>
      <c r="N180" s="4"/>
    </row>
    <row r="181" spans="1:14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4"/>
    </row>
    <row r="182" spans="1:14" x14ac:dyDescent="0.25">
      <c r="A182" s="86"/>
      <c r="B182" s="8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4"/>
    </row>
    <row r="183" spans="1:14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3"/>
    </row>
    <row r="184" spans="1:14" x14ac:dyDescent="0.25">
      <c r="A184" s="218" t="s">
        <v>46</v>
      </c>
      <c r="B184" s="218"/>
      <c r="C184" s="218"/>
      <c r="D184" s="218"/>
      <c r="E184" s="218"/>
      <c r="F184" s="218"/>
      <c r="G184" s="218"/>
      <c r="H184" s="218"/>
      <c r="I184" s="218"/>
      <c r="J184" s="218"/>
      <c r="K184" s="218"/>
      <c r="L184" s="218"/>
      <c r="M184" s="218"/>
      <c r="N184" s="3"/>
    </row>
    <row r="185" spans="1:14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3"/>
    </row>
    <row r="186" spans="1:14" ht="47.25" customHeight="1" x14ac:dyDescent="0.25">
      <c r="A186" s="185" t="s">
        <v>47</v>
      </c>
      <c r="B186" s="185"/>
      <c r="C186" s="185"/>
      <c r="D186" s="206" t="s">
        <v>48</v>
      </c>
      <c r="E186" s="206"/>
      <c r="F186" s="206"/>
      <c r="G186" s="206"/>
      <c r="H186" s="206"/>
      <c r="I186" s="206"/>
      <c r="J186" s="206"/>
      <c r="K186" s="206"/>
      <c r="L186" s="185" t="s">
        <v>58</v>
      </c>
      <c r="M186" s="185"/>
      <c r="N186" s="3"/>
    </row>
    <row r="187" spans="1:14" ht="30" x14ac:dyDescent="0.25">
      <c r="A187" s="36" t="s">
        <v>49</v>
      </c>
      <c r="B187" s="6" t="s">
        <v>50</v>
      </c>
      <c r="C187" s="36" t="s">
        <v>51</v>
      </c>
      <c r="D187" s="36" t="s">
        <v>52</v>
      </c>
      <c r="E187" s="36" t="s">
        <v>53</v>
      </c>
      <c r="F187" s="36" t="s">
        <v>133</v>
      </c>
      <c r="G187" s="36" t="s">
        <v>54</v>
      </c>
      <c r="H187" s="36" t="s">
        <v>55</v>
      </c>
      <c r="I187" s="36" t="s">
        <v>56</v>
      </c>
      <c r="J187" s="36" t="s">
        <v>96</v>
      </c>
      <c r="K187" s="36" t="s">
        <v>57</v>
      </c>
      <c r="L187" s="185"/>
      <c r="M187" s="185"/>
      <c r="N187" s="3"/>
    </row>
    <row r="188" spans="1:14" x14ac:dyDescent="0.25">
      <c r="A188" s="294">
        <f>K45</f>
        <v>5191.1099999999997</v>
      </c>
      <c r="B188" s="9"/>
      <c r="C188" s="9"/>
      <c r="D188" s="294">
        <f>K84</f>
        <v>426.38688819999999</v>
      </c>
      <c r="E188" s="294">
        <f>K95</f>
        <v>83.708168799999996</v>
      </c>
      <c r="F188" s="294">
        <f>K180</f>
        <v>3426</v>
      </c>
      <c r="G188" s="294">
        <f>L108</f>
        <v>58.690826399999999</v>
      </c>
      <c r="H188" s="9">
        <f>K168</f>
        <v>0</v>
      </c>
      <c r="I188" s="294">
        <f>K142</f>
        <v>3394.1871999999998</v>
      </c>
      <c r="J188" s="294">
        <f>K175</f>
        <v>3.8012448000000001</v>
      </c>
      <c r="K188" s="294">
        <f>J102</f>
        <v>63.623999999999995</v>
      </c>
      <c r="L188" s="247">
        <f>SUM(A188:K188)</f>
        <v>12647.5083282</v>
      </c>
      <c r="M188" s="248"/>
      <c r="N188" s="4"/>
    </row>
    <row r="189" spans="1:14" ht="15.75" thickBot="1" x14ac:dyDescent="0.3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3"/>
    </row>
    <row r="190" spans="1:14" ht="15.75" thickBot="1" x14ac:dyDescent="0.3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N190" s="43">
        <f>L188*25</f>
        <v>316187.70820499997</v>
      </c>
    </row>
    <row r="191" spans="1:14" ht="15.75" thickBot="1" x14ac:dyDescent="0.3">
      <c r="A191" s="87" t="s">
        <v>104</v>
      </c>
      <c r="B191" s="87"/>
      <c r="C191" s="87"/>
      <c r="D191" s="13"/>
      <c r="E191" s="13"/>
      <c r="F191" s="13"/>
      <c r="G191" s="13"/>
      <c r="H191" s="13"/>
      <c r="I191" s="13"/>
      <c r="J191" s="86"/>
      <c r="K191" s="42">
        <f>I45+I84+I95+H102+J108+I142+I168+I157+I175+I180</f>
        <v>316187.70820500003</v>
      </c>
      <c r="L191" s="13"/>
      <c r="M191" s="13"/>
      <c r="N191" s="3"/>
    </row>
    <row r="192" spans="1:14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3"/>
    </row>
    <row r="193" spans="1:14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8"/>
      <c r="L193" s="13"/>
      <c r="M193" s="13"/>
      <c r="N193" s="3"/>
    </row>
    <row r="194" spans="1:14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3"/>
    </row>
    <row r="195" spans="1:14" ht="18.75" x14ac:dyDescent="0.3">
      <c r="A195" s="139" t="s">
        <v>105</v>
      </c>
      <c r="B195" s="139"/>
      <c r="C195" s="139"/>
      <c r="G195" s="139" t="s">
        <v>163</v>
      </c>
      <c r="K195" s="140"/>
    </row>
    <row r="198" spans="1:14" ht="15.75" x14ac:dyDescent="0.25">
      <c r="A198" s="74" t="s">
        <v>72</v>
      </c>
      <c r="B198" s="74"/>
    </row>
    <row r="199" spans="1:14" ht="15.75" x14ac:dyDescent="0.25">
      <c r="A199" s="74" t="s">
        <v>159</v>
      </c>
      <c r="B199" s="74"/>
    </row>
    <row r="200" spans="1:14" ht="15.75" x14ac:dyDescent="0.25">
      <c r="A200" s="74" t="s">
        <v>160</v>
      </c>
      <c r="C200" s="74"/>
    </row>
    <row r="202" spans="1:14" x14ac:dyDescent="0.25">
      <c r="I202" s="138">
        <f>I175+I142+J108+H102+I95+I84+I45</f>
        <v>230537.70820499997</v>
      </c>
      <c r="J202" s="140"/>
    </row>
    <row r="203" spans="1:14" x14ac:dyDescent="0.25">
      <c r="I203" s="78">
        <f>I202/N4</f>
        <v>9565880.0085062236</v>
      </c>
    </row>
    <row r="204" spans="1:14" x14ac:dyDescent="0.25">
      <c r="I204" s="78">
        <f>I203-9915880</f>
        <v>-349999.99149377644</v>
      </c>
    </row>
    <row r="205" spans="1:14" ht="15.75" x14ac:dyDescent="0.25">
      <c r="C205" s="74"/>
    </row>
    <row r="206" spans="1:14" ht="15.75" x14ac:dyDescent="0.25">
      <c r="A206" s="141"/>
      <c r="B206" s="141"/>
      <c r="C206" s="141"/>
    </row>
    <row r="207" spans="1:14" x14ac:dyDescent="0.25">
      <c r="I207" s="140">
        <f>K191+'Работа №4 на 01.01.2021'!K189+'Работа №5 на 01.01.2021'!I55+'Работа №2 на 01.01.2022'!K201+'Работа №1 на 01.01.2022'!K182</f>
        <v>8624367.7546900008</v>
      </c>
    </row>
  </sheetData>
  <mergeCells count="170">
    <mergeCell ref="A180:H180"/>
    <mergeCell ref="A184:M184"/>
    <mergeCell ref="A186:C186"/>
    <mergeCell ref="D186:K186"/>
    <mergeCell ref="L186:M187"/>
    <mergeCell ref="L188:M188"/>
    <mergeCell ref="A175:H175"/>
    <mergeCell ref="A177:L177"/>
    <mergeCell ref="A178:E178"/>
    <mergeCell ref="A179:E179"/>
    <mergeCell ref="A166:E166"/>
    <mergeCell ref="A167:E167"/>
    <mergeCell ref="A171:L171"/>
    <mergeCell ref="A172:E172"/>
    <mergeCell ref="A173:E173"/>
    <mergeCell ref="A155:E155"/>
    <mergeCell ref="A156:E156"/>
    <mergeCell ref="A158:M158"/>
    <mergeCell ref="A163:E163"/>
    <mergeCell ref="A164:E164"/>
    <mergeCell ref="A165:E165"/>
    <mergeCell ref="A147:E147"/>
    <mergeCell ref="A148:E148"/>
    <mergeCell ref="A149:E149"/>
    <mergeCell ref="A150:L150"/>
    <mergeCell ref="A152:L152"/>
    <mergeCell ref="A154:E154"/>
    <mergeCell ref="A139:E139"/>
    <mergeCell ref="A140:E140"/>
    <mergeCell ref="A141:E141"/>
    <mergeCell ref="A142:E142"/>
    <mergeCell ref="A144:M144"/>
    <mergeCell ref="A146:E146"/>
    <mergeCell ref="A133:E133"/>
    <mergeCell ref="A134:E134"/>
    <mergeCell ref="A135:E135"/>
    <mergeCell ref="A136:E136"/>
    <mergeCell ref="A137:E137"/>
    <mergeCell ref="A138:E138"/>
    <mergeCell ref="A127:E127"/>
    <mergeCell ref="A128:E128"/>
    <mergeCell ref="A129:E129"/>
    <mergeCell ref="A130:E130"/>
    <mergeCell ref="A131:E131"/>
    <mergeCell ref="A132:E132"/>
    <mergeCell ref="A121:E121"/>
    <mergeCell ref="A122:E122"/>
    <mergeCell ref="A123:E123"/>
    <mergeCell ref="A124:E124"/>
    <mergeCell ref="A125:E125"/>
    <mergeCell ref="A126:E126"/>
    <mergeCell ref="A115:E115"/>
    <mergeCell ref="A116:E116"/>
    <mergeCell ref="A117:E117"/>
    <mergeCell ref="A118:E118"/>
    <mergeCell ref="A119:E119"/>
    <mergeCell ref="A120:E120"/>
    <mergeCell ref="A106:E106"/>
    <mergeCell ref="A107:E107"/>
    <mergeCell ref="A108:E108"/>
    <mergeCell ref="F108:I108"/>
    <mergeCell ref="A112:M112"/>
    <mergeCell ref="A114:E114"/>
    <mergeCell ref="A102:E102"/>
    <mergeCell ref="A104:N104"/>
    <mergeCell ref="A105:E105"/>
    <mergeCell ref="A96:M96"/>
    <mergeCell ref="A98:E98"/>
    <mergeCell ref="A99:E99"/>
    <mergeCell ref="A100:E100"/>
    <mergeCell ref="A101:E101"/>
    <mergeCell ref="A88:E88"/>
    <mergeCell ref="A89:E89"/>
    <mergeCell ref="A90:E90"/>
    <mergeCell ref="A91:E91"/>
    <mergeCell ref="A93:E93"/>
    <mergeCell ref="A94:E94"/>
    <mergeCell ref="A79:E79"/>
    <mergeCell ref="A80:E80"/>
    <mergeCell ref="A81:E81"/>
    <mergeCell ref="A82:E82"/>
    <mergeCell ref="A83:E83"/>
    <mergeCell ref="A86:M86"/>
    <mergeCell ref="A70:E70"/>
    <mergeCell ref="A71:L71"/>
    <mergeCell ref="A73:M73"/>
    <mergeCell ref="A75:L75"/>
    <mergeCell ref="A77:E77"/>
    <mergeCell ref="A78:E78"/>
    <mergeCell ref="A84:E84"/>
    <mergeCell ref="A64:E64"/>
    <mergeCell ref="A65:E65"/>
    <mergeCell ref="A66:E66"/>
    <mergeCell ref="A67:E67"/>
    <mergeCell ref="A68:E68"/>
    <mergeCell ref="A69:E69"/>
    <mergeCell ref="A58:E58"/>
    <mergeCell ref="A59:E59"/>
    <mergeCell ref="A60:E60"/>
    <mergeCell ref="A61:E61"/>
    <mergeCell ref="A62:E62"/>
    <mergeCell ref="A63:E63"/>
    <mergeCell ref="A52:E52"/>
    <mergeCell ref="A53:E53"/>
    <mergeCell ref="A54:E54"/>
    <mergeCell ref="A55:E55"/>
    <mergeCell ref="A56:E56"/>
    <mergeCell ref="A57:E57"/>
    <mergeCell ref="A44:E44"/>
    <mergeCell ref="A45:E45"/>
    <mergeCell ref="A48:M48"/>
    <mergeCell ref="A50:E50"/>
    <mergeCell ref="A51:E51"/>
    <mergeCell ref="A43:E43"/>
    <mergeCell ref="A32:E32"/>
    <mergeCell ref="G32:L32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8:M38"/>
    <mergeCell ref="A39:E39"/>
    <mergeCell ref="A40:E40"/>
    <mergeCell ref="A41:E41"/>
    <mergeCell ref="A42:E42"/>
    <mergeCell ref="A19:E19"/>
    <mergeCell ref="G19:L19"/>
    <mergeCell ref="A26:E26"/>
    <mergeCell ref="G26:L26"/>
    <mergeCell ref="A27:E27"/>
    <mergeCell ref="G27:L27"/>
    <mergeCell ref="A28:E28"/>
    <mergeCell ref="A29:E29"/>
    <mergeCell ref="A23:E23"/>
    <mergeCell ref="G23:L23"/>
    <mergeCell ref="A24:E24"/>
    <mergeCell ref="G24:L24"/>
    <mergeCell ref="A25:E25"/>
    <mergeCell ref="G25:L25"/>
    <mergeCell ref="G28:L28"/>
    <mergeCell ref="A174:E174"/>
    <mergeCell ref="A6:C6"/>
    <mergeCell ref="E6:G6"/>
    <mergeCell ref="A8:G8"/>
    <mergeCell ref="A9:H9"/>
    <mergeCell ref="A13:M13"/>
    <mergeCell ref="A15:M15"/>
    <mergeCell ref="A2:D2"/>
    <mergeCell ref="E2:H2"/>
    <mergeCell ref="A3:B3"/>
    <mergeCell ref="E3:F3"/>
    <mergeCell ref="A4:C4"/>
    <mergeCell ref="E4:G4"/>
    <mergeCell ref="J4:M4"/>
    <mergeCell ref="A20:E20"/>
    <mergeCell ref="G20:L20"/>
    <mergeCell ref="A21:E21"/>
    <mergeCell ref="G21:L21"/>
    <mergeCell ref="A22:E22"/>
    <mergeCell ref="G22:L22"/>
    <mergeCell ref="A17:E17"/>
    <mergeCell ref="G17:L17"/>
    <mergeCell ref="A18:E18"/>
    <mergeCell ref="G18:L18"/>
  </mergeCells>
  <pageMargins left="0.70866141732283472" right="0.70866141732283472" top="0.22" bottom="0.16" header="0.15" footer="0.15"/>
  <pageSetup paperSize="9" scale="6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4"/>
  <sheetViews>
    <sheetView view="pageBreakPreview" topLeftCell="A166" zoomScale="60" zoomScaleNormal="60" workbookViewId="0">
      <selection activeCell="A176" sqref="A176:XFD177"/>
    </sheetView>
  </sheetViews>
  <sheetFormatPr defaultRowHeight="15" x14ac:dyDescent="0.25"/>
  <cols>
    <col min="1" max="1" width="12.7109375" style="78" customWidth="1"/>
    <col min="2" max="2" width="10.42578125" style="78" customWidth="1"/>
    <col min="3" max="3" width="9.140625" style="78"/>
    <col min="4" max="4" width="15.5703125" style="78" customWidth="1"/>
    <col min="5" max="5" width="24.7109375" style="78" customWidth="1"/>
    <col min="6" max="6" width="16.42578125" style="78" customWidth="1"/>
    <col min="7" max="7" width="13.85546875" style="78" customWidth="1"/>
    <col min="8" max="8" width="17.42578125" style="78" customWidth="1"/>
    <col min="9" max="9" width="18.85546875" style="78" customWidth="1"/>
    <col min="10" max="10" width="15.140625" style="78" customWidth="1"/>
    <col min="11" max="11" width="13.85546875" style="78" customWidth="1"/>
    <col min="12" max="12" width="16" style="78" customWidth="1"/>
    <col min="13" max="13" width="13.140625" style="78" customWidth="1"/>
    <col min="14" max="14" width="16.140625" customWidth="1"/>
  </cols>
  <sheetData>
    <row r="2" spans="1:14" ht="15.75" x14ac:dyDescent="0.25">
      <c r="A2" s="186"/>
      <c r="B2" s="186"/>
      <c r="C2" s="186"/>
      <c r="D2" s="186"/>
      <c r="E2" s="186"/>
      <c r="F2" s="186"/>
      <c r="G2" s="186"/>
      <c r="H2" s="186"/>
    </row>
    <row r="3" spans="1:14" ht="15.75" x14ac:dyDescent="0.25">
      <c r="A3" s="186"/>
      <c r="B3" s="186"/>
      <c r="C3" s="75"/>
      <c r="D3" s="75"/>
      <c r="E3" s="186"/>
      <c r="F3" s="186"/>
      <c r="G3" s="75"/>
      <c r="H3" s="75"/>
    </row>
    <row r="4" spans="1:14" ht="40.5" customHeight="1" x14ac:dyDescent="0.25">
      <c r="A4" s="187"/>
      <c r="B4" s="187"/>
      <c r="C4" s="187"/>
      <c r="D4" s="76"/>
      <c r="E4" s="187"/>
      <c r="F4" s="187"/>
      <c r="G4" s="187"/>
      <c r="H4" s="74"/>
      <c r="J4" s="187" t="s">
        <v>154</v>
      </c>
      <c r="K4" s="188"/>
      <c r="L4" s="188"/>
      <c r="M4" s="188"/>
      <c r="N4" s="171">
        <v>5.0099999999999999E-2</v>
      </c>
    </row>
    <row r="5" spans="1:14" ht="15.75" x14ac:dyDescent="0.25">
      <c r="A5" s="76"/>
      <c r="B5" s="76"/>
      <c r="C5" s="76"/>
      <c r="D5" s="74"/>
      <c r="E5" s="76"/>
      <c r="F5" s="76"/>
      <c r="G5" s="76"/>
      <c r="H5" s="74"/>
    </row>
    <row r="6" spans="1:14" ht="15.75" x14ac:dyDescent="0.25">
      <c r="A6" s="182"/>
      <c r="B6" s="182"/>
      <c r="C6" s="182"/>
      <c r="D6" s="74"/>
      <c r="E6" s="182"/>
      <c r="F6" s="182"/>
      <c r="G6" s="182"/>
      <c r="H6" s="74"/>
    </row>
    <row r="7" spans="1:14" x14ac:dyDescent="0.25">
      <c r="A7" s="77"/>
      <c r="B7" s="77"/>
      <c r="C7" s="77"/>
      <c r="D7" s="77"/>
      <c r="E7" s="77"/>
      <c r="F7" s="77"/>
      <c r="G7" s="77"/>
      <c r="H7" s="77"/>
    </row>
    <row r="8" spans="1:14" ht="15.75" x14ac:dyDescent="0.25">
      <c r="A8" s="183" t="s">
        <v>101</v>
      </c>
      <c r="B8" s="184"/>
      <c r="C8" s="184"/>
      <c r="D8" s="184"/>
      <c r="E8" s="184"/>
      <c r="F8" s="184"/>
      <c r="G8" s="184"/>
      <c r="H8" s="77"/>
    </row>
    <row r="9" spans="1:14" ht="15.75" x14ac:dyDescent="0.25">
      <c r="A9" s="183" t="s">
        <v>175</v>
      </c>
      <c r="B9" s="184"/>
      <c r="C9" s="184"/>
      <c r="D9" s="184"/>
      <c r="E9" s="184"/>
      <c r="F9" s="184"/>
      <c r="G9" s="184"/>
      <c r="H9" s="188"/>
    </row>
    <row r="11" spans="1:14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3"/>
    </row>
    <row r="12" spans="1:14" ht="15.75" x14ac:dyDescent="0.25">
      <c r="A12" s="80" t="s">
        <v>164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2"/>
    </row>
    <row r="13" spans="1:14" ht="31.5" customHeight="1" x14ac:dyDescent="0.25">
      <c r="A13" s="189" t="s">
        <v>173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2"/>
    </row>
    <row r="14" spans="1:14" ht="15.75" x14ac:dyDescent="0.25">
      <c r="A14" s="80" t="s">
        <v>166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2"/>
    </row>
    <row r="15" spans="1:14" ht="32.25" customHeight="1" x14ac:dyDescent="0.25">
      <c r="A15" s="189" t="s">
        <v>177</v>
      </c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"/>
    </row>
    <row r="16" spans="1:14" ht="15.75" x14ac:dyDescent="0.25">
      <c r="A16" s="80" t="s">
        <v>167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2"/>
    </row>
    <row r="17" spans="1:15" ht="51.75" customHeight="1" x14ac:dyDescent="0.25">
      <c r="A17" s="185" t="s">
        <v>107</v>
      </c>
      <c r="B17" s="185"/>
      <c r="C17" s="185"/>
      <c r="D17" s="185"/>
      <c r="E17" s="185"/>
      <c r="F17" s="6" t="s">
        <v>106</v>
      </c>
      <c r="G17" s="185" t="s">
        <v>108</v>
      </c>
      <c r="H17" s="185"/>
      <c r="I17" s="185"/>
      <c r="J17" s="185"/>
      <c r="K17" s="185"/>
      <c r="L17" s="185"/>
      <c r="M17" s="6" t="s">
        <v>106</v>
      </c>
      <c r="N17" s="3"/>
    </row>
    <row r="18" spans="1:15" x14ac:dyDescent="0.25">
      <c r="A18" s="191" t="s">
        <v>119</v>
      </c>
      <c r="B18" s="191"/>
      <c r="C18" s="191"/>
      <c r="D18" s="191"/>
      <c r="E18" s="191"/>
      <c r="F18" s="59">
        <f>1*$N$4</f>
        <v>5.0099999999999999E-2</v>
      </c>
      <c r="G18" s="192" t="s">
        <v>1</v>
      </c>
      <c r="H18" s="192"/>
      <c r="I18" s="192"/>
      <c r="J18" s="192"/>
      <c r="K18" s="192"/>
      <c r="L18" s="192"/>
      <c r="M18" s="62">
        <f>1*N4</f>
        <v>5.0099999999999999E-2</v>
      </c>
      <c r="N18" s="13"/>
    </row>
    <row r="19" spans="1:15" x14ac:dyDescent="0.25">
      <c r="A19" s="191" t="s">
        <v>120</v>
      </c>
      <c r="B19" s="191"/>
      <c r="C19" s="191"/>
      <c r="D19" s="191"/>
      <c r="E19" s="191"/>
      <c r="F19" s="59">
        <f>9.75*N4</f>
        <v>0.48847499999999999</v>
      </c>
      <c r="G19" s="193" t="s">
        <v>157</v>
      </c>
      <c r="H19" s="194"/>
      <c r="I19" s="194"/>
      <c r="J19" s="194"/>
      <c r="K19" s="194"/>
      <c r="L19" s="195"/>
      <c r="M19" s="62">
        <f>1*N4</f>
        <v>5.0099999999999999E-2</v>
      </c>
      <c r="N19" s="13"/>
    </row>
    <row r="20" spans="1:15" x14ac:dyDescent="0.25">
      <c r="A20" s="191" t="s">
        <v>121</v>
      </c>
      <c r="B20" s="191"/>
      <c r="C20" s="191"/>
      <c r="D20" s="191"/>
      <c r="E20" s="191"/>
      <c r="F20" s="59">
        <f>1*N4</f>
        <v>5.0099999999999999E-2</v>
      </c>
      <c r="G20" s="196" t="s">
        <v>125</v>
      </c>
      <c r="H20" s="196"/>
      <c r="I20" s="196"/>
      <c r="J20" s="196"/>
      <c r="K20" s="196"/>
      <c r="L20" s="196"/>
      <c r="M20" s="62">
        <f>0.5*N4</f>
        <v>2.5049999999999999E-2</v>
      </c>
      <c r="N20" s="13"/>
    </row>
    <row r="21" spans="1:15" x14ac:dyDescent="0.25">
      <c r="A21" s="191" t="s">
        <v>122</v>
      </c>
      <c r="B21" s="191"/>
      <c r="C21" s="191"/>
      <c r="D21" s="191"/>
      <c r="E21" s="191"/>
      <c r="F21" s="59">
        <f>0.25*N4</f>
        <v>1.2525E-2</v>
      </c>
      <c r="G21" s="192" t="s">
        <v>127</v>
      </c>
      <c r="H21" s="192"/>
      <c r="I21" s="192"/>
      <c r="J21" s="192"/>
      <c r="K21" s="192"/>
      <c r="L21" s="192"/>
      <c r="M21" s="62">
        <f>1*N4</f>
        <v>5.0099999999999999E-2</v>
      </c>
      <c r="N21" s="13"/>
    </row>
    <row r="22" spans="1:15" x14ac:dyDescent="0.25">
      <c r="A22" s="191" t="s">
        <v>124</v>
      </c>
      <c r="B22" s="191"/>
      <c r="C22" s="191"/>
      <c r="D22" s="191"/>
      <c r="E22" s="191"/>
      <c r="F22" s="59">
        <f>1*N4</f>
        <v>5.0099999999999999E-2</v>
      </c>
      <c r="G22" s="192" t="s">
        <v>126</v>
      </c>
      <c r="H22" s="192"/>
      <c r="I22" s="192"/>
      <c r="J22" s="192"/>
      <c r="K22" s="192"/>
      <c r="L22" s="192"/>
      <c r="M22" s="62">
        <f>2*N4</f>
        <v>0.1002</v>
      </c>
      <c r="N22" s="13"/>
    </row>
    <row r="23" spans="1:15" x14ac:dyDescent="0.25">
      <c r="A23" s="197"/>
      <c r="B23" s="198"/>
      <c r="C23" s="198"/>
      <c r="D23" s="198"/>
      <c r="E23" s="199"/>
      <c r="F23" s="57"/>
      <c r="G23" s="193" t="s">
        <v>123</v>
      </c>
      <c r="H23" s="194"/>
      <c r="I23" s="194"/>
      <c r="J23" s="194"/>
      <c r="K23" s="194"/>
      <c r="L23" s="195"/>
      <c r="M23" s="62">
        <f>1*N4</f>
        <v>5.0099999999999999E-2</v>
      </c>
      <c r="N23" s="178">
        <v>5.0099999999999999E-2</v>
      </c>
    </row>
    <row r="24" spans="1:15" x14ac:dyDescent="0.25">
      <c r="A24" s="191"/>
      <c r="B24" s="191"/>
      <c r="C24" s="191"/>
      <c r="D24" s="191"/>
      <c r="E24" s="191"/>
      <c r="F24" s="58"/>
      <c r="G24" s="192" t="s">
        <v>128</v>
      </c>
      <c r="H24" s="192"/>
      <c r="I24" s="192"/>
      <c r="J24" s="192"/>
      <c r="K24" s="192"/>
      <c r="L24" s="192"/>
      <c r="M24" s="62">
        <f>1.25*N4</f>
        <v>6.2625E-2</v>
      </c>
      <c r="N24" s="178"/>
    </row>
    <row r="25" spans="1:15" ht="15.75" customHeight="1" x14ac:dyDescent="0.25">
      <c r="A25" s="191"/>
      <c r="B25" s="191"/>
      <c r="C25" s="191"/>
      <c r="D25" s="191"/>
      <c r="E25" s="191"/>
      <c r="F25" s="58"/>
      <c r="G25" s="200" t="s">
        <v>129</v>
      </c>
      <c r="H25" s="201"/>
      <c r="I25" s="201"/>
      <c r="J25" s="201"/>
      <c r="K25" s="201"/>
      <c r="L25" s="202"/>
      <c r="M25" s="62">
        <f>0.75*N4</f>
        <v>3.7574999999999997E-2</v>
      </c>
      <c r="N25" s="178"/>
    </row>
    <row r="26" spans="1:15" x14ac:dyDescent="0.25">
      <c r="A26" s="203"/>
      <c r="B26" s="204"/>
      <c r="C26" s="204"/>
      <c r="D26" s="204"/>
      <c r="E26" s="205"/>
      <c r="F26" s="58"/>
      <c r="G26" s="200"/>
      <c r="H26" s="201"/>
      <c r="I26" s="201"/>
      <c r="J26" s="201"/>
      <c r="K26" s="201"/>
      <c r="L26" s="202"/>
      <c r="M26" s="58"/>
      <c r="N26" s="178">
        <v>5.0099999999999999E-2</v>
      </c>
    </row>
    <row r="27" spans="1:15" x14ac:dyDescent="0.25">
      <c r="A27" s="206"/>
      <c r="B27" s="206"/>
      <c r="C27" s="206"/>
      <c r="D27" s="206"/>
      <c r="E27" s="206"/>
      <c r="F27" s="18"/>
      <c r="G27" s="200"/>
      <c r="H27" s="201"/>
      <c r="I27" s="201"/>
      <c r="J27" s="201"/>
      <c r="K27" s="201"/>
      <c r="L27" s="202"/>
      <c r="M27" s="18"/>
      <c r="N27" s="3"/>
    </row>
    <row r="28" spans="1:15" ht="15" customHeight="1" x14ac:dyDescent="0.25">
      <c r="A28" s="206"/>
      <c r="B28" s="206"/>
      <c r="C28" s="206"/>
      <c r="D28" s="206"/>
      <c r="E28" s="206"/>
      <c r="F28" s="18"/>
      <c r="G28" s="200"/>
      <c r="H28" s="201"/>
      <c r="I28" s="201"/>
      <c r="J28" s="201"/>
      <c r="K28" s="201"/>
      <c r="L28" s="202"/>
      <c r="M28" s="18"/>
      <c r="N28" s="3"/>
    </row>
    <row r="29" spans="1:15" ht="15.75" customHeight="1" x14ac:dyDescent="0.25">
      <c r="A29" s="197"/>
      <c r="B29" s="198"/>
      <c r="C29" s="198"/>
      <c r="D29" s="198"/>
      <c r="E29" s="199"/>
      <c r="F29" s="18"/>
      <c r="G29" s="200"/>
      <c r="H29" s="201"/>
      <c r="I29" s="201"/>
      <c r="J29" s="201"/>
      <c r="K29" s="201"/>
      <c r="L29" s="202"/>
      <c r="M29" s="18"/>
      <c r="N29" s="60">
        <f>F30+M30</f>
        <v>1.0771500000000001</v>
      </c>
      <c r="O29" s="61">
        <f>N29/86%</f>
        <v>1.2525000000000002</v>
      </c>
    </row>
    <row r="30" spans="1:15" x14ac:dyDescent="0.25">
      <c r="A30" s="207" t="s">
        <v>2</v>
      </c>
      <c r="B30" s="207"/>
      <c r="C30" s="207"/>
      <c r="D30" s="207"/>
      <c r="E30" s="207"/>
      <c r="F30" s="84">
        <f>SUM(F18:F29)</f>
        <v>0.6513000000000001</v>
      </c>
      <c r="G30" s="208" t="s">
        <v>2</v>
      </c>
      <c r="H30" s="208"/>
      <c r="I30" s="208"/>
      <c r="J30" s="208"/>
      <c r="K30" s="208"/>
      <c r="L30" s="208"/>
      <c r="M30" s="85">
        <f>SUM(M18:M29)</f>
        <v>0.42584999999999995</v>
      </c>
      <c r="N30" s="3"/>
    </row>
    <row r="31" spans="1:15" x14ac:dyDescent="0.25">
      <c r="A31" s="87"/>
      <c r="B31" s="87"/>
      <c r="C31" s="87"/>
      <c r="D31" s="87"/>
      <c r="E31" s="87"/>
      <c r="F31" s="13"/>
      <c r="G31" s="13"/>
      <c r="H31" s="13"/>
      <c r="I31" s="13"/>
      <c r="J31" s="13"/>
      <c r="K31" s="13"/>
      <c r="L31" s="13"/>
      <c r="M31" s="13"/>
      <c r="N31" s="3"/>
    </row>
    <row r="32" spans="1:15" ht="12.75" customHeight="1" x14ac:dyDescent="0.25">
      <c r="A32" s="87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3"/>
    </row>
    <row r="33" spans="1:14" ht="15" customHeight="1" x14ac:dyDescent="0.25">
      <c r="A33" s="210" t="s">
        <v>117</v>
      </c>
      <c r="B33" s="211"/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3"/>
    </row>
    <row r="34" spans="1:14" ht="60" x14ac:dyDescent="0.25">
      <c r="A34" s="206" t="s">
        <v>3</v>
      </c>
      <c r="B34" s="206"/>
      <c r="C34" s="206"/>
      <c r="D34" s="206"/>
      <c r="E34" s="206"/>
      <c r="F34" s="6" t="s">
        <v>4</v>
      </c>
      <c r="G34" s="6" t="s">
        <v>0</v>
      </c>
      <c r="H34" s="6" t="s">
        <v>74</v>
      </c>
      <c r="I34" s="6" t="s">
        <v>76</v>
      </c>
      <c r="J34" s="6" t="s">
        <v>102</v>
      </c>
      <c r="K34" s="6" t="s">
        <v>131</v>
      </c>
      <c r="L34" s="6" t="s">
        <v>80</v>
      </c>
      <c r="M34" s="13"/>
      <c r="N34" s="3"/>
    </row>
    <row r="35" spans="1:14" hidden="1" x14ac:dyDescent="0.25">
      <c r="A35" s="191"/>
      <c r="B35" s="191"/>
      <c r="C35" s="191"/>
      <c r="D35" s="191"/>
      <c r="E35" s="191"/>
      <c r="F35" s="36"/>
      <c r="G35" s="36"/>
      <c r="H35" s="36"/>
      <c r="I35" s="36"/>
      <c r="J35" s="88"/>
      <c r="K35" s="88"/>
      <c r="L35" s="88"/>
      <c r="M35" s="13"/>
      <c r="N35" s="3"/>
    </row>
    <row r="36" spans="1:14" hidden="1" x14ac:dyDescent="0.25">
      <c r="A36" s="191"/>
      <c r="B36" s="191"/>
      <c r="C36" s="191"/>
      <c r="D36" s="191"/>
      <c r="E36" s="191"/>
      <c r="F36" s="36"/>
      <c r="G36" s="36"/>
      <c r="H36" s="36"/>
      <c r="I36" s="36"/>
      <c r="J36" s="88"/>
      <c r="K36" s="88"/>
      <c r="L36" s="88"/>
      <c r="M36" s="13"/>
      <c r="N36" s="3"/>
    </row>
    <row r="37" spans="1:14" x14ac:dyDescent="0.25">
      <c r="A37" s="212">
        <v>1</v>
      </c>
      <c r="B37" s="213"/>
      <c r="C37" s="213"/>
      <c r="D37" s="213"/>
      <c r="E37" s="214"/>
      <c r="F37" s="36">
        <v>2</v>
      </c>
      <c r="G37" s="36">
        <v>3</v>
      </c>
      <c r="H37" s="36" t="s">
        <v>75</v>
      </c>
      <c r="I37" s="36" t="s">
        <v>77</v>
      </c>
      <c r="J37" s="31">
        <v>6</v>
      </c>
      <c r="K37" s="31" t="s">
        <v>79</v>
      </c>
      <c r="L37" s="31">
        <v>8</v>
      </c>
      <c r="M37" s="13"/>
      <c r="N37" s="3"/>
    </row>
    <row r="38" spans="1:14" ht="15.75" thickBot="1" x14ac:dyDescent="0.3">
      <c r="A38" s="192" t="s">
        <v>107</v>
      </c>
      <c r="B38" s="192"/>
      <c r="C38" s="192"/>
      <c r="D38" s="192"/>
      <c r="E38" s="192"/>
      <c r="F38" s="9">
        <f>H38/12/G38</f>
        <v>26565.337179487178</v>
      </c>
      <c r="G38" s="9">
        <v>0.65</v>
      </c>
      <c r="H38" s="9">
        <v>207209.63</v>
      </c>
      <c r="I38" s="9">
        <v>269786.94</v>
      </c>
      <c r="J38" s="12">
        <v>52</v>
      </c>
      <c r="K38" s="9">
        <f>I38/J38</f>
        <v>5188.210384615385</v>
      </c>
      <c r="L38" s="9">
        <f>I38/5384968.83*100</f>
        <v>5.0100000300280296</v>
      </c>
      <c r="M38" s="13"/>
      <c r="N38" s="3"/>
    </row>
    <row r="39" spans="1:14" ht="15.75" hidden="1" thickBot="1" x14ac:dyDescent="0.3">
      <c r="A39" s="191"/>
      <c r="B39" s="191"/>
      <c r="C39" s="191"/>
      <c r="D39" s="191"/>
      <c r="E39" s="191"/>
      <c r="F39" s="7"/>
      <c r="G39" s="7"/>
      <c r="H39" s="7"/>
      <c r="I39" s="21"/>
      <c r="J39" s="10"/>
      <c r="K39" s="21"/>
      <c r="L39" s="7"/>
      <c r="M39" s="13"/>
      <c r="N39" s="3"/>
    </row>
    <row r="40" spans="1:14" ht="15.75" thickBot="1" x14ac:dyDescent="0.3">
      <c r="A40" s="209" t="s">
        <v>81</v>
      </c>
      <c r="B40" s="209"/>
      <c r="C40" s="209"/>
      <c r="D40" s="209"/>
      <c r="E40" s="209"/>
      <c r="F40" s="89"/>
      <c r="G40" s="89"/>
      <c r="H40" s="90"/>
      <c r="I40" s="42">
        <f>I38</f>
        <v>269786.94</v>
      </c>
      <c r="J40" s="91"/>
      <c r="K40" s="92">
        <f>K38</f>
        <v>5188.210384615385</v>
      </c>
      <c r="L40" s="93"/>
      <c r="M40" s="137"/>
      <c r="N40" s="3"/>
    </row>
    <row r="41" spans="1:14" x14ac:dyDescent="0.25">
      <c r="A41" s="94"/>
      <c r="B41" s="94"/>
      <c r="C41" s="94"/>
      <c r="D41" s="94"/>
      <c r="E41" s="94"/>
      <c r="F41" s="95"/>
      <c r="G41" s="95"/>
      <c r="H41" s="95"/>
      <c r="I41" s="95"/>
      <c r="J41" s="96"/>
      <c r="K41" s="97"/>
      <c r="L41" s="97"/>
      <c r="M41" s="13"/>
      <c r="N41" s="3"/>
    </row>
    <row r="42" spans="1:14" ht="16.5" customHeight="1" x14ac:dyDescent="0.25">
      <c r="A42" s="94"/>
      <c r="B42" s="94"/>
      <c r="C42" s="94"/>
      <c r="D42" s="94"/>
      <c r="E42" s="94"/>
      <c r="F42" s="95"/>
      <c r="G42" s="95"/>
      <c r="H42" s="95"/>
      <c r="I42" s="95"/>
      <c r="J42" s="96"/>
      <c r="K42" s="97"/>
      <c r="L42" s="97"/>
      <c r="M42" s="13"/>
      <c r="N42" s="3"/>
    </row>
    <row r="43" spans="1:14" ht="98.25" hidden="1" customHeight="1" x14ac:dyDescent="0.25">
      <c r="A43" s="94"/>
      <c r="B43" s="94"/>
      <c r="C43" s="94"/>
      <c r="D43" s="94"/>
      <c r="E43" s="94"/>
      <c r="F43" s="66"/>
      <c r="G43" s="66"/>
      <c r="H43" s="66"/>
      <c r="I43" s="66"/>
      <c r="J43" s="66"/>
      <c r="K43" s="135"/>
      <c r="L43" s="66"/>
      <c r="M43" s="135"/>
      <c r="N43" s="3"/>
    </row>
    <row r="44" spans="1:14" hidden="1" x14ac:dyDescent="0.25">
      <c r="A44" s="239" t="s">
        <v>15</v>
      </c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  <c r="M44" s="239"/>
      <c r="N44" s="3"/>
    </row>
    <row r="45" spans="1:14" hidden="1" x14ac:dyDescent="0.25">
      <c r="A45" s="142"/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3"/>
    </row>
    <row r="46" spans="1:14" ht="80.25" hidden="1" customHeight="1" x14ac:dyDescent="0.25">
      <c r="A46" s="271" t="s">
        <v>6</v>
      </c>
      <c r="B46" s="271"/>
      <c r="C46" s="271"/>
      <c r="D46" s="271"/>
      <c r="E46" s="271"/>
      <c r="F46" s="143" t="s">
        <v>7</v>
      </c>
      <c r="G46" s="143" t="s">
        <v>8</v>
      </c>
      <c r="H46" s="143" t="s">
        <v>9</v>
      </c>
      <c r="I46" s="143" t="s">
        <v>10</v>
      </c>
      <c r="J46" s="143"/>
      <c r="K46" s="143" t="s">
        <v>11</v>
      </c>
      <c r="L46" s="143" t="s">
        <v>12</v>
      </c>
      <c r="M46" s="143" t="s">
        <v>5</v>
      </c>
      <c r="N46" s="3"/>
    </row>
    <row r="47" spans="1:14" ht="15" hidden="1" customHeight="1" x14ac:dyDescent="0.25">
      <c r="A47" s="272">
        <v>1</v>
      </c>
      <c r="B47" s="273"/>
      <c r="C47" s="273"/>
      <c r="D47" s="273"/>
      <c r="E47" s="274"/>
      <c r="F47" s="143">
        <v>2</v>
      </c>
      <c r="G47" s="143">
        <v>3</v>
      </c>
      <c r="H47" s="143">
        <v>4</v>
      </c>
      <c r="I47" s="143" t="s">
        <v>59</v>
      </c>
      <c r="J47" s="143"/>
      <c r="K47" s="143">
        <v>6</v>
      </c>
      <c r="L47" s="143">
        <v>7</v>
      </c>
      <c r="M47" s="143" t="s">
        <v>60</v>
      </c>
      <c r="N47" s="3"/>
    </row>
    <row r="48" spans="1:14" ht="15" hidden="1" customHeight="1" x14ac:dyDescent="0.25">
      <c r="A48" s="267" t="s">
        <v>62</v>
      </c>
      <c r="B48" s="267"/>
      <c r="C48" s="267"/>
      <c r="D48" s="267"/>
      <c r="E48" s="267"/>
      <c r="F48" s="144" t="s">
        <v>13</v>
      </c>
      <c r="G48" s="143">
        <v>7</v>
      </c>
      <c r="H48" s="144">
        <v>10</v>
      </c>
      <c r="I48" s="145">
        <f>G48/H48</f>
        <v>0.7</v>
      </c>
      <c r="J48" s="145"/>
      <c r="K48" s="143">
        <v>20</v>
      </c>
      <c r="L48" s="146">
        <v>7100</v>
      </c>
      <c r="M48" s="146">
        <f>I48*L48</f>
        <v>4970</v>
      </c>
      <c r="N48" s="3"/>
    </row>
    <row r="49" spans="1:14" ht="15" hidden="1" customHeight="1" x14ac:dyDescent="0.25">
      <c r="A49" s="267" t="s">
        <v>63</v>
      </c>
      <c r="B49" s="267"/>
      <c r="C49" s="267"/>
      <c r="D49" s="267"/>
      <c r="E49" s="267"/>
      <c r="F49" s="144" t="s">
        <v>13</v>
      </c>
      <c r="G49" s="143">
        <v>1</v>
      </c>
      <c r="H49" s="144">
        <v>10</v>
      </c>
      <c r="I49" s="145">
        <f t="shared" ref="I49:I65" si="0">G49/H49</f>
        <v>0.1</v>
      </c>
      <c r="J49" s="145"/>
      <c r="K49" s="143">
        <v>20</v>
      </c>
      <c r="L49" s="146">
        <v>538700</v>
      </c>
      <c r="M49" s="146">
        <f t="shared" ref="M49:M66" si="1">I49*L49</f>
        <v>53870</v>
      </c>
      <c r="N49" s="3"/>
    </row>
    <row r="50" spans="1:14" ht="15" hidden="1" customHeight="1" x14ac:dyDescent="0.25">
      <c r="A50" s="267" t="s">
        <v>64</v>
      </c>
      <c r="B50" s="267"/>
      <c r="C50" s="267"/>
      <c r="D50" s="267"/>
      <c r="E50" s="267"/>
      <c r="F50" s="144" t="s">
        <v>13</v>
      </c>
      <c r="G50" s="143">
        <v>1</v>
      </c>
      <c r="H50" s="144">
        <v>10</v>
      </c>
      <c r="I50" s="145">
        <f t="shared" si="0"/>
        <v>0.1</v>
      </c>
      <c r="J50" s="145"/>
      <c r="K50" s="143">
        <v>20</v>
      </c>
      <c r="L50" s="146">
        <v>380000</v>
      </c>
      <c r="M50" s="146">
        <f t="shared" si="1"/>
        <v>38000</v>
      </c>
      <c r="N50" s="3"/>
    </row>
    <row r="51" spans="1:14" ht="12.75" hidden="1" customHeight="1" x14ac:dyDescent="0.25">
      <c r="A51" s="267"/>
      <c r="B51" s="267"/>
      <c r="C51" s="267"/>
      <c r="D51" s="267"/>
      <c r="E51" s="267"/>
      <c r="F51" s="144" t="s">
        <v>13</v>
      </c>
      <c r="G51" s="143"/>
      <c r="H51" s="144">
        <v>10</v>
      </c>
      <c r="I51" s="145">
        <f t="shared" si="0"/>
        <v>0</v>
      </c>
      <c r="J51" s="145"/>
      <c r="K51" s="143"/>
      <c r="L51" s="146"/>
      <c r="M51" s="146">
        <f t="shared" si="1"/>
        <v>0</v>
      </c>
      <c r="N51" s="3"/>
    </row>
    <row r="52" spans="1:14" ht="15" hidden="1" customHeight="1" x14ac:dyDescent="0.25">
      <c r="A52" s="267"/>
      <c r="B52" s="267"/>
      <c r="C52" s="267"/>
      <c r="D52" s="267"/>
      <c r="E52" s="267"/>
      <c r="F52" s="144" t="s">
        <v>13</v>
      </c>
      <c r="G52" s="143"/>
      <c r="H52" s="144">
        <v>10</v>
      </c>
      <c r="I52" s="145">
        <f t="shared" si="0"/>
        <v>0</v>
      </c>
      <c r="J52" s="145"/>
      <c r="K52" s="143"/>
      <c r="L52" s="146"/>
      <c r="M52" s="146">
        <f t="shared" si="1"/>
        <v>0</v>
      </c>
      <c r="N52" s="3"/>
    </row>
    <row r="53" spans="1:14" ht="15" hidden="1" customHeight="1" x14ac:dyDescent="0.25">
      <c r="A53" s="268"/>
      <c r="B53" s="269"/>
      <c r="C53" s="269"/>
      <c r="D53" s="269"/>
      <c r="E53" s="270"/>
      <c r="F53" s="144" t="s">
        <v>13</v>
      </c>
      <c r="G53" s="143"/>
      <c r="H53" s="144">
        <v>10</v>
      </c>
      <c r="I53" s="145">
        <f t="shared" si="0"/>
        <v>0</v>
      </c>
      <c r="J53" s="145"/>
      <c r="K53" s="143"/>
      <c r="L53" s="146"/>
      <c r="M53" s="146">
        <f t="shared" si="1"/>
        <v>0</v>
      </c>
      <c r="N53" s="3"/>
    </row>
    <row r="54" spans="1:14" ht="15" hidden="1" customHeight="1" x14ac:dyDescent="0.25">
      <c r="A54" s="268"/>
      <c r="B54" s="269"/>
      <c r="C54" s="269"/>
      <c r="D54" s="269"/>
      <c r="E54" s="270"/>
      <c r="F54" s="144" t="s">
        <v>13</v>
      </c>
      <c r="G54" s="143"/>
      <c r="H54" s="144">
        <v>10</v>
      </c>
      <c r="I54" s="145">
        <f t="shared" si="0"/>
        <v>0</v>
      </c>
      <c r="J54" s="145"/>
      <c r="K54" s="143"/>
      <c r="L54" s="146"/>
      <c r="M54" s="146">
        <f t="shared" si="1"/>
        <v>0</v>
      </c>
      <c r="N54" s="3"/>
    </row>
    <row r="55" spans="1:14" ht="15" hidden="1" customHeight="1" x14ac:dyDescent="0.25">
      <c r="A55" s="268"/>
      <c r="B55" s="269"/>
      <c r="C55" s="269"/>
      <c r="D55" s="269"/>
      <c r="E55" s="270"/>
      <c r="F55" s="144" t="s">
        <v>13</v>
      </c>
      <c r="G55" s="143"/>
      <c r="H55" s="144">
        <v>10</v>
      </c>
      <c r="I55" s="145">
        <f t="shared" si="0"/>
        <v>0</v>
      </c>
      <c r="J55" s="145"/>
      <c r="K55" s="143"/>
      <c r="L55" s="146"/>
      <c r="M55" s="146">
        <f t="shared" si="1"/>
        <v>0</v>
      </c>
      <c r="N55" s="3"/>
    </row>
    <row r="56" spans="1:14" ht="15" hidden="1" customHeight="1" x14ac:dyDescent="0.25">
      <c r="A56" s="268"/>
      <c r="B56" s="269"/>
      <c r="C56" s="269"/>
      <c r="D56" s="269"/>
      <c r="E56" s="270"/>
      <c r="F56" s="144" t="s">
        <v>13</v>
      </c>
      <c r="G56" s="143"/>
      <c r="H56" s="144">
        <v>10</v>
      </c>
      <c r="I56" s="145">
        <f t="shared" si="0"/>
        <v>0</v>
      </c>
      <c r="J56" s="145"/>
      <c r="K56" s="143"/>
      <c r="L56" s="146"/>
      <c r="M56" s="146">
        <f t="shared" si="1"/>
        <v>0</v>
      </c>
      <c r="N56" s="3"/>
    </row>
    <row r="57" spans="1:14" ht="15" hidden="1" customHeight="1" x14ac:dyDescent="0.25">
      <c r="A57" s="268"/>
      <c r="B57" s="269"/>
      <c r="C57" s="269"/>
      <c r="D57" s="269"/>
      <c r="E57" s="270"/>
      <c r="F57" s="144" t="s">
        <v>13</v>
      </c>
      <c r="G57" s="143"/>
      <c r="H57" s="144">
        <v>10</v>
      </c>
      <c r="I57" s="145">
        <f t="shared" si="0"/>
        <v>0</v>
      </c>
      <c r="J57" s="145"/>
      <c r="K57" s="143"/>
      <c r="L57" s="146"/>
      <c r="M57" s="146">
        <f t="shared" si="1"/>
        <v>0</v>
      </c>
      <c r="N57" s="3"/>
    </row>
    <row r="58" spans="1:14" hidden="1" x14ac:dyDescent="0.25">
      <c r="A58" s="275"/>
      <c r="B58" s="276"/>
      <c r="C58" s="276"/>
      <c r="D58" s="276"/>
      <c r="E58" s="277"/>
      <c r="F58" s="144" t="s">
        <v>13</v>
      </c>
      <c r="G58" s="144"/>
      <c r="H58" s="144">
        <v>10</v>
      </c>
      <c r="I58" s="145">
        <f t="shared" si="0"/>
        <v>0</v>
      </c>
      <c r="J58" s="145"/>
      <c r="K58" s="144"/>
      <c r="L58" s="147"/>
      <c r="M58" s="146">
        <f t="shared" si="1"/>
        <v>0</v>
      </c>
      <c r="N58" s="3"/>
    </row>
    <row r="59" spans="1:14" hidden="1" x14ac:dyDescent="0.25">
      <c r="A59" s="275"/>
      <c r="B59" s="276"/>
      <c r="C59" s="276"/>
      <c r="D59" s="276"/>
      <c r="E59" s="277"/>
      <c r="F59" s="144" t="s">
        <v>13</v>
      </c>
      <c r="G59" s="144"/>
      <c r="H59" s="144">
        <v>10</v>
      </c>
      <c r="I59" s="145">
        <f t="shared" si="0"/>
        <v>0</v>
      </c>
      <c r="J59" s="145"/>
      <c r="K59" s="144"/>
      <c r="L59" s="147"/>
      <c r="M59" s="146">
        <f t="shared" si="1"/>
        <v>0</v>
      </c>
      <c r="N59" s="3"/>
    </row>
    <row r="60" spans="1:14" hidden="1" x14ac:dyDescent="0.25">
      <c r="A60" s="275"/>
      <c r="B60" s="276"/>
      <c r="C60" s="276"/>
      <c r="D60" s="276"/>
      <c r="E60" s="277"/>
      <c r="F60" s="144" t="s">
        <v>13</v>
      </c>
      <c r="G60" s="144"/>
      <c r="H60" s="144">
        <v>10</v>
      </c>
      <c r="I60" s="145">
        <f t="shared" si="0"/>
        <v>0</v>
      </c>
      <c r="J60" s="145"/>
      <c r="K60" s="144"/>
      <c r="L60" s="147"/>
      <c r="M60" s="146">
        <f t="shared" si="1"/>
        <v>0</v>
      </c>
      <c r="N60" s="3"/>
    </row>
    <row r="61" spans="1:14" hidden="1" x14ac:dyDescent="0.25">
      <c r="A61" s="275"/>
      <c r="B61" s="276"/>
      <c r="C61" s="276"/>
      <c r="D61" s="276"/>
      <c r="E61" s="277"/>
      <c r="F61" s="144" t="s">
        <v>13</v>
      </c>
      <c r="G61" s="144"/>
      <c r="H61" s="144">
        <v>10</v>
      </c>
      <c r="I61" s="145">
        <f t="shared" si="0"/>
        <v>0</v>
      </c>
      <c r="J61" s="145"/>
      <c r="K61" s="144"/>
      <c r="L61" s="147"/>
      <c r="M61" s="146">
        <f t="shared" si="1"/>
        <v>0</v>
      </c>
      <c r="N61" s="3"/>
    </row>
    <row r="62" spans="1:14" hidden="1" x14ac:dyDescent="0.25">
      <c r="A62" s="275"/>
      <c r="B62" s="276"/>
      <c r="C62" s="276"/>
      <c r="D62" s="276"/>
      <c r="E62" s="277"/>
      <c r="F62" s="144" t="s">
        <v>13</v>
      </c>
      <c r="G62" s="144"/>
      <c r="H62" s="144">
        <v>10</v>
      </c>
      <c r="I62" s="145">
        <f t="shared" si="0"/>
        <v>0</v>
      </c>
      <c r="J62" s="145"/>
      <c r="K62" s="144"/>
      <c r="L62" s="147"/>
      <c r="M62" s="146">
        <f t="shared" si="1"/>
        <v>0</v>
      </c>
      <c r="N62" s="3"/>
    </row>
    <row r="63" spans="1:14" hidden="1" x14ac:dyDescent="0.25">
      <c r="A63" s="275"/>
      <c r="B63" s="276"/>
      <c r="C63" s="276"/>
      <c r="D63" s="276"/>
      <c r="E63" s="277"/>
      <c r="F63" s="144" t="s">
        <v>13</v>
      </c>
      <c r="G63" s="144"/>
      <c r="H63" s="144">
        <v>10</v>
      </c>
      <c r="I63" s="145">
        <f t="shared" si="0"/>
        <v>0</v>
      </c>
      <c r="J63" s="145"/>
      <c r="K63" s="144"/>
      <c r="L63" s="147"/>
      <c r="M63" s="146">
        <f t="shared" si="1"/>
        <v>0</v>
      </c>
      <c r="N63" s="3"/>
    </row>
    <row r="64" spans="1:14" hidden="1" x14ac:dyDescent="0.25">
      <c r="A64" s="275"/>
      <c r="B64" s="276"/>
      <c r="C64" s="276"/>
      <c r="D64" s="276"/>
      <c r="E64" s="277"/>
      <c r="F64" s="144" t="s">
        <v>13</v>
      </c>
      <c r="G64" s="144"/>
      <c r="H64" s="144">
        <v>10</v>
      </c>
      <c r="I64" s="145">
        <f t="shared" si="0"/>
        <v>0</v>
      </c>
      <c r="J64" s="145"/>
      <c r="K64" s="144"/>
      <c r="L64" s="147"/>
      <c r="M64" s="146">
        <f t="shared" si="1"/>
        <v>0</v>
      </c>
      <c r="N64" s="3"/>
    </row>
    <row r="65" spans="1:17" hidden="1" x14ac:dyDescent="0.25">
      <c r="A65" s="275"/>
      <c r="B65" s="276"/>
      <c r="C65" s="276"/>
      <c r="D65" s="276"/>
      <c r="E65" s="277"/>
      <c r="F65" s="144" t="s">
        <v>13</v>
      </c>
      <c r="G65" s="144"/>
      <c r="H65" s="144">
        <v>10</v>
      </c>
      <c r="I65" s="145">
        <f t="shared" si="0"/>
        <v>0</v>
      </c>
      <c r="J65" s="145"/>
      <c r="K65" s="144"/>
      <c r="L65" s="147"/>
      <c r="M65" s="146">
        <f t="shared" si="1"/>
        <v>0</v>
      </c>
      <c r="N65" s="3"/>
    </row>
    <row r="66" spans="1:17" hidden="1" x14ac:dyDescent="0.25">
      <c r="A66" s="278" t="s">
        <v>170</v>
      </c>
      <c r="B66" s="278"/>
      <c r="C66" s="278"/>
      <c r="D66" s="278"/>
      <c r="E66" s="278"/>
      <c r="F66" s="144"/>
      <c r="G66" s="144"/>
      <c r="H66" s="144"/>
      <c r="I66" s="148"/>
      <c r="J66" s="148"/>
      <c r="K66" s="144"/>
      <c r="L66" s="147"/>
      <c r="M66" s="147">
        <f t="shared" si="1"/>
        <v>0</v>
      </c>
      <c r="N66" s="3"/>
    </row>
    <row r="67" spans="1:17" ht="57" hidden="1" customHeight="1" x14ac:dyDescent="0.25">
      <c r="A67" s="279" t="s">
        <v>14</v>
      </c>
      <c r="B67" s="280"/>
      <c r="C67" s="280"/>
      <c r="D67" s="280"/>
      <c r="E67" s="280"/>
      <c r="F67" s="280"/>
      <c r="G67" s="280"/>
      <c r="H67" s="280"/>
      <c r="I67" s="280"/>
      <c r="J67" s="280"/>
      <c r="K67" s="280"/>
      <c r="L67" s="281"/>
      <c r="M67" s="147">
        <f>M66+M50+M49+M48</f>
        <v>96840</v>
      </c>
      <c r="N67" s="3"/>
    </row>
    <row r="68" spans="1:17" ht="15" customHeight="1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3"/>
    </row>
    <row r="69" spans="1:17" x14ac:dyDescent="0.25">
      <c r="A69" s="218" t="s">
        <v>16</v>
      </c>
      <c r="B69" s="218"/>
      <c r="C69" s="218"/>
      <c r="D69" s="218"/>
      <c r="E69" s="218"/>
      <c r="F69" s="218"/>
      <c r="G69" s="218"/>
      <c r="H69" s="218"/>
      <c r="I69" s="218"/>
      <c r="J69" s="218"/>
      <c r="K69" s="218"/>
      <c r="L69" s="218"/>
      <c r="M69" s="218"/>
      <c r="N69" s="3"/>
    </row>
    <row r="70" spans="1:17" x14ac:dyDescent="0.25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3"/>
    </row>
    <row r="71" spans="1:17" ht="30.75" hidden="1" customHeight="1" x14ac:dyDescent="0.25">
      <c r="A71" s="219"/>
      <c r="B71" s="219"/>
      <c r="C71" s="219"/>
      <c r="D71" s="219"/>
      <c r="E71" s="219"/>
      <c r="F71" s="219"/>
      <c r="G71" s="219"/>
      <c r="H71" s="219"/>
      <c r="I71" s="219"/>
      <c r="J71" s="219"/>
      <c r="K71" s="219"/>
      <c r="L71" s="219"/>
      <c r="M71" s="5"/>
      <c r="N71" s="3"/>
    </row>
    <row r="72" spans="1:17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3"/>
    </row>
    <row r="73" spans="1:17" ht="73.5" customHeight="1" x14ac:dyDescent="0.25">
      <c r="A73" s="206" t="s">
        <v>17</v>
      </c>
      <c r="B73" s="206"/>
      <c r="C73" s="206"/>
      <c r="D73" s="206"/>
      <c r="E73" s="206"/>
      <c r="F73" s="6" t="s">
        <v>7</v>
      </c>
      <c r="G73" s="6" t="s">
        <v>90</v>
      </c>
      <c r="H73" s="6" t="s">
        <v>71</v>
      </c>
      <c r="I73" s="6" t="s">
        <v>82</v>
      </c>
      <c r="J73" s="6" t="s">
        <v>102</v>
      </c>
      <c r="K73" s="6" t="s">
        <v>131</v>
      </c>
      <c r="L73" s="13"/>
      <c r="M73" s="13"/>
      <c r="N73" s="3"/>
    </row>
    <row r="74" spans="1:17" ht="18.75" customHeight="1" x14ac:dyDescent="0.25">
      <c r="A74" s="220">
        <v>1</v>
      </c>
      <c r="B74" s="221"/>
      <c r="C74" s="221"/>
      <c r="D74" s="221"/>
      <c r="E74" s="222"/>
      <c r="F74" s="6">
        <v>2</v>
      </c>
      <c r="G74" s="6">
        <v>3</v>
      </c>
      <c r="H74" s="26">
        <v>4</v>
      </c>
      <c r="I74" s="26">
        <v>5</v>
      </c>
      <c r="J74" s="99">
        <v>6</v>
      </c>
      <c r="K74" s="99" t="s">
        <v>79</v>
      </c>
      <c r="L74" s="13"/>
      <c r="M74" s="100"/>
      <c r="N74" s="3"/>
    </row>
    <row r="75" spans="1:17" x14ac:dyDescent="0.25">
      <c r="A75" s="227" t="s">
        <v>23</v>
      </c>
      <c r="B75" s="227"/>
      <c r="C75" s="227"/>
      <c r="D75" s="227"/>
      <c r="E75" s="227"/>
      <c r="F75" s="7" t="s">
        <v>26</v>
      </c>
      <c r="G75" s="10">
        <f>I75/H75</f>
        <v>0.35111323496027241</v>
      </c>
      <c r="H75" s="9">
        <v>8457.6</v>
      </c>
      <c r="I75" s="9">
        <f>59272.96*N26</f>
        <v>2969.575296</v>
      </c>
      <c r="J75" s="12">
        <v>52</v>
      </c>
      <c r="K75" s="9">
        <f>I75/J75</f>
        <v>57.10721723076923</v>
      </c>
      <c r="L75" s="13"/>
      <c r="M75" s="66"/>
      <c r="N75" s="9"/>
      <c r="Q75">
        <v>5702.59</v>
      </c>
    </row>
    <row r="76" spans="1:17" x14ac:dyDescent="0.25">
      <c r="A76" s="227" t="s">
        <v>24</v>
      </c>
      <c r="B76" s="227"/>
      <c r="C76" s="227"/>
      <c r="D76" s="227"/>
      <c r="E76" s="227"/>
      <c r="F76" s="7" t="s">
        <v>27</v>
      </c>
      <c r="G76" s="10">
        <f>I76/H76</f>
        <v>9.4868305861934719</v>
      </c>
      <c r="H76" s="9">
        <v>1849.56</v>
      </c>
      <c r="I76" s="9">
        <f>350228.79*N23</f>
        <v>17546.462378999997</v>
      </c>
      <c r="J76" s="12">
        <v>52</v>
      </c>
      <c r="K76" s="9">
        <f>I76/J76</f>
        <v>337.43196882692303</v>
      </c>
      <c r="L76" s="13"/>
      <c r="M76" s="13"/>
      <c r="N76" s="14"/>
      <c r="Q76">
        <v>8442.66</v>
      </c>
    </row>
    <row r="77" spans="1:17" x14ac:dyDescent="0.25">
      <c r="A77" s="227" t="s">
        <v>83</v>
      </c>
      <c r="B77" s="227"/>
      <c r="C77" s="227"/>
      <c r="D77" s="227"/>
      <c r="E77" s="227"/>
      <c r="F77" s="7" t="s">
        <v>28</v>
      </c>
      <c r="G77" s="10">
        <f>I77/H77</f>
        <v>6.3758147734880604</v>
      </c>
      <c r="H77" s="9">
        <v>44.81</v>
      </c>
      <c r="I77" s="9">
        <f>5702.6*N23</f>
        <v>285.70026000000001</v>
      </c>
      <c r="J77" s="12">
        <v>52</v>
      </c>
      <c r="K77" s="9">
        <f>I77/J77</f>
        <v>5.4942357692307695</v>
      </c>
      <c r="L77" s="13"/>
      <c r="M77" s="13"/>
      <c r="N77" s="13"/>
    </row>
    <row r="78" spans="1:17" x14ac:dyDescent="0.25">
      <c r="A78" s="228" t="s">
        <v>25</v>
      </c>
      <c r="B78" s="228"/>
      <c r="C78" s="228"/>
      <c r="D78" s="228"/>
      <c r="E78" s="228"/>
      <c r="F78" s="21" t="s">
        <v>28</v>
      </c>
      <c r="G78" s="10">
        <f>I78/H78</f>
        <v>6.4814475942384311</v>
      </c>
      <c r="H78" s="14">
        <v>65.260000000000005</v>
      </c>
      <c r="I78" s="14">
        <f>8442.7*N23</f>
        <v>422.97927000000004</v>
      </c>
      <c r="J78" s="12">
        <v>52</v>
      </c>
      <c r="K78" s="14">
        <f>I78/J78</f>
        <v>8.1342167307692321</v>
      </c>
      <c r="L78" s="13"/>
      <c r="M78" s="13"/>
      <c r="N78" s="13"/>
    </row>
    <row r="79" spans="1:17" ht="15.75" thickBot="1" x14ac:dyDescent="0.3">
      <c r="A79" s="228" t="s">
        <v>162</v>
      </c>
      <c r="B79" s="228"/>
      <c r="C79" s="228"/>
      <c r="D79" s="228"/>
      <c r="E79" s="228"/>
      <c r="F79" s="21"/>
      <c r="G79" s="10">
        <f>I79/H79</f>
        <v>0.77140194703407317</v>
      </c>
      <c r="H79" s="14">
        <v>1212.0999999999999</v>
      </c>
      <c r="I79" s="14">
        <f>18663*N23</f>
        <v>935.0163</v>
      </c>
      <c r="J79" s="12">
        <v>52</v>
      </c>
      <c r="K79" s="14">
        <f>I79/J79</f>
        <v>17.981082692307691</v>
      </c>
      <c r="L79" s="13"/>
      <c r="M79" s="13"/>
      <c r="N79" s="13"/>
    </row>
    <row r="80" spans="1:17" ht="15.75" thickBot="1" x14ac:dyDescent="0.3">
      <c r="A80" s="229" t="s">
        <v>29</v>
      </c>
      <c r="B80" s="230"/>
      <c r="C80" s="230"/>
      <c r="D80" s="230"/>
      <c r="E80" s="231"/>
      <c r="F80" s="22"/>
      <c r="G80" s="22"/>
      <c r="H80" s="22"/>
      <c r="I80" s="42">
        <f>SUM(I75:I79)</f>
        <v>22159.733504999997</v>
      </c>
      <c r="J80" s="15"/>
      <c r="K80" s="24">
        <f>SUM(K75:K79)</f>
        <v>426.14872124999994</v>
      </c>
      <c r="L80" s="13"/>
      <c r="M80" s="13"/>
      <c r="N80" s="13">
        <f>I80/88.1%</f>
        <v>25152.932468785471</v>
      </c>
    </row>
    <row r="81" spans="1:14" x14ac:dyDescent="0.25">
      <c r="A81" s="218" t="s">
        <v>30</v>
      </c>
      <c r="B81" s="218"/>
      <c r="C81" s="218"/>
      <c r="D81" s="218"/>
      <c r="E81" s="218"/>
      <c r="F81" s="218"/>
      <c r="G81" s="218"/>
      <c r="H81" s="218"/>
      <c r="I81" s="218"/>
      <c r="J81" s="218"/>
      <c r="K81" s="218"/>
      <c r="L81" s="218"/>
      <c r="M81" s="218"/>
      <c r="N81" s="3"/>
    </row>
    <row r="82" spans="1:14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3"/>
    </row>
    <row r="83" spans="1:14" ht="60" x14ac:dyDescent="0.25">
      <c r="A83" s="223" t="s">
        <v>32</v>
      </c>
      <c r="B83" s="223"/>
      <c r="C83" s="223"/>
      <c r="D83" s="223"/>
      <c r="E83" s="223"/>
      <c r="F83" s="26" t="s">
        <v>7</v>
      </c>
      <c r="G83" s="26" t="s">
        <v>18</v>
      </c>
      <c r="H83" s="8" t="s">
        <v>85</v>
      </c>
      <c r="I83" s="6" t="s">
        <v>82</v>
      </c>
      <c r="J83" s="6" t="s">
        <v>102</v>
      </c>
      <c r="K83" s="6" t="s">
        <v>131</v>
      </c>
      <c r="L83" s="13"/>
      <c r="M83" s="13"/>
      <c r="N83" s="3"/>
    </row>
    <row r="84" spans="1:14" x14ac:dyDescent="0.25">
      <c r="A84" s="196" t="s">
        <v>161</v>
      </c>
      <c r="B84" s="196"/>
      <c r="C84" s="196"/>
      <c r="D84" s="196"/>
      <c r="E84" s="196"/>
      <c r="F84" s="18" t="s">
        <v>31</v>
      </c>
      <c r="G84" s="18">
        <v>1</v>
      </c>
      <c r="H84" s="54">
        <v>3027.85</v>
      </c>
      <c r="I84" s="9">
        <f>36334.2*$N$4</f>
        <v>1820.3434199999997</v>
      </c>
      <c r="J84" s="12">
        <v>52</v>
      </c>
      <c r="K84" s="23">
        <f t="shared" ref="K84:K89" si="2">I84/J84</f>
        <v>35.006604230769227</v>
      </c>
      <c r="L84" s="13"/>
      <c r="M84" s="13"/>
      <c r="N84" s="13"/>
    </row>
    <row r="85" spans="1:14" ht="36.6" customHeight="1" x14ac:dyDescent="0.25">
      <c r="A85" s="232" t="s">
        <v>109</v>
      </c>
      <c r="B85" s="232"/>
      <c r="C85" s="232"/>
      <c r="D85" s="232"/>
      <c r="E85" s="233"/>
      <c r="F85" s="18" t="s">
        <v>31</v>
      </c>
      <c r="G85" s="18">
        <v>1</v>
      </c>
      <c r="H85" s="55"/>
      <c r="I85" s="101">
        <f>10000*N26</f>
        <v>501</v>
      </c>
      <c r="J85" s="12">
        <v>52</v>
      </c>
      <c r="K85" s="23">
        <f t="shared" si="2"/>
        <v>9.634615384615385</v>
      </c>
      <c r="L85" s="13"/>
      <c r="M85" s="97"/>
      <c r="N85" s="13"/>
    </row>
    <row r="86" spans="1:14" ht="15" customHeight="1" x14ac:dyDescent="0.25">
      <c r="A86" s="224" t="s">
        <v>110</v>
      </c>
      <c r="B86" s="225"/>
      <c r="C86" s="225"/>
      <c r="D86" s="225"/>
      <c r="E86" s="226"/>
      <c r="F86" s="18" t="s">
        <v>31</v>
      </c>
      <c r="G86" s="18">
        <v>1</v>
      </c>
      <c r="H86" s="54"/>
      <c r="I86" s="9">
        <f>6500*N26</f>
        <v>325.64999999999998</v>
      </c>
      <c r="J86" s="12">
        <v>52</v>
      </c>
      <c r="K86" s="23">
        <f t="shared" si="2"/>
        <v>6.2624999999999993</v>
      </c>
      <c r="L86" s="13"/>
      <c r="M86" s="13"/>
      <c r="N86" s="13"/>
    </row>
    <row r="87" spans="1:14" x14ac:dyDescent="0.25">
      <c r="A87" s="175" t="s">
        <v>111</v>
      </c>
      <c r="B87" s="176"/>
      <c r="C87" s="176"/>
      <c r="D87" s="176"/>
      <c r="E87" s="177"/>
      <c r="F87" s="18" t="s">
        <v>31</v>
      </c>
      <c r="G87" s="18">
        <v>1</v>
      </c>
      <c r="H87" s="54"/>
      <c r="I87" s="9">
        <f>10000*N26</f>
        <v>501</v>
      </c>
      <c r="J87" s="12">
        <v>52</v>
      </c>
      <c r="K87" s="23">
        <f t="shared" si="2"/>
        <v>9.634615384615385</v>
      </c>
      <c r="L87" s="13"/>
      <c r="M87" s="13"/>
      <c r="N87" s="13"/>
    </row>
    <row r="88" spans="1:14" x14ac:dyDescent="0.25">
      <c r="A88" s="196" t="s">
        <v>112</v>
      </c>
      <c r="B88" s="196"/>
      <c r="C88" s="196"/>
      <c r="D88" s="196"/>
      <c r="E88" s="196"/>
      <c r="F88" s="18" t="s">
        <v>31</v>
      </c>
      <c r="G88" s="18">
        <v>1</v>
      </c>
      <c r="H88" s="54">
        <v>500</v>
      </c>
      <c r="I88" s="14">
        <f>6000*N26</f>
        <v>300.59999999999997</v>
      </c>
      <c r="J88" s="12">
        <v>52</v>
      </c>
      <c r="K88" s="23">
        <f>I88/J88</f>
        <v>5.7807692307692298</v>
      </c>
      <c r="L88" s="13"/>
      <c r="M88" s="13"/>
      <c r="N88" s="13"/>
    </row>
    <row r="89" spans="1:14" s="1" customFormat="1" ht="15.75" thickBot="1" x14ac:dyDescent="0.3">
      <c r="A89" s="215" t="s">
        <v>116</v>
      </c>
      <c r="B89" s="216"/>
      <c r="C89" s="216"/>
      <c r="D89" s="216"/>
      <c r="E89" s="217"/>
      <c r="F89" s="18" t="s">
        <v>31</v>
      </c>
      <c r="G89" s="18">
        <v>1</v>
      </c>
      <c r="H89" s="54">
        <v>1500</v>
      </c>
      <c r="I89" s="14">
        <f>18000*N26</f>
        <v>901.8</v>
      </c>
      <c r="J89" s="12">
        <v>52</v>
      </c>
      <c r="K89" s="23">
        <f t="shared" si="2"/>
        <v>17.342307692307692</v>
      </c>
      <c r="L89" s="86"/>
      <c r="M89" s="86"/>
      <c r="N89" s="86"/>
    </row>
    <row r="90" spans="1:14" ht="15.75" thickBot="1" x14ac:dyDescent="0.3">
      <c r="A90" s="172" t="s">
        <v>89</v>
      </c>
      <c r="B90" s="173"/>
      <c r="C90" s="173"/>
      <c r="D90" s="173"/>
      <c r="E90" s="173"/>
      <c r="F90" s="173"/>
      <c r="G90" s="173"/>
      <c r="H90" s="173"/>
      <c r="I90" s="102">
        <f>SUM(I84:I89)</f>
        <v>4350.3934199999994</v>
      </c>
      <c r="J90" s="13"/>
      <c r="K90" s="92">
        <f>SUM(K84:K89)</f>
        <v>83.661411923076912</v>
      </c>
      <c r="L90" s="13"/>
      <c r="M90" s="13"/>
      <c r="N90" s="13">
        <f>I90/88.1%</f>
        <v>4938.0175028376843</v>
      </c>
    </row>
    <row r="91" spans="1:14" x14ac:dyDescent="0.25">
      <c r="A91" s="218" t="s">
        <v>84</v>
      </c>
      <c r="B91" s="218"/>
      <c r="C91" s="218"/>
      <c r="D91" s="218"/>
      <c r="E91" s="218"/>
      <c r="F91" s="218"/>
      <c r="G91" s="218"/>
      <c r="H91" s="218"/>
      <c r="I91" s="218"/>
      <c r="J91" s="218"/>
      <c r="K91" s="218"/>
      <c r="L91" s="218"/>
      <c r="M91" s="218"/>
      <c r="N91" s="3"/>
    </row>
    <row r="92" spans="1:14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3"/>
    </row>
    <row r="93" spans="1:14" ht="60" x14ac:dyDescent="0.25">
      <c r="A93" s="206" t="s">
        <v>32</v>
      </c>
      <c r="B93" s="206"/>
      <c r="C93" s="206"/>
      <c r="D93" s="206"/>
      <c r="E93" s="206"/>
      <c r="F93" s="6" t="s">
        <v>92</v>
      </c>
      <c r="G93" s="6" t="s">
        <v>22</v>
      </c>
      <c r="H93" s="6" t="s">
        <v>82</v>
      </c>
      <c r="I93" s="6" t="s">
        <v>102</v>
      </c>
      <c r="J93" s="6" t="s">
        <v>131</v>
      </c>
      <c r="K93" s="13"/>
      <c r="L93" s="13"/>
      <c r="M93" s="13"/>
      <c r="N93" s="3"/>
    </row>
    <row r="94" spans="1:14" ht="18" customHeight="1" x14ac:dyDescent="0.25">
      <c r="A94" s="200" t="s">
        <v>113</v>
      </c>
      <c r="B94" s="201"/>
      <c r="C94" s="201"/>
      <c r="D94" s="201"/>
      <c r="E94" s="202"/>
      <c r="F94" s="6">
        <v>4</v>
      </c>
      <c r="G94" s="26">
        <v>4500</v>
      </c>
      <c r="H94" s="103">
        <f>18000*N23</f>
        <v>901.8</v>
      </c>
      <c r="I94" s="12">
        <v>52</v>
      </c>
      <c r="J94" s="19">
        <f>H94/I94</f>
        <v>17.342307692307692</v>
      </c>
      <c r="K94" s="13"/>
      <c r="L94" s="13"/>
      <c r="M94" s="13"/>
      <c r="N94" s="13"/>
    </row>
    <row r="95" spans="1:14" ht="20.25" customHeight="1" x14ac:dyDescent="0.25">
      <c r="A95" s="192" t="s">
        <v>114</v>
      </c>
      <c r="B95" s="192"/>
      <c r="C95" s="192"/>
      <c r="D95" s="192"/>
      <c r="E95" s="192"/>
      <c r="F95" s="6">
        <v>12</v>
      </c>
      <c r="G95" s="26">
        <v>3000</v>
      </c>
      <c r="H95" s="103">
        <f>36000*N23</f>
        <v>1803.6</v>
      </c>
      <c r="I95" s="12">
        <v>52</v>
      </c>
      <c r="J95" s="19">
        <f>H95/I95</f>
        <v>34.684615384615384</v>
      </c>
      <c r="K95" s="13"/>
      <c r="L95" s="13"/>
      <c r="M95" s="13"/>
      <c r="N95" s="13"/>
    </row>
    <row r="96" spans="1:14" ht="18.75" customHeight="1" thickBot="1" x14ac:dyDescent="0.3">
      <c r="A96" s="192" t="s">
        <v>115</v>
      </c>
      <c r="B96" s="192"/>
      <c r="C96" s="192"/>
      <c r="D96" s="192"/>
      <c r="E96" s="192"/>
      <c r="F96" s="6">
        <v>12</v>
      </c>
      <c r="G96" s="26">
        <v>1000</v>
      </c>
      <c r="H96" s="103">
        <f>12000*N23</f>
        <v>601.19999999999993</v>
      </c>
      <c r="I96" s="12">
        <v>52</v>
      </c>
      <c r="J96" s="19">
        <f>H96/I96</f>
        <v>11.56153846153846</v>
      </c>
      <c r="K96" s="13"/>
      <c r="L96" s="13"/>
      <c r="M96" s="13"/>
      <c r="N96" s="13"/>
    </row>
    <row r="97" spans="1:14" ht="20.25" customHeight="1" thickBot="1" x14ac:dyDescent="0.3">
      <c r="A97" s="236" t="s">
        <v>88</v>
      </c>
      <c r="B97" s="237"/>
      <c r="C97" s="237"/>
      <c r="D97" s="237"/>
      <c r="E97" s="238"/>
      <c r="F97" s="104"/>
      <c r="G97" s="104"/>
      <c r="H97" s="42">
        <f>SUM(H94:H96)</f>
        <v>3306.5999999999995</v>
      </c>
      <c r="I97" s="13"/>
      <c r="J97" s="20">
        <f>SUM(J94:J96)</f>
        <v>63.588461538461537</v>
      </c>
      <c r="K97" s="13"/>
      <c r="L97" s="105"/>
      <c r="M97" s="13"/>
      <c r="N97" s="13">
        <f>H97/88.1%</f>
        <v>3753.2349602724175</v>
      </c>
    </row>
    <row r="98" spans="1:14" ht="14.25" hidden="1" customHeight="1" thickBot="1" x14ac:dyDescent="0.3">
      <c r="F98" s="6"/>
      <c r="G98" s="6"/>
      <c r="H98" s="27"/>
      <c r="I98" s="12"/>
      <c r="J98" s="19"/>
      <c r="K98" s="13"/>
      <c r="L98" s="13"/>
      <c r="M98" s="13"/>
      <c r="N98" s="3"/>
    </row>
    <row r="99" spans="1:14" ht="16.5" hidden="1" customHeight="1" x14ac:dyDescent="0.25">
      <c r="A99" s="192"/>
      <c r="B99" s="192"/>
      <c r="C99" s="192"/>
      <c r="D99" s="192"/>
      <c r="E99" s="192"/>
      <c r="F99" s="6"/>
      <c r="G99" s="6"/>
      <c r="H99" s="25"/>
      <c r="I99" s="12">
        <v>3260</v>
      </c>
      <c r="J99" s="19">
        <f>H99/I99</f>
        <v>0</v>
      </c>
      <c r="K99" s="13"/>
      <c r="L99" s="13"/>
      <c r="M99" s="13"/>
      <c r="N99" s="3"/>
    </row>
    <row r="100" spans="1:14" ht="17.25" hidden="1" customHeight="1" thickBot="1" x14ac:dyDescent="0.3">
      <c r="A100" s="200"/>
      <c r="B100" s="201"/>
      <c r="C100" s="201"/>
      <c r="D100" s="201"/>
      <c r="E100" s="202"/>
      <c r="F100" s="26"/>
      <c r="G100" s="18"/>
      <c r="H100" s="9"/>
      <c r="I100" s="12">
        <v>3260</v>
      </c>
      <c r="J100" s="19">
        <f>H100/I100</f>
        <v>0</v>
      </c>
      <c r="K100" s="13"/>
      <c r="L100" s="13"/>
      <c r="M100" s="13"/>
      <c r="N100" s="3"/>
    </row>
    <row r="101" spans="1:14" ht="20.25" customHeight="1" x14ac:dyDescent="0.25">
      <c r="A101" s="106"/>
      <c r="B101" s="107"/>
      <c r="C101" s="107"/>
      <c r="D101" s="107"/>
      <c r="E101" s="107"/>
      <c r="F101" s="107"/>
      <c r="G101" s="107"/>
      <c r="H101" s="108"/>
      <c r="I101" s="86"/>
      <c r="J101" s="109"/>
      <c r="K101" s="13"/>
      <c r="L101" s="105"/>
      <c r="M101" s="13"/>
      <c r="N101" s="3"/>
    </row>
    <row r="102" spans="1:14" ht="31.5" customHeight="1" x14ac:dyDescent="0.25">
      <c r="A102" s="282" t="s">
        <v>86</v>
      </c>
      <c r="B102" s="282"/>
      <c r="C102" s="282"/>
      <c r="D102" s="282"/>
      <c r="E102" s="282"/>
      <c r="F102" s="283"/>
      <c r="G102" s="283"/>
      <c r="H102" s="283"/>
      <c r="I102" s="283"/>
      <c r="J102" s="283"/>
      <c r="K102" s="283"/>
      <c r="L102" s="283"/>
      <c r="M102" s="283"/>
      <c r="N102" s="283"/>
    </row>
    <row r="103" spans="1:14" ht="45" x14ac:dyDescent="0.25">
      <c r="A103" s="206" t="s">
        <v>33</v>
      </c>
      <c r="B103" s="206"/>
      <c r="C103" s="206"/>
      <c r="D103" s="206"/>
      <c r="E103" s="206"/>
      <c r="F103" s="6" t="s">
        <v>7</v>
      </c>
      <c r="G103" s="6" t="s">
        <v>18</v>
      </c>
      <c r="H103" s="6" t="s">
        <v>71</v>
      </c>
      <c r="I103" s="6" t="s">
        <v>34</v>
      </c>
      <c r="J103" s="6" t="s">
        <v>82</v>
      </c>
      <c r="K103" s="26" t="s">
        <v>102</v>
      </c>
      <c r="L103" s="6" t="s">
        <v>131</v>
      </c>
      <c r="M103" s="13"/>
      <c r="N103" s="3"/>
    </row>
    <row r="104" spans="1:14" ht="31.5" customHeight="1" x14ac:dyDescent="0.25">
      <c r="A104" s="206" t="s">
        <v>35</v>
      </c>
      <c r="B104" s="206"/>
      <c r="C104" s="206"/>
      <c r="D104" s="206"/>
      <c r="E104" s="206"/>
      <c r="F104" s="17" t="s">
        <v>36</v>
      </c>
      <c r="G104" s="18">
        <v>3</v>
      </c>
      <c r="H104" s="52">
        <v>590.59</v>
      </c>
      <c r="I104" s="18">
        <v>12</v>
      </c>
      <c r="J104" s="14">
        <f>(14174.16+1012.44+9696)*N23</f>
        <v>1246.61826</v>
      </c>
      <c r="K104" s="12">
        <v>52</v>
      </c>
      <c r="L104" s="19">
        <f>J104/K104</f>
        <v>23.973428076923078</v>
      </c>
      <c r="M104" s="13"/>
      <c r="N104" s="13"/>
    </row>
    <row r="105" spans="1:14" ht="22.5" customHeight="1" thickBot="1" x14ac:dyDescent="0.3">
      <c r="A105" s="206" t="s">
        <v>97</v>
      </c>
      <c r="B105" s="206"/>
      <c r="C105" s="206"/>
      <c r="D105" s="206"/>
      <c r="E105" s="206"/>
      <c r="F105" s="17" t="s">
        <v>98</v>
      </c>
      <c r="G105" s="18">
        <v>1</v>
      </c>
      <c r="H105" s="52">
        <v>3300</v>
      </c>
      <c r="I105" s="18">
        <v>12</v>
      </c>
      <c r="J105" s="14">
        <f>36000*N23</f>
        <v>1803.6</v>
      </c>
      <c r="K105" s="12">
        <v>52</v>
      </c>
      <c r="L105" s="19">
        <f>J105/K105</f>
        <v>34.684615384615384</v>
      </c>
      <c r="M105" s="13"/>
      <c r="N105" s="13"/>
    </row>
    <row r="106" spans="1:14" ht="20.25" customHeight="1" thickBot="1" x14ac:dyDescent="0.3">
      <c r="A106" s="234" t="s">
        <v>37</v>
      </c>
      <c r="B106" s="235"/>
      <c r="C106" s="235"/>
      <c r="D106" s="235"/>
      <c r="E106" s="246"/>
      <c r="F106" s="234"/>
      <c r="G106" s="235"/>
      <c r="H106" s="235"/>
      <c r="I106" s="235"/>
      <c r="J106" s="42">
        <f>J105+J104</f>
        <v>3050.2182599999996</v>
      </c>
      <c r="K106" s="13"/>
      <c r="L106" s="20">
        <f>SUM(L104:L105)</f>
        <v>58.658043461538462</v>
      </c>
      <c r="M106" s="137"/>
      <c r="N106" s="3"/>
    </row>
    <row r="107" spans="1:14" ht="95.25" hidden="1" customHeight="1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66"/>
      <c r="M107" s="66"/>
      <c r="N107" s="3"/>
    </row>
    <row r="108" spans="1:14" ht="12" customHeight="1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66"/>
      <c r="M108" s="66"/>
      <c r="N108" s="3"/>
    </row>
    <row r="109" spans="1:14" x14ac:dyDescent="0.25">
      <c r="A109" s="218" t="s">
        <v>118</v>
      </c>
      <c r="B109" s="218"/>
      <c r="C109" s="218"/>
      <c r="D109" s="218"/>
      <c r="E109" s="218"/>
      <c r="F109" s="218"/>
      <c r="G109" s="218"/>
      <c r="H109" s="218"/>
      <c r="I109" s="218"/>
      <c r="J109" s="218"/>
      <c r="K109" s="218"/>
      <c r="L109" s="218"/>
      <c r="M109" s="218"/>
      <c r="N109" s="3"/>
    </row>
    <row r="110" spans="1:14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3"/>
    </row>
    <row r="111" spans="1:14" ht="60" x14ac:dyDescent="0.25">
      <c r="A111" s="206" t="s">
        <v>3</v>
      </c>
      <c r="B111" s="206"/>
      <c r="C111" s="206"/>
      <c r="D111" s="206"/>
      <c r="E111" s="206"/>
      <c r="F111" s="6" t="s">
        <v>4</v>
      </c>
      <c r="G111" s="36" t="s">
        <v>0</v>
      </c>
      <c r="H111" s="17" t="s">
        <v>87</v>
      </c>
      <c r="I111" s="17" t="s">
        <v>76</v>
      </c>
      <c r="J111" s="6" t="s">
        <v>102</v>
      </c>
      <c r="K111" s="6" t="s">
        <v>131</v>
      </c>
      <c r="L111" s="6" t="s">
        <v>80</v>
      </c>
      <c r="M111" s="100"/>
      <c r="N111" s="3"/>
    </row>
    <row r="112" spans="1:14" x14ac:dyDescent="0.25">
      <c r="A112" s="241">
        <v>1</v>
      </c>
      <c r="B112" s="242"/>
      <c r="C112" s="242"/>
      <c r="D112" s="242"/>
      <c r="E112" s="243"/>
      <c r="F112" s="26">
        <v>2</v>
      </c>
      <c r="G112" s="18">
        <v>3</v>
      </c>
      <c r="H112" s="26">
        <v>4</v>
      </c>
      <c r="I112" s="26">
        <v>5</v>
      </c>
      <c r="J112" s="99">
        <v>6</v>
      </c>
      <c r="K112" s="111">
        <v>7</v>
      </c>
      <c r="L112" s="112">
        <v>8</v>
      </c>
      <c r="M112" s="100"/>
      <c r="N112" s="4"/>
    </row>
    <row r="113" spans="1:14" ht="15.75" thickBot="1" x14ac:dyDescent="0.3">
      <c r="A113" s="192" t="s">
        <v>108</v>
      </c>
      <c r="B113" s="192"/>
      <c r="C113" s="192"/>
      <c r="D113" s="192"/>
      <c r="E113" s="192"/>
      <c r="F113" s="9">
        <f>H113/12/G113</f>
        <v>28225.670833333334</v>
      </c>
      <c r="G113" s="9">
        <v>0.4</v>
      </c>
      <c r="H113" s="9">
        <v>135483.22</v>
      </c>
      <c r="I113" s="9">
        <v>176399.15</v>
      </c>
      <c r="J113" s="12">
        <v>52</v>
      </c>
      <c r="K113" s="9">
        <f>I113/J113</f>
        <v>3392.291346153846</v>
      </c>
      <c r="L113" s="88">
        <f>I113/3520941.17*100</f>
        <v>5.0099999256732826</v>
      </c>
      <c r="M113" s="97"/>
      <c r="N113" s="4"/>
    </row>
    <row r="114" spans="1:14" ht="15.75" hidden="1" thickBot="1" x14ac:dyDescent="0.3">
      <c r="A114" s="193"/>
      <c r="B114" s="194"/>
      <c r="C114" s="194"/>
      <c r="D114" s="194"/>
      <c r="E114" s="195"/>
      <c r="F114" s="9">
        <v>17865.98</v>
      </c>
      <c r="G114" s="30">
        <v>4</v>
      </c>
      <c r="H114" s="12"/>
      <c r="I114" s="10">
        <f>J66</f>
        <v>0</v>
      </c>
      <c r="J114" s="9" t="e">
        <f t="shared" ref="J114:J135" si="3">G114/H114*I114</f>
        <v>#DIV/0!</v>
      </c>
      <c r="K114" s="9">
        <f t="shared" ref="K114:K135" si="4">F114*G114*12*1.302</f>
        <v>1116552.28608</v>
      </c>
      <c r="L114" s="31" t="s">
        <v>61</v>
      </c>
      <c r="M114" s="113" t="e">
        <f t="shared" ref="M114:M138" si="5">J114*K114</f>
        <v>#DIV/0!</v>
      </c>
      <c r="N114" s="4"/>
    </row>
    <row r="115" spans="1:14" ht="15.75" hidden="1" thickBot="1" x14ac:dyDescent="0.3">
      <c r="A115" s="196"/>
      <c r="B115" s="196"/>
      <c r="C115" s="196"/>
      <c r="D115" s="196"/>
      <c r="E115" s="196"/>
      <c r="F115" s="9">
        <v>9544</v>
      </c>
      <c r="G115" s="30">
        <v>1</v>
      </c>
      <c r="H115" s="12"/>
      <c r="I115" s="10">
        <f>J66</f>
        <v>0</v>
      </c>
      <c r="J115" s="9" t="e">
        <f t="shared" si="3"/>
        <v>#DIV/0!</v>
      </c>
      <c r="K115" s="9">
        <f t="shared" si="4"/>
        <v>149115.45600000001</v>
      </c>
      <c r="L115" s="10">
        <f>I115/11277167.39*100</f>
        <v>0</v>
      </c>
      <c r="M115" s="9" t="e">
        <f t="shared" si="5"/>
        <v>#DIV/0!</v>
      </c>
      <c r="N115" s="4"/>
    </row>
    <row r="116" spans="1:14" ht="15" hidden="1" customHeight="1" x14ac:dyDescent="0.25">
      <c r="A116" s="244"/>
      <c r="B116" s="215"/>
      <c r="C116" s="215"/>
      <c r="D116" s="215"/>
      <c r="E116" s="245"/>
      <c r="F116" s="9">
        <v>11560</v>
      </c>
      <c r="G116" s="30">
        <v>1</v>
      </c>
      <c r="H116" s="12"/>
      <c r="I116" s="10">
        <f>J66</f>
        <v>0</v>
      </c>
      <c r="J116" s="9" t="e">
        <f t="shared" si="3"/>
        <v>#DIV/0!</v>
      </c>
      <c r="K116" s="9">
        <f t="shared" si="4"/>
        <v>180613.44</v>
      </c>
      <c r="L116" s="7"/>
      <c r="M116" s="9" t="e">
        <f t="shared" si="5"/>
        <v>#DIV/0!</v>
      </c>
      <c r="N116" s="4"/>
    </row>
    <row r="117" spans="1:14" ht="15.75" hidden="1" thickBot="1" x14ac:dyDescent="0.3">
      <c r="A117" s="192"/>
      <c r="B117" s="192"/>
      <c r="C117" s="192"/>
      <c r="D117" s="192"/>
      <c r="E117" s="192"/>
      <c r="F117" s="9">
        <v>9544</v>
      </c>
      <c r="G117" s="32">
        <v>0.5</v>
      </c>
      <c r="H117" s="12"/>
      <c r="I117" s="10">
        <f>J66</f>
        <v>0</v>
      </c>
      <c r="J117" s="9" t="e">
        <f t="shared" si="3"/>
        <v>#DIV/0!</v>
      </c>
      <c r="K117" s="9">
        <f t="shared" si="4"/>
        <v>74557.728000000003</v>
      </c>
      <c r="L117" s="7"/>
      <c r="M117" s="9" t="e">
        <f t="shared" si="5"/>
        <v>#DIV/0!</v>
      </c>
      <c r="N117" s="4"/>
    </row>
    <row r="118" spans="1:14" ht="15.75" hidden="1" thickBot="1" x14ac:dyDescent="0.3">
      <c r="A118" s="192"/>
      <c r="B118" s="192"/>
      <c r="C118" s="192"/>
      <c r="D118" s="192"/>
      <c r="E118" s="192"/>
      <c r="F118" s="9">
        <v>9544</v>
      </c>
      <c r="G118" s="30">
        <v>1</v>
      </c>
      <c r="H118" s="12"/>
      <c r="I118" s="10">
        <f>J66</f>
        <v>0</v>
      </c>
      <c r="J118" s="9" t="e">
        <f t="shared" si="3"/>
        <v>#DIV/0!</v>
      </c>
      <c r="K118" s="9">
        <f t="shared" si="4"/>
        <v>149115.45600000001</v>
      </c>
      <c r="L118" s="9"/>
      <c r="M118" s="9" t="e">
        <f t="shared" si="5"/>
        <v>#DIV/0!</v>
      </c>
      <c r="N118" s="4"/>
    </row>
    <row r="119" spans="1:14" ht="14.25" hidden="1" customHeight="1" x14ac:dyDescent="0.25">
      <c r="A119" s="192"/>
      <c r="B119" s="192"/>
      <c r="C119" s="192"/>
      <c r="D119" s="192"/>
      <c r="E119" s="192"/>
      <c r="F119" s="9">
        <v>9544</v>
      </c>
      <c r="G119" s="30">
        <v>1</v>
      </c>
      <c r="H119" s="12"/>
      <c r="I119" s="10">
        <f>J66</f>
        <v>0</v>
      </c>
      <c r="J119" s="9" t="e">
        <f t="shared" si="3"/>
        <v>#DIV/0!</v>
      </c>
      <c r="K119" s="9">
        <f t="shared" si="4"/>
        <v>149115.45600000001</v>
      </c>
      <c r="L119" s="13"/>
      <c r="M119" s="9" t="e">
        <f t="shared" si="5"/>
        <v>#DIV/0!</v>
      </c>
      <c r="N119" s="4"/>
    </row>
    <row r="120" spans="1:14" ht="15.75" hidden="1" thickBot="1" x14ac:dyDescent="0.3">
      <c r="A120" s="200"/>
      <c r="B120" s="201"/>
      <c r="C120" s="201"/>
      <c r="D120" s="201"/>
      <c r="E120" s="202"/>
      <c r="F120" s="9">
        <v>9544</v>
      </c>
      <c r="G120" s="9"/>
      <c r="H120" s="12"/>
      <c r="I120" s="10">
        <f>J66</f>
        <v>0</v>
      </c>
      <c r="J120" s="9" t="e">
        <f t="shared" si="3"/>
        <v>#DIV/0!</v>
      </c>
      <c r="K120" s="9">
        <f t="shared" si="4"/>
        <v>0</v>
      </c>
      <c r="L120" s="13"/>
      <c r="M120" s="9" t="e">
        <f t="shared" si="5"/>
        <v>#DIV/0!</v>
      </c>
      <c r="N120" s="4"/>
    </row>
    <row r="121" spans="1:14" ht="15.75" hidden="1" thickBot="1" x14ac:dyDescent="0.3">
      <c r="A121" s="200"/>
      <c r="B121" s="201"/>
      <c r="C121" s="201"/>
      <c r="D121" s="201"/>
      <c r="E121" s="202"/>
      <c r="F121" s="9">
        <v>9544</v>
      </c>
      <c r="G121" s="33">
        <v>0.25</v>
      </c>
      <c r="H121" s="12"/>
      <c r="I121" s="10">
        <f>J66</f>
        <v>0</v>
      </c>
      <c r="J121" s="9" t="e">
        <f t="shared" si="3"/>
        <v>#DIV/0!</v>
      </c>
      <c r="K121" s="9">
        <f t="shared" si="4"/>
        <v>37278.864000000001</v>
      </c>
      <c r="L121" s="13"/>
      <c r="M121" s="9" t="e">
        <f t="shared" si="5"/>
        <v>#DIV/0!</v>
      </c>
      <c r="N121" s="4"/>
    </row>
    <row r="122" spans="1:14" ht="15.75" hidden="1" thickBot="1" x14ac:dyDescent="0.3">
      <c r="A122" s="200"/>
      <c r="B122" s="201"/>
      <c r="C122" s="201"/>
      <c r="D122" s="201"/>
      <c r="E122" s="202"/>
      <c r="F122" s="9">
        <v>9544</v>
      </c>
      <c r="G122" s="9"/>
      <c r="H122" s="12"/>
      <c r="I122" s="10">
        <f>J66</f>
        <v>0</v>
      </c>
      <c r="J122" s="9" t="e">
        <f t="shared" si="3"/>
        <v>#DIV/0!</v>
      </c>
      <c r="K122" s="9">
        <f t="shared" si="4"/>
        <v>0</v>
      </c>
      <c r="L122" s="13"/>
      <c r="M122" s="9" t="e">
        <f t="shared" si="5"/>
        <v>#DIV/0!</v>
      </c>
      <c r="N122" s="4"/>
    </row>
    <row r="123" spans="1:14" ht="15.75" hidden="1" thickBot="1" x14ac:dyDescent="0.3">
      <c r="A123" s="200"/>
      <c r="B123" s="201"/>
      <c r="C123" s="201"/>
      <c r="D123" s="201"/>
      <c r="E123" s="202"/>
      <c r="F123" s="9">
        <v>9544</v>
      </c>
      <c r="G123" s="32">
        <v>0.5</v>
      </c>
      <c r="H123" s="12"/>
      <c r="I123" s="10">
        <f>J66</f>
        <v>0</v>
      </c>
      <c r="J123" s="9" t="e">
        <f t="shared" si="3"/>
        <v>#DIV/0!</v>
      </c>
      <c r="K123" s="9">
        <f t="shared" si="4"/>
        <v>74557.728000000003</v>
      </c>
      <c r="L123" s="13"/>
      <c r="M123" s="9" t="e">
        <f t="shared" si="5"/>
        <v>#DIV/0!</v>
      </c>
      <c r="N123" s="4"/>
    </row>
    <row r="124" spans="1:14" ht="15.75" hidden="1" customHeight="1" x14ac:dyDescent="0.25">
      <c r="A124" s="200"/>
      <c r="B124" s="201"/>
      <c r="C124" s="201"/>
      <c r="D124" s="201"/>
      <c r="E124" s="202"/>
      <c r="F124" s="9">
        <v>9544</v>
      </c>
      <c r="G124" s="30">
        <v>1</v>
      </c>
      <c r="H124" s="12"/>
      <c r="I124" s="10">
        <f>J66</f>
        <v>0</v>
      </c>
      <c r="J124" s="9" t="e">
        <f t="shared" si="3"/>
        <v>#DIV/0!</v>
      </c>
      <c r="K124" s="9">
        <f t="shared" si="4"/>
        <v>149115.45600000001</v>
      </c>
      <c r="L124" s="13"/>
      <c r="M124" s="9" t="e">
        <f t="shared" si="5"/>
        <v>#DIV/0!</v>
      </c>
      <c r="N124" s="4"/>
    </row>
    <row r="125" spans="1:14" ht="15" hidden="1" customHeight="1" x14ac:dyDescent="0.25">
      <c r="A125" s="192"/>
      <c r="B125" s="192"/>
      <c r="C125" s="192"/>
      <c r="D125" s="192"/>
      <c r="E125" s="192"/>
      <c r="F125" s="9">
        <v>9544</v>
      </c>
      <c r="G125" s="30">
        <v>1</v>
      </c>
      <c r="H125" s="12"/>
      <c r="I125" s="10">
        <f>J66</f>
        <v>0</v>
      </c>
      <c r="J125" s="9" t="e">
        <f t="shared" si="3"/>
        <v>#DIV/0!</v>
      </c>
      <c r="K125" s="9">
        <f t="shared" si="4"/>
        <v>149115.45600000001</v>
      </c>
      <c r="L125" s="13"/>
      <c r="M125" s="9" t="e">
        <f t="shared" si="5"/>
        <v>#DIV/0!</v>
      </c>
      <c r="N125" s="4"/>
    </row>
    <row r="126" spans="1:14" ht="15" hidden="1" customHeight="1" x14ac:dyDescent="0.25">
      <c r="A126" s="192"/>
      <c r="B126" s="192"/>
      <c r="C126" s="192"/>
      <c r="D126" s="192"/>
      <c r="E126" s="192"/>
      <c r="F126" s="9">
        <v>9544</v>
      </c>
      <c r="G126" s="32">
        <v>5.5</v>
      </c>
      <c r="H126" s="12"/>
      <c r="I126" s="10">
        <f>J66</f>
        <v>0</v>
      </c>
      <c r="J126" s="9" t="e">
        <f t="shared" si="3"/>
        <v>#DIV/0!</v>
      </c>
      <c r="K126" s="9">
        <f t="shared" si="4"/>
        <v>820135.00800000003</v>
      </c>
      <c r="L126" s="13"/>
      <c r="M126" s="9" t="e">
        <f t="shared" si="5"/>
        <v>#DIV/0!</v>
      </c>
      <c r="N126" s="4"/>
    </row>
    <row r="127" spans="1:14" ht="15" hidden="1" customHeight="1" x14ac:dyDescent="0.25">
      <c r="A127" s="192"/>
      <c r="B127" s="192"/>
      <c r="C127" s="192"/>
      <c r="D127" s="192"/>
      <c r="E127" s="192"/>
      <c r="F127" s="9">
        <v>9544</v>
      </c>
      <c r="G127" s="30">
        <v>1</v>
      </c>
      <c r="H127" s="12"/>
      <c r="I127" s="10">
        <f>J66</f>
        <v>0</v>
      </c>
      <c r="J127" s="9" t="e">
        <f t="shared" si="3"/>
        <v>#DIV/0!</v>
      </c>
      <c r="K127" s="9">
        <f t="shared" si="4"/>
        <v>149115.45600000001</v>
      </c>
      <c r="L127" s="13"/>
      <c r="M127" s="9" t="e">
        <f t="shared" si="5"/>
        <v>#DIV/0!</v>
      </c>
      <c r="N127" s="4"/>
    </row>
    <row r="128" spans="1:14" ht="15" hidden="1" customHeight="1" x14ac:dyDescent="0.25">
      <c r="A128" s="192"/>
      <c r="B128" s="192"/>
      <c r="C128" s="192"/>
      <c r="D128" s="192"/>
      <c r="E128" s="192"/>
      <c r="F128" s="9">
        <v>9544</v>
      </c>
      <c r="G128" s="32">
        <v>0.5</v>
      </c>
      <c r="H128" s="12"/>
      <c r="I128" s="10">
        <f>J66</f>
        <v>0</v>
      </c>
      <c r="J128" s="9" t="e">
        <f t="shared" si="3"/>
        <v>#DIV/0!</v>
      </c>
      <c r="K128" s="9">
        <f t="shared" si="4"/>
        <v>74557.728000000003</v>
      </c>
      <c r="L128" s="13"/>
      <c r="M128" s="9" t="e">
        <f t="shared" si="5"/>
        <v>#DIV/0!</v>
      </c>
      <c r="N128" s="4"/>
    </row>
    <row r="129" spans="1:14" ht="15" hidden="1" customHeight="1" x14ac:dyDescent="0.25">
      <c r="A129" s="192"/>
      <c r="B129" s="192"/>
      <c r="C129" s="192"/>
      <c r="D129" s="192"/>
      <c r="E129" s="192"/>
      <c r="F129" s="9">
        <v>9544</v>
      </c>
      <c r="G129" s="32">
        <v>0.5</v>
      </c>
      <c r="H129" s="12"/>
      <c r="I129" s="10">
        <f>J66</f>
        <v>0</v>
      </c>
      <c r="J129" s="9" t="e">
        <f t="shared" si="3"/>
        <v>#DIV/0!</v>
      </c>
      <c r="K129" s="9">
        <f t="shared" si="4"/>
        <v>74557.728000000003</v>
      </c>
      <c r="L129" s="13"/>
      <c r="M129" s="9" t="e">
        <f t="shared" si="5"/>
        <v>#DIV/0!</v>
      </c>
      <c r="N129" s="4"/>
    </row>
    <row r="130" spans="1:14" ht="15.75" hidden="1" thickBot="1" x14ac:dyDescent="0.3">
      <c r="A130" s="192"/>
      <c r="B130" s="192"/>
      <c r="C130" s="192"/>
      <c r="D130" s="192"/>
      <c r="E130" s="192"/>
      <c r="F130" s="9">
        <v>9544</v>
      </c>
      <c r="G130" s="30">
        <v>1</v>
      </c>
      <c r="H130" s="12"/>
      <c r="I130" s="10">
        <f>J66</f>
        <v>0</v>
      </c>
      <c r="J130" s="9" t="e">
        <f t="shared" si="3"/>
        <v>#DIV/0!</v>
      </c>
      <c r="K130" s="9">
        <f t="shared" si="4"/>
        <v>149115.45600000001</v>
      </c>
      <c r="L130" s="13"/>
      <c r="M130" s="9" t="e">
        <f t="shared" si="5"/>
        <v>#DIV/0!</v>
      </c>
      <c r="N130" s="4"/>
    </row>
    <row r="131" spans="1:14" ht="15.75" hidden="1" customHeight="1" x14ac:dyDescent="0.25">
      <c r="A131" s="192"/>
      <c r="B131" s="192"/>
      <c r="C131" s="192"/>
      <c r="D131" s="192"/>
      <c r="E131" s="192"/>
      <c r="F131" s="9">
        <v>9544</v>
      </c>
      <c r="G131" s="30">
        <v>4</v>
      </c>
      <c r="H131" s="12"/>
      <c r="I131" s="10">
        <f>J66</f>
        <v>0</v>
      </c>
      <c r="J131" s="9" t="e">
        <f t="shared" si="3"/>
        <v>#DIV/0!</v>
      </c>
      <c r="K131" s="9">
        <f t="shared" si="4"/>
        <v>596461.82400000002</v>
      </c>
      <c r="L131" s="13"/>
      <c r="M131" s="9" t="e">
        <f t="shared" si="5"/>
        <v>#DIV/0!</v>
      </c>
      <c r="N131" s="4"/>
    </row>
    <row r="132" spans="1:14" ht="16.5" hidden="1" customHeight="1" x14ac:dyDescent="0.25">
      <c r="A132" s="200"/>
      <c r="B132" s="201"/>
      <c r="C132" s="201"/>
      <c r="D132" s="201"/>
      <c r="E132" s="202"/>
      <c r="F132" s="9">
        <v>9544</v>
      </c>
      <c r="G132" s="30">
        <v>1</v>
      </c>
      <c r="H132" s="12"/>
      <c r="I132" s="10">
        <f>J66</f>
        <v>0</v>
      </c>
      <c r="J132" s="9" t="e">
        <f t="shared" si="3"/>
        <v>#DIV/0!</v>
      </c>
      <c r="K132" s="9">
        <f t="shared" si="4"/>
        <v>149115.45600000001</v>
      </c>
      <c r="L132" s="13"/>
      <c r="M132" s="9" t="e">
        <f t="shared" si="5"/>
        <v>#DIV/0!</v>
      </c>
      <c r="N132" s="4"/>
    </row>
    <row r="133" spans="1:14" ht="16.5" hidden="1" customHeight="1" x14ac:dyDescent="0.25">
      <c r="A133" s="200"/>
      <c r="B133" s="201"/>
      <c r="C133" s="201"/>
      <c r="D133" s="201"/>
      <c r="E133" s="202"/>
      <c r="F133" s="9">
        <v>9544</v>
      </c>
      <c r="G133" s="33">
        <v>1.75</v>
      </c>
      <c r="H133" s="12"/>
      <c r="I133" s="10">
        <f>J66</f>
        <v>0</v>
      </c>
      <c r="J133" s="9" t="e">
        <f t="shared" si="3"/>
        <v>#DIV/0!</v>
      </c>
      <c r="K133" s="9">
        <f t="shared" si="4"/>
        <v>260952.04800000001</v>
      </c>
      <c r="L133" s="13"/>
      <c r="M133" s="9" t="e">
        <f t="shared" si="5"/>
        <v>#DIV/0!</v>
      </c>
      <c r="N133" s="4"/>
    </row>
    <row r="134" spans="1:14" ht="16.5" hidden="1" customHeight="1" x14ac:dyDescent="0.25">
      <c r="A134" s="200"/>
      <c r="B134" s="201"/>
      <c r="C134" s="201"/>
      <c r="D134" s="201"/>
      <c r="E134" s="202"/>
      <c r="F134" s="9">
        <v>9544</v>
      </c>
      <c r="G134" s="10"/>
      <c r="H134" s="12"/>
      <c r="I134" s="10">
        <f>J66</f>
        <v>0</v>
      </c>
      <c r="J134" s="9" t="e">
        <f t="shared" si="3"/>
        <v>#DIV/0!</v>
      </c>
      <c r="K134" s="9">
        <f t="shared" si="4"/>
        <v>0</v>
      </c>
      <c r="L134" s="13"/>
      <c r="M134" s="9" t="e">
        <f t="shared" si="5"/>
        <v>#DIV/0!</v>
      </c>
      <c r="N134" s="4"/>
    </row>
    <row r="135" spans="1:14" ht="16.5" hidden="1" customHeight="1" x14ac:dyDescent="0.25">
      <c r="A135" s="200"/>
      <c r="B135" s="201"/>
      <c r="C135" s="201"/>
      <c r="D135" s="201"/>
      <c r="E135" s="202"/>
      <c r="F135" s="9">
        <v>9544</v>
      </c>
      <c r="G135" s="32">
        <v>0.5</v>
      </c>
      <c r="H135" s="12"/>
      <c r="I135" s="10">
        <f>J66</f>
        <v>0</v>
      </c>
      <c r="J135" s="9" t="e">
        <f t="shared" si="3"/>
        <v>#DIV/0!</v>
      </c>
      <c r="K135" s="9">
        <f t="shared" si="4"/>
        <v>74557.728000000003</v>
      </c>
      <c r="L135" s="13"/>
      <c r="M135" s="9" t="e">
        <f t="shared" si="5"/>
        <v>#DIV/0!</v>
      </c>
      <c r="N135" s="4"/>
    </row>
    <row r="136" spans="1:14" ht="15" hidden="1" customHeight="1" x14ac:dyDescent="0.25">
      <c r="A136" s="200"/>
      <c r="B136" s="201"/>
      <c r="C136" s="201"/>
      <c r="D136" s="201"/>
      <c r="E136" s="202"/>
      <c r="F136" s="9"/>
      <c r="G136" s="9"/>
      <c r="H136" s="9"/>
      <c r="I136" s="9"/>
      <c r="J136" s="9"/>
      <c r="K136" s="9"/>
      <c r="L136" s="13"/>
      <c r="M136" s="9">
        <f t="shared" si="5"/>
        <v>0</v>
      </c>
      <c r="N136" s="4"/>
    </row>
    <row r="137" spans="1:14" ht="15.75" hidden="1" customHeight="1" x14ac:dyDescent="0.25">
      <c r="A137" s="200"/>
      <c r="B137" s="201"/>
      <c r="C137" s="201"/>
      <c r="D137" s="201"/>
      <c r="E137" s="202"/>
      <c r="F137" s="9"/>
      <c r="G137" s="9"/>
      <c r="H137" s="9"/>
      <c r="I137" s="9"/>
      <c r="J137" s="9"/>
      <c r="K137" s="9"/>
      <c r="L137" s="13"/>
      <c r="M137" s="9">
        <f t="shared" si="5"/>
        <v>0</v>
      </c>
      <c r="N137" s="4"/>
    </row>
    <row r="138" spans="1:14" ht="14.25" hidden="1" customHeight="1" x14ac:dyDescent="0.25">
      <c r="A138" s="200"/>
      <c r="B138" s="201"/>
      <c r="C138" s="201"/>
      <c r="D138" s="201"/>
      <c r="E138" s="202"/>
      <c r="F138" s="9"/>
      <c r="G138" s="9"/>
      <c r="H138" s="9"/>
      <c r="I138" s="9"/>
      <c r="J138" s="12">
        <v>105</v>
      </c>
      <c r="K138" s="14">
        <f>I138/J138</f>
        <v>0</v>
      </c>
      <c r="L138" s="13"/>
      <c r="M138" s="14">
        <f t="shared" si="5"/>
        <v>0</v>
      </c>
      <c r="N138" s="4"/>
    </row>
    <row r="139" spans="1:14" ht="15.75" thickBot="1" x14ac:dyDescent="0.3">
      <c r="A139" s="209" t="s">
        <v>81</v>
      </c>
      <c r="B139" s="209"/>
      <c r="C139" s="209"/>
      <c r="D139" s="209"/>
      <c r="E139" s="209"/>
      <c r="F139" s="34"/>
      <c r="G139" s="73"/>
      <c r="H139" s="73"/>
      <c r="I139" s="42">
        <f>I113</f>
        <v>176399.15</v>
      </c>
      <c r="J139" s="15"/>
      <c r="K139" s="35">
        <f>K113</f>
        <v>3392.291346153846</v>
      </c>
      <c r="L139" s="13"/>
      <c r="M139" s="97"/>
      <c r="N139" s="4"/>
    </row>
    <row r="140" spans="1:14" ht="24.75" customHeight="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3"/>
    </row>
    <row r="141" spans="1:14" hidden="1" x14ac:dyDescent="0.25">
      <c r="A141" s="218" t="s">
        <v>38</v>
      </c>
      <c r="B141" s="218"/>
      <c r="C141" s="218"/>
      <c r="D141" s="218"/>
      <c r="E141" s="218"/>
      <c r="F141" s="218"/>
      <c r="G141" s="218"/>
      <c r="H141" s="218"/>
      <c r="I141" s="218"/>
      <c r="J141" s="218"/>
      <c r="K141" s="218"/>
      <c r="L141" s="218"/>
      <c r="M141" s="218"/>
      <c r="N141" s="3"/>
    </row>
    <row r="142" spans="1:14" hidden="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3"/>
    </row>
    <row r="143" spans="1:14" ht="45" hidden="1" x14ac:dyDescent="0.25">
      <c r="A143" s="206" t="s">
        <v>39</v>
      </c>
      <c r="B143" s="206"/>
      <c r="C143" s="206"/>
      <c r="D143" s="206"/>
      <c r="E143" s="206"/>
      <c r="F143" s="6" t="s">
        <v>7</v>
      </c>
      <c r="G143" s="6" t="s">
        <v>18</v>
      </c>
      <c r="H143" s="6" t="s">
        <v>19</v>
      </c>
      <c r="I143" s="6" t="s">
        <v>20</v>
      </c>
      <c r="J143" s="6"/>
      <c r="K143" s="6" t="s">
        <v>21</v>
      </c>
      <c r="L143" s="6" t="s">
        <v>22</v>
      </c>
      <c r="M143" s="6" t="s">
        <v>82</v>
      </c>
      <c r="N143" s="3"/>
    </row>
    <row r="144" spans="1:14" hidden="1" x14ac:dyDescent="0.25">
      <c r="A144" s="196" t="s">
        <v>40</v>
      </c>
      <c r="B144" s="196"/>
      <c r="C144" s="196"/>
      <c r="D144" s="196"/>
      <c r="E144" s="196"/>
      <c r="F144" s="18" t="s">
        <v>43</v>
      </c>
      <c r="G144" s="18">
        <v>0</v>
      </c>
      <c r="H144" s="111">
        <f>M71</f>
        <v>0</v>
      </c>
      <c r="I144" s="101">
        <f>J40</f>
        <v>0</v>
      </c>
      <c r="J144" s="101"/>
      <c r="K144" s="18"/>
      <c r="L144" s="18"/>
      <c r="M144" s="18"/>
      <c r="N144" s="3"/>
    </row>
    <row r="145" spans="1:14" hidden="1" x14ac:dyDescent="0.25">
      <c r="A145" s="196" t="s">
        <v>41</v>
      </c>
      <c r="B145" s="196"/>
      <c r="C145" s="196"/>
      <c r="D145" s="196"/>
      <c r="E145" s="196"/>
      <c r="F145" s="18" t="s">
        <v>44</v>
      </c>
      <c r="G145" s="18">
        <v>0</v>
      </c>
      <c r="H145" s="111">
        <f>M71</f>
        <v>0</v>
      </c>
      <c r="I145" s="101">
        <f>J40</f>
        <v>0</v>
      </c>
      <c r="J145" s="101"/>
      <c r="K145" s="18"/>
      <c r="L145" s="18"/>
      <c r="M145" s="18"/>
      <c r="N145" s="3"/>
    </row>
    <row r="146" spans="1:14" hidden="1" x14ac:dyDescent="0.25">
      <c r="A146" s="196" t="s">
        <v>42</v>
      </c>
      <c r="B146" s="196"/>
      <c r="C146" s="196"/>
      <c r="D146" s="196"/>
      <c r="E146" s="196"/>
      <c r="F146" s="18" t="s">
        <v>44</v>
      </c>
      <c r="G146" s="18">
        <v>0</v>
      </c>
      <c r="H146" s="111">
        <f>M71</f>
        <v>0</v>
      </c>
      <c r="I146" s="101">
        <f>J40</f>
        <v>0</v>
      </c>
      <c r="J146" s="101"/>
      <c r="K146" s="18"/>
      <c r="L146" s="18"/>
      <c r="M146" s="18"/>
      <c r="N146" s="3"/>
    </row>
    <row r="147" spans="1:14" hidden="1" x14ac:dyDescent="0.25">
      <c r="A147" s="236" t="s">
        <v>45</v>
      </c>
      <c r="B147" s="237"/>
      <c r="C147" s="237"/>
      <c r="D147" s="237"/>
      <c r="E147" s="237"/>
      <c r="F147" s="237"/>
      <c r="G147" s="237"/>
      <c r="H147" s="237"/>
      <c r="I147" s="237"/>
      <c r="J147" s="237"/>
      <c r="K147" s="237"/>
      <c r="L147" s="238"/>
      <c r="M147" s="114">
        <f>M144+M145+M146</f>
        <v>0</v>
      </c>
      <c r="N147" s="3"/>
    </row>
    <row r="148" spans="1:14" hidden="1" x14ac:dyDescent="0.25">
      <c r="A148" s="86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3"/>
    </row>
    <row r="149" spans="1:14" hidden="1" x14ac:dyDescent="0.25">
      <c r="A149" s="263" t="s">
        <v>93</v>
      </c>
      <c r="B149" s="264"/>
      <c r="C149" s="264"/>
      <c r="D149" s="264"/>
      <c r="E149" s="264"/>
      <c r="F149" s="264"/>
      <c r="G149" s="264"/>
      <c r="H149" s="264"/>
      <c r="I149" s="264"/>
      <c r="J149" s="264"/>
      <c r="K149" s="264"/>
      <c r="L149" s="264"/>
      <c r="M149" s="13"/>
      <c r="N149" s="3"/>
    </row>
    <row r="150" spans="1:14" hidden="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3"/>
    </row>
    <row r="151" spans="1:14" ht="75" hidden="1" x14ac:dyDescent="0.25">
      <c r="A151" s="197" t="s">
        <v>66</v>
      </c>
      <c r="B151" s="198"/>
      <c r="C151" s="198"/>
      <c r="D151" s="198"/>
      <c r="E151" s="199"/>
      <c r="F151" s="6" t="s">
        <v>7</v>
      </c>
      <c r="G151" s="6" t="s">
        <v>18</v>
      </c>
      <c r="H151" s="26" t="s">
        <v>22</v>
      </c>
      <c r="I151" s="6" t="s">
        <v>82</v>
      </c>
      <c r="J151" s="26" t="s">
        <v>78</v>
      </c>
      <c r="K151" s="26" t="s">
        <v>73</v>
      </c>
      <c r="L151" s="13"/>
      <c r="M151" s="13"/>
      <c r="N151" s="3"/>
    </row>
    <row r="152" spans="1:14" hidden="1" x14ac:dyDescent="0.25">
      <c r="A152" s="241">
        <v>1</v>
      </c>
      <c r="B152" s="242"/>
      <c r="C152" s="242"/>
      <c r="D152" s="242"/>
      <c r="E152" s="243"/>
      <c r="F152" s="26">
        <v>2</v>
      </c>
      <c r="G152" s="26">
        <v>3</v>
      </c>
      <c r="H152" s="26">
        <v>4</v>
      </c>
      <c r="I152" s="26">
        <v>5</v>
      </c>
      <c r="J152" s="99">
        <v>6</v>
      </c>
      <c r="K152" s="111">
        <v>7</v>
      </c>
      <c r="L152" s="13"/>
      <c r="M152" s="13"/>
      <c r="N152" s="3"/>
    </row>
    <row r="153" spans="1:14" hidden="1" x14ac:dyDescent="0.25">
      <c r="A153" s="249" t="s">
        <v>95</v>
      </c>
      <c r="B153" s="250"/>
      <c r="C153" s="250"/>
      <c r="D153" s="250"/>
      <c r="E153" s="251"/>
      <c r="F153" s="9"/>
      <c r="G153" s="12"/>
      <c r="H153" s="9"/>
      <c r="I153" s="9"/>
      <c r="J153" s="12">
        <v>30</v>
      </c>
      <c r="K153" s="36">
        <f>I153/J153</f>
        <v>0</v>
      </c>
      <c r="L153" s="13"/>
      <c r="M153" s="13"/>
      <c r="N153" s="3"/>
    </row>
    <row r="154" spans="1:14" ht="15.75" hidden="1" thickBot="1" x14ac:dyDescent="0.3">
      <c r="A154" s="34" t="s">
        <v>94</v>
      </c>
      <c r="B154" s="115"/>
      <c r="C154" s="115"/>
      <c r="D154" s="115"/>
      <c r="E154" s="115"/>
      <c r="F154" s="115"/>
      <c r="G154" s="115"/>
      <c r="H154" s="115"/>
      <c r="I154" s="116">
        <f>I153</f>
        <v>0</v>
      </c>
      <c r="J154" s="117"/>
      <c r="K154" s="118">
        <f>K153</f>
        <v>0</v>
      </c>
      <c r="L154" s="13"/>
      <c r="M154" s="13"/>
      <c r="N154" s="3"/>
    </row>
    <row r="155" spans="1:14" hidden="1" x14ac:dyDescent="0.25">
      <c r="A155" s="262" t="s">
        <v>65</v>
      </c>
      <c r="B155" s="262"/>
      <c r="C155" s="262"/>
      <c r="D155" s="262"/>
      <c r="E155" s="262"/>
      <c r="F155" s="262"/>
      <c r="G155" s="262"/>
      <c r="H155" s="262"/>
      <c r="I155" s="262"/>
      <c r="J155" s="262"/>
      <c r="K155" s="262"/>
      <c r="L155" s="262"/>
      <c r="M155" s="262"/>
      <c r="N155" s="3"/>
    </row>
    <row r="156" spans="1:14" hidden="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3"/>
    </row>
    <row r="157" spans="1:14" hidden="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3"/>
    </row>
    <row r="158" spans="1:14" hidden="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3"/>
    </row>
    <row r="159" spans="1:14" hidden="1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3"/>
    </row>
    <row r="160" spans="1:14" ht="60" hidden="1" x14ac:dyDescent="0.25">
      <c r="A160" s="197" t="s">
        <v>66</v>
      </c>
      <c r="B160" s="198"/>
      <c r="C160" s="198"/>
      <c r="D160" s="198"/>
      <c r="E160" s="199"/>
      <c r="F160" s="6" t="s">
        <v>7</v>
      </c>
      <c r="G160" s="6" t="s">
        <v>18</v>
      </c>
      <c r="H160" s="26" t="s">
        <v>22</v>
      </c>
      <c r="I160" s="6" t="s">
        <v>82</v>
      </c>
      <c r="J160" s="6" t="s">
        <v>102</v>
      </c>
      <c r="K160" s="6" t="s">
        <v>103</v>
      </c>
      <c r="L160" s="13"/>
      <c r="M160" s="13"/>
      <c r="N160" s="3"/>
    </row>
    <row r="161" spans="1:14" hidden="1" x14ac:dyDescent="0.25">
      <c r="A161" s="241">
        <v>1</v>
      </c>
      <c r="B161" s="242"/>
      <c r="C161" s="242"/>
      <c r="D161" s="242"/>
      <c r="E161" s="243"/>
      <c r="F161" s="26">
        <v>2</v>
      </c>
      <c r="G161" s="26">
        <v>3</v>
      </c>
      <c r="H161" s="26">
        <v>4</v>
      </c>
      <c r="I161" s="26">
        <v>5</v>
      </c>
      <c r="J161" s="99">
        <v>6</v>
      </c>
      <c r="K161" s="111">
        <v>7</v>
      </c>
      <c r="L161" s="13"/>
      <c r="M161" s="119"/>
      <c r="N161" s="3"/>
    </row>
    <row r="162" spans="1:14" hidden="1" x14ac:dyDescent="0.25">
      <c r="A162" s="249" t="s">
        <v>68</v>
      </c>
      <c r="B162" s="250"/>
      <c r="C162" s="250"/>
      <c r="D162" s="250"/>
      <c r="E162" s="251"/>
      <c r="F162" s="9" t="s">
        <v>31</v>
      </c>
      <c r="G162" s="12">
        <v>0</v>
      </c>
      <c r="H162" s="9"/>
      <c r="I162" s="9">
        <f>J40</f>
        <v>0</v>
      </c>
      <c r="J162" s="97"/>
      <c r="K162" s="13"/>
      <c r="L162" s="13"/>
      <c r="M162" s="113">
        <f>J162*H162</f>
        <v>0</v>
      </c>
      <c r="N162" s="3"/>
    </row>
    <row r="163" spans="1:14" hidden="1" x14ac:dyDescent="0.25">
      <c r="A163" s="249" t="s">
        <v>69</v>
      </c>
      <c r="B163" s="250"/>
      <c r="C163" s="250"/>
      <c r="D163" s="250"/>
      <c r="E163" s="251"/>
      <c r="F163" s="9" t="s">
        <v>31</v>
      </c>
      <c r="G163" s="12">
        <v>0</v>
      </c>
      <c r="H163" s="9"/>
      <c r="I163" s="9">
        <f>J40</f>
        <v>0</v>
      </c>
      <c r="J163" s="97"/>
      <c r="K163" s="13"/>
      <c r="L163" s="13"/>
      <c r="M163" s="9"/>
      <c r="N163" s="3"/>
    </row>
    <row r="164" spans="1:14" hidden="1" x14ac:dyDescent="0.25">
      <c r="A164" s="249" t="s">
        <v>70</v>
      </c>
      <c r="B164" s="250"/>
      <c r="C164" s="250"/>
      <c r="D164" s="250"/>
      <c r="E164" s="251"/>
      <c r="F164" s="9" t="s">
        <v>91</v>
      </c>
      <c r="G164" s="10"/>
      <c r="H164" s="9"/>
      <c r="I164" s="54"/>
      <c r="J164" s="12">
        <v>3260</v>
      </c>
      <c r="K164" s="120">
        <f>I164/J164</f>
        <v>0</v>
      </c>
      <c r="L164" s="13"/>
      <c r="M164" s="13"/>
      <c r="N164" s="3"/>
    </row>
    <row r="165" spans="1:14" ht="15.75" hidden="1" thickBot="1" x14ac:dyDescent="0.3">
      <c r="A165" s="34" t="s">
        <v>67</v>
      </c>
      <c r="B165" s="115"/>
      <c r="C165" s="115"/>
      <c r="D165" s="115"/>
      <c r="E165" s="115"/>
      <c r="F165" s="115"/>
      <c r="G165" s="115"/>
      <c r="H165" s="115"/>
      <c r="I165" s="116">
        <f>I164</f>
        <v>0</v>
      </c>
      <c r="J165" s="15"/>
      <c r="K165" s="20">
        <f>K164</f>
        <v>0</v>
      </c>
      <c r="L165" s="13"/>
      <c r="M165" s="13"/>
      <c r="N165" s="3"/>
    </row>
    <row r="166" spans="1:14" x14ac:dyDescent="0.25">
      <c r="A166" s="121"/>
      <c r="B166" s="121"/>
      <c r="C166" s="121"/>
      <c r="D166" s="121"/>
      <c r="E166" s="121"/>
      <c r="F166" s="121"/>
      <c r="G166" s="121"/>
      <c r="H166" s="121"/>
      <c r="I166" s="108"/>
      <c r="J166" s="122"/>
      <c r="K166" s="109"/>
      <c r="L166" s="13"/>
      <c r="M166" s="13"/>
      <c r="N166" s="3"/>
    </row>
    <row r="167" spans="1:14" x14ac:dyDescent="0.25">
      <c r="A167" s="13"/>
      <c r="B167" s="13"/>
      <c r="C167" s="13"/>
      <c r="D167" s="13"/>
      <c r="E167" s="13"/>
      <c r="F167" s="13"/>
      <c r="G167" s="13"/>
      <c r="H167" s="13"/>
      <c r="I167" s="86"/>
      <c r="J167" s="86"/>
      <c r="K167" s="86"/>
      <c r="L167" s="13"/>
      <c r="M167" s="13"/>
      <c r="N167" s="3"/>
    </row>
    <row r="168" spans="1:14" x14ac:dyDescent="0.25">
      <c r="A168" s="239" t="s">
        <v>99</v>
      </c>
      <c r="B168" s="239"/>
      <c r="C168" s="239"/>
      <c r="D168" s="239"/>
      <c r="E168" s="239"/>
      <c r="F168" s="239"/>
      <c r="G168" s="239"/>
      <c r="H168" s="239"/>
      <c r="I168" s="239"/>
      <c r="J168" s="239"/>
      <c r="K168" s="239"/>
      <c r="L168" s="239"/>
      <c r="M168" s="13"/>
      <c r="N168" s="3"/>
    </row>
    <row r="169" spans="1:14" ht="60" x14ac:dyDescent="0.25">
      <c r="A169" s="197" t="s">
        <v>100</v>
      </c>
      <c r="B169" s="198"/>
      <c r="C169" s="198"/>
      <c r="D169" s="198"/>
      <c r="E169" s="199"/>
      <c r="F169" s="44" t="s">
        <v>7</v>
      </c>
      <c r="G169" s="44" t="s">
        <v>90</v>
      </c>
      <c r="H169" s="44" t="s">
        <v>71</v>
      </c>
      <c r="I169" s="44" t="s">
        <v>82</v>
      </c>
      <c r="J169" s="6" t="s">
        <v>102</v>
      </c>
      <c r="K169" s="6" t="s">
        <v>131</v>
      </c>
      <c r="L169" s="123"/>
      <c r="M169" s="13"/>
      <c r="N169" s="3"/>
    </row>
    <row r="170" spans="1:14" x14ac:dyDescent="0.25">
      <c r="A170" s="192" t="s">
        <v>158</v>
      </c>
      <c r="B170" s="192"/>
      <c r="C170" s="192"/>
      <c r="D170" s="192"/>
      <c r="E170" s="192"/>
      <c r="F170" s="36"/>
      <c r="G170" s="29">
        <v>70</v>
      </c>
      <c r="H170" s="45">
        <v>150</v>
      </c>
      <c r="I170" s="9">
        <f>3943.2*N4-0.001</f>
        <v>197.55331999999999</v>
      </c>
      <c r="J170" s="12">
        <v>52</v>
      </c>
      <c r="K170" s="174">
        <f>I170/J170</f>
        <v>3.7991023076923076</v>
      </c>
      <c r="L170" s="124"/>
      <c r="M170" s="13"/>
      <c r="N170" s="13"/>
    </row>
    <row r="171" spans="1:14" x14ac:dyDescent="0.25">
      <c r="A171" s="203"/>
      <c r="B171" s="204"/>
      <c r="C171" s="204"/>
      <c r="D171" s="204"/>
      <c r="E171" s="205"/>
      <c r="F171" s="36"/>
      <c r="G171" s="36"/>
      <c r="H171" s="36"/>
      <c r="I171" s="7"/>
      <c r="J171" s="12"/>
      <c r="K171" s="7"/>
      <c r="L171" s="13"/>
      <c r="M171" s="13"/>
      <c r="N171" s="3"/>
    </row>
    <row r="172" spans="1:14" ht="15.75" thickBot="1" x14ac:dyDescent="0.3">
      <c r="A172" s="252" t="s">
        <v>94</v>
      </c>
      <c r="B172" s="252"/>
      <c r="C172" s="252"/>
      <c r="D172" s="252"/>
      <c r="E172" s="252"/>
      <c r="F172" s="253"/>
      <c r="G172" s="253"/>
      <c r="H172" s="254"/>
      <c r="I172" s="127">
        <f>I170+I171</f>
        <v>197.55331999999999</v>
      </c>
      <c r="J172" s="128"/>
      <c r="K172" s="129">
        <f>SUM(K170:K171)</f>
        <v>3.7991023076923076</v>
      </c>
      <c r="L172" s="13"/>
      <c r="M172" s="13"/>
      <c r="N172" s="16">
        <f>I172/88.1%</f>
        <v>224.23759364358685</v>
      </c>
    </row>
    <row r="173" spans="1:14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3"/>
    </row>
    <row r="174" spans="1:14" x14ac:dyDescent="0.25">
      <c r="A174" s="255" t="s">
        <v>132</v>
      </c>
      <c r="B174" s="255"/>
      <c r="C174" s="255"/>
      <c r="D174" s="255"/>
      <c r="E174" s="255"/>
      <c r="F174" s="255"/>
      <c r="G174" s="255"/>
      <c r="H174" s="255"/>
      <c r="I174" s="255"/>
      <c r="J174" s="255"/>
      <c r="K174" s="255"/>
      <c r="L174" s="239"/>
      <c r="M174" s="13"/>
      <c r="N174" s="4"/>
    </row>
    <row r="175" spans="1:14" ht="60" x14ac:dyDescent="0.25">
      <c r="A175" s="206" t="s">
        <v>130</v>
      </c>
      <c r="B175" s="206"/>
      <c r="C175" s="206"/>
      <c r="D175" s="206"/>
      <c r="E175" s="206"/>
      <c r="F175" s="44" t="s">
        <v>7</v>
      </c>
      <c r="G175" s="44" t="s">
        <v>90</v>
      </c>
      <c r="H175" s="44" t="s">
        <v>71</v>
      </c>
      <c r="I175" s="44" t="s">
        <v>82</v>
      </c>
      <c r="J175" s="6" t="s">
        <v>102</v>
      </c>
      <c r="K175" s="6" t="s">
        <v>131</v>
      </c>
      <c r="L175" s="123"/>
      <c r="M175" s="13"/>
      <c r="N175" s="4"/>
    </row>
    <row r="176" spans="1:14" s="308" customFormat="1" ht="29.25" customHeight="1" x14ac:dyDescent="0.25">
      <c r="A176" s="298" t="s">
        <v>138</v>
      </c>
      <c r="B176" s="299"/>
      <c r="C176" s="299"/>
      <c r="D176" s="299"/>
      <c r="E176" s="300"/>
      <c r="F176" s="301" t="s">
        <v>44</v>
      </c>
      <c r="G176" s="302"/>
      <c r="H176" s="302"/>
      <c r="I176" s="303">
        <v>10650</v>
      </c>
      <c r="J176" s="304">
        <v>52</v>
      </c>
      <c r="K176" s="305">
        <f>I176/J176</f>
        <v>204.80769230769232</v>
      </c>
      <c r="L176" s="306"/>
      <c r="M176" s="307"/>
      <c r="N176" s="307"/>
    </row>
    <row r="177" spans="1:19" s="308" customFormat="1" ht="28.5" customHeight="1" thickBot="1" x14ac:dyDescent="0.3">
      <c r="A177" s="298" t="s">
        <v>139</v>
      </c>
      <c r="B177" s="299"/>
      <c r="C177" s="299"/>
      <c r="D177" s="299"/>
      <c r="E177" s="300"/>
      <c r="F177" s="301" t="s">
        <v>44</v>
      </c>
      <c r="G177" s="314"/>
      <c r="H177" s="314"/>
      <c r="I177" s="315">
        <v>16850</v>
      </c>
      <c r="J177" s="304">
        <v>52</v>
      </c>
      <c r="K177" s="316">
        <f>I177/J177</f>
        <v>324.03846153846155</v>
      </c>
      <c r="L177" s="317"/>
      <c r="M177" s="317"/>
      <c r="N177" s="318"/>
      <c r="O177" s="319"/>
      <c r="P177" s="320"/>
      <c r="Q177" s="321"/>
      <c r="R177" s="307"/>
      <c r="S177" s="307"/>
    </row>
    <row r="178" spans="1:19" ht="15.75" thickBot="1" x14ac:dyDescent="0.3">
      <c r="A178" s="234"/>
      <c r="B178" s="235"/>
      <c r="C178" s="235"/>
      <c r="D178" s="235"/>
      <c r="E178" s="235"/>
      <c r="F178" s="235"/>
      <c r="G178" s="235"/>
      <c r="H178" s="235"/>
      <c r="I178" s="46">
        <f>SUM(I176:I177)</f>
        <v>27500</v>
      </c>
      <c r="J178" s="47"/>
      <c r="K178" s="35">
        <f>SUM(K176:K177)</f>
        <v>528.84615384615381</v>
      </c>
      <c r="L178" s="135"/>
      <c r="M178" s="13"/>
      <c r="N178" s="4"/>
    </row>
    <row r="179" spans="1:19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4"/>
    </row>
    <row r="180" spans="1:19" x14ac:dyDescent="0.25">
      <c r="A180" s="86"/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4"/>
    </row>
    <row r="181" spans="1:19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3"/>
    </row>
    <row r="182" spans="1:19" x14ac:dyDescent="0.25">
      <c r="A182" s="218" t="s">
        <v>46</v>
      </c>
      <c r="B182" s="218"/>
      <c r="C182" s="218"/>
      <c r="D182" s="218"/>
      <c r="E182" s="218"/>
      <c r="F182" s="218"/>
      <c r="G182" s="218"/>
      <c r="H182" s="218"/>
      <c r="I182" s="218"/>
      <c r="J182" s="218"/>
      <c r="K182" s="218"/>
      <c r="L182" s="218"/>
      <c r="M182" s="218"/>
      <c r="N182" s="3"/>
    </row>
    <row r="183" spans="1:19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3"/>
    </row>
    <row r="184" spans="1:19" ht="47.25" customHeight="1" x14ac:dyDescent="0.25">
      <c r="A184" s="185" t="s">
        <v>47</v>
      </c>
      <c r="B184" s="185"/>
      <c r="C184" s="185"/>
      <c r="D184" s="206" t="s">
        <v>48</v>
      </c>
      <c r="E184" s="206"/>
      <c r="F184" s="206"/>
      <c r="G184" s="206"/>
      <c r="H184" s="206"/>
      <c r="I184" s="206"/>
      <c r="J184" s="206"/>
      <c r="K184" s="206"/>
      <c r="L184" s="185" t="s">
        <v>58</v>
      </c>
      <c r="M184" s="185"/>
      <c r="N184" s="3"/>
    </row>
    <row r="185" spans="1:19" ht="30" x14ac:dyDescent="0.25">
      <c r="A185" s="36" t="s">
        <v>49</v>
      </c>
      <c r="B185" s="6" t="s">
        <v>50</v>
      </c>
      <c r="C185" s="36" t="s">
        <v>51</v>
      </c>
      <c r="D185" s="36" t="s">
        <v>52</v>
      </c>
      <c r="E185" s="36" t="s">
        <v>53</v>
      </c>
      <c r="F185" s="36" t="s">
        <v>133</v>
      </c>
      <c r="G185" s="36" t="s">
        <v>54</v>
      </c>
      <c r="H185" s="36" t="s">
        <v>55</v>
      </c>
      <c r="I185" s="36" t="s">
        <v>56</v>
      </c>
      <c r="J185" s="36" t="s">
        <v>96</v>
      </c>
      <c r="K185" s="36" t="s">
        <v>57</v>
      </c>
      <c r="L185" s="185"/>
      <c r="M185" s="185"/>
      <c r="N185" s="3"/>
    </row>
    <row r="186" spans="1:19" x14ac:dyDescent="0.25">
      <c r="A186" s="9">
        <f>K40</f>
        <v>5188.210384615385</v>
      </c>
      <c r="B186" s="9"/>
      <c r="C186" s="9"/>
      <c r="D186" s="9">
        <f>K80</f>
        <v>426.14872124999994</v>
      </c>
      <c r="E186" s="9">
        <f>K90</f>
        <v>83.661411923076912</v>
      </c>
      <c r="F186" s="9">
        <f>K178</f>
        <v>528.84615384615381</v>
      </c>
      <c r="G186" s="9">
        <f>L106</f>
        <v>58.658043461538462</v>
      </c>
      <c r="H186" s="9">
        <f>K165</f>
        <v>0</v>
      </c>
      <c r="I186" s="9">
        <f>K139</f>
        <v>3392.291346153846</v>
      </c>
      <c r="J186" s="9">
        <f>K172</f>
        <v>3.7991023076923076</v>
      </c>
      <c r="K186" s="7">
        <f>J97</f>
        <v>63.588461538461537</v>
      </c>
      <c r="L186" s="247">
        <f>SUM(A186:K186)</f>
        <v>9745.2036250961555</v>
      </c>
      <c r="M186" s="248"/>
      <c r="N186" s="4"/>
    </row>
    <row r="187" spans="1:19" ht="15.75" thickBot="1" x14ac:dyDescent="0.3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3"/>
    </row>
    <row r="188" spans="1:19" ht="15.75" thickBot="1" x14ac:dyDescent="0.3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N188" s="43">
        <f>L186*52</f>
        <v>506750.58850500011</v>
      </c>
    </row>
    <row r="189" spans="1:19" ht="15.75" thickBot="1" x14ac:dyDescent="0.3">
      <c r="A189" s="87" t="s">
        <v>104</v>
      </c>
      <c r="B189" s="87"/>
      <c r="C189" s="87"/>
      <c r="D189" s="13"/>
      <c r="E189" s="13"/>
      <c r="F189" s="13"/>
      <c r="G189" s="13"/>
      <c r="H189" s="13"/>
      <c r="I189" s="13"/>
      <c r="J189" s="86"/>
      <c r="K189" s="42">
        <f>I178+I172+I139+J106+H97+I90+I80+I40</f>
        <v>506750.58850499999</v>
      </c>
      <c r="L189" s="13"/>
      <c r="M189" s="13"/>
      <c r="N189" s="3"/>
    </row>
    <row r="190" spans="1:19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3"/>
    </row>
    <row r="191" spans="1:19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8"/>
      <c r="L191" s="13"/>
      <c r="M191" s="13"/>
      <c r="N191" s="3"/>
    </row>
    <row r="192" spans="1:19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3"/>
    </row>
    <row r="193" spans="1:11" ht="18.75" x14ac:dyDescent="0.3">
      <c r="A193" s="139" t="s">
        <v>105</v>
      </c>
      <c r="B193" s="139"/>
      <c r="C193" s="139"/>
      <c r="G193" s="139" t="s">
        <v>163</v>
      </c>
      <c r="K193" s="140"/>
    </row>
    <row r="198" spans="1:11" ht="15.75" x14ac:dyDescent="0.25">
      <c r="A198" s="74" t="s">
        <v>72</v>
      </c>
      <c r="B198" s="74"/>
    </row>
    <row r="199" spans="1:11" ht="15.75" x14ac:dyDescent="0.25">
      <c r="A199" s="74" t="s">
        <v>159</v>
      </c>
      <c r="B199" s="74"/>
    </row>
    <row r="200" spans="1:11" ht="15.75" x14ac:dyDescent="0.25">
      <c r="A200" s="74" t="s">
        <v>160</v>
      </c>
      <c r="C200" s="74"/>
    </row>
    <row r="202" spans="1:11" x14ac:dyDescent="0.25">
      <c r="G202" s="13"/>
      <c r="H202" s="140">
        <f>I172+I139+J106+H97+I90+I80+I40</f>
        <v>479250.58850499999</v>
      </c>
    </row>
    <row r="203" spans="1:11" ht="15.75" x14ac:dyDescent="0.25">
      <c r="C203" s="74"/>
      <c r="H203" s="78">
        <f>H202/N4</f>
        <v>9565880.0100798402</v>
      </c>
    </row>
    <row r="204" spans="1:11" ht="15.75" x14ac:dyDescent="0.25">
      <c r="A204" s="141"/>
      <c r="B204" s="141"/>
      <c r="C204" s="141"/>
    </row>
  </sheetData>
  <mergeCells count="164">
    <mergeCell ref="A172:H172"/>
    <mergeCell ref="A178:H178"/>
    <mergeCell ref="A182:M182"/>
    <mergeCell ref="A184:C184"/>
    <mergeCell ref="D184:K184"/>
    <mergeCell ref="L184:M185"/>
    <mergeCell ref="L186:M186"/>
    <mergeCell ref="A174:L174"/>
    <mergeCell ref="A175:E175"/>
    <mergeCell ref="A176:E176"/>
    <mergeCell ref="A177:E177"/>
    <mergeCell ref="A171:E171"/>
    <mergeCell ref="A144:E144"/>
    <mergeCell ref="A145:E145"/>
    <mergeCell ref="A146:E146"/>
    <mergeCell ref="A147:L147"/>
    <mergeCell ref="A149:L149"/>
    <mergeCell ref="A151:E151"/>
    <mergeCell ref="A136:E136"/>
    <mergeCell ref="A137:E137"/>
    <mergeCell ref="A138:E138"/>
    <mergeCell ref="A139:E139"/>
    <mergeCell ref="A141:M141"/>
    <mergeCell ref="A143:E143"/>
    <mergeCell ref="A163:E163"/>
    <mergeCell ref="A164:E164"/>
    <mergeCell ref="A168:L168"/>
    <mergeCell ref="A169:E169"/>
    <mergeCell ref="A170:E170"/>
    <mergeCell ref="A152:E152"/>
    <mergeCell ref="A153:E153"/>
    <mergeCell ref="A155:M155"/>
    <mergeCell ref="A160:E160"/>
    <mergeCell ref="A161:E161"/>
    <mergeCell ref="A162:E162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04:E104"/>
    <mergeCell ref="A105:E105"/>
    <mergeCell ref="A106:E106"/>
    <mergeCell ref="F106:I106"/>
    <mergeCell ref="A109:M109"/>
    <mergeCell ref="A111:E111"/>
    <mergeCell ref="A97:E97"/>
    <mergeCell ref="A99:E99"/>
    <mergeCell ref="A100:E100"/>
    <mergeCell ref="A102:N102"/>
    <mergeCell ref="A103:E103"/>
    <mergeCell ref="A91:M91"/>
    <mergeCell ref="A93:E93"/>
    <mergeCell ref="A94:E94"/>
    <mergeCell ref="A95:E95"/>
    <mergeCell ref="A96:E96"/>
    <mergeCell ref="A83:E83"/>
    <mergeCell ref="A84:E84"/>
    <mergeCell ref="A85:E85"/>
    <mergeCell ref="A86:E86"/>
    <mergeCell ref="A88:E88"/>
    <mergeCell ref="A89:E89"/>
    <mergeCell ref="A75:E75"/>
    <mergeCell ref="A76:E76"/>
    <mergeCell ref="A77:E77"/>
    <mergeCell ref="A78:E78"/>
    <mergeCell ref="A79:E79"/>
    <mergeCell ref="A81:M81"/>
    <mergeCell ref="A66:E66"/>
    <mergeCell ref="A67:L67"/>
    <mergeCell ref="A69:M69"/>
    <mergeCell ref="A71:L71"/>
    <mergeCell ref="A73:E73"/>
    <mergeCell ref="A74:E74"/>
    <mergeCell ref="A80:E80"/>
    <mergeCell ref="A60:E60"/>
    <mergeCell ref="A61:E61"/>
    <mergeCell ref="A62:E62"/>
    <mergeCell ref="A63:E63"/>
    <mergeCell ref="A64:E64"/>
    <mergeCell ref="A65:E65"/>
    <mergeCell ref="A54:E54"/>
    <mergeCell ref="A55:E55"/>
    <mergeCell ref="A56:E56"/>
    <mergeCell ref="A57:E57"/>
    <mergeCell ref="A58:E58"/>
    <mergeCell ref="A59:E59"/>
    <mergeCell ref="A48:E48"/>
    <mergeCell ref="A49:E49"/>
    <mergeCell ref="A50:E50"/>
    <mergeCell ref="A51:E51"/>
    <mergeCell ref="A52:E52"/>
    <mergeCell ref="A53:E53"/>
    <mergeCell ref="A39:E39"/>
    <mergeCell ref="A40:E40"/>
    <mergeCell ref="A44:M44"/>
    <mergeCell ref="A46:E46"/>
    <mergeCell ref="A47:E47"/>
    <mergeCell ref="A38:E38"/>
    <mergeCell ref="A33:M33"/>
    <mergeCell ref="A34:E34"/>
    <mergeCell ref="A35:E35"/>
    <mergeCell ref="A36:E36"/>
    <mergeCell ref="A37:E37"/>
    <mergeCell ref="A27:E27"/>
    <mergeCell ref="G27:L27"/>
    <mergeCell ref="A28:E28"/>
    <mergeCell ref="G28:L28"/>
    <mergeCell ref="A29:E29"/>
    <mergeCell ref="G29:L29"/>
    <mergeCell ref="A30:E30"/>
    <mergeCell ref="G30:L30"/>
    <mergeCell ref="A20:E20"/>
    <mergeCell ref="G20:L20"/>
    <mergeCell ref="A21:E21"/>
    <mergeCell ref="G21:L21"/>
    <mergeCell ref="A22:E22"/>
    <mergeCell ref="G22:L22"/>
    <mergeCell ref="A26:E26"/>
    <mergeCell ref="G26:L26"/>
    <mergeCell ref="A23:E23"/>
    <mergeCell ref="G23:L23"/>
    <mergeCell ref="A24:E24"/>
    <mergeCell ref="G24:L24"/>
    <mergeCell ref="A25:E25"/>
    <mergeCell ref="G25:L25"/>
    <mergeCell ref="A2:D2"/>
    <mergeCell ref="E2:H2"/>
    <mergeCell ref="A3:B3"/>
    <mergeCell ref="E3:F3"/>
    <mergeCell ref="A4:C4"/>
    <mergeCell ref="E4:G4"/>
    <mergeCell ref="J4:M4"/>
    <mergeCell ref="A19:E19"/>
    <mergeCell ref="G19:L19"/>
    <mergeCell ref="A17:E17"/>
    <mergeCell ref="G17:L17"/>
    <mergeCell ref="A18:E18"/>
    <mergeCell ref="G18:L18"/>
    <mergeCell ref="A6:C6"/>
    <mergeCell ref="E6:G6"/>
    <mergeCell ref="A8:G8"/>
    <mergeCell ref="A9:H9"/>
    <mergeCell ref="A13:M13"/>
    <mergeCell ref="A15:M15"/>
  </mergeCells>
  <pageMargins left="0.70866141732283472" right="0.70866141732283472" top="0.15" bottom="0.16" header="0.15" footer="0.15"/>
  <pageSetup paperSize="9" scale="60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24"/>
  <sheetViews>
    <sheetView tabSelected="1" view="pageBreakPreview" topLeftCell="A182" zoomScale="60" zoomScaleNormal="90" workbookViewId="0">
      <selection activeCell="A192" sqref="A192:XFD193"/>
    </sheetView>
  </sheetViews>
  <sheetFormatPr defaultRowHeight="15" x14ac:dyDescent="0.25"/>
  <cols>
    <col min="1" max="1" width="12.7109375" style="78" customWidth="1"/>
    <col min="2" max="2" width="10.42578125" style="78" customWidth="1"/>
    <col min="3" max="3" width="9.140625" style="78"/>
    <col min="4" max="4" width="15.5703125" style="78" customWidth="1"/>
    <col min="5" max="5" width="24.7109375" style="78" customWidth="1"/>
    <col min="6" max="6" width="16.42578125" style="78" customWidth="1"/>
    <col min="7" max="7" width="13.85546875" style="78" customWidth="1"/>
    <col min="8" max="8" width="17.42578125" style="78" customWidth="1"/>
    <col min="9" max="9" width="18.85546875" style="78" customWidth="1"/>
    <col min="10" max="10" width="15.140625" style="78" customWidth="1"/>
    <col min="11" max="11" width="13.85546875" style="78" customWidth="1"/>
    <col min="12" max="12" width="16" style="78" customWidth="1"/>
    <col min="13" max="13" width="13.140625" style="78" customWidth="1"/>
    <col min="14" max="14" width="16.140625" customWidth="1"/>
  </cols>
  <sheetData>
    <row r="2" spans="1:14" ht="15.75" x14ac:dyDescent="0.25">
      <c r="A2" s="186"/>
      <c r="B2" s="186"/>
      <c r="C2" s="186"/>
      <c r="D2" s="186"/>
      <c r="E2" s="186"/>
      <c r="F2" s="186"/>
      <c r="G2" s="186"/>
      <c r="H2" s="186"/>
    </row>
    <row r="3" spans="1:14" ht="15.75" x14ac:dyDescent="0.25">
      <c r="A3" s="186"/>
      <c r="B3" s="186"/>
      <c r="C3" s="75"/>
      <c r="D3" s="75"/>
      <c r="E3" s="186"/>
      <c r="F3" s="186"/>
      <c r="G3" s="75"/>
      <c r="H3" s="75"/>
    </row>
    <row r="4" spans="1:14" ht="40.5" customHeight="1" x14ac:dyDescent="0.25">
      <c r="A4" s="187"/>
      <c r="B4" s="187"/>
      <c r="C4" s="187"/>
      <c r="D4" s="76"/>
      <c r="E4" s="187"/>
      <c r="F4" s="187"/>
      <c r="G4" s="187"/>
      <c r="H4" s="74"/>
      <c r="J4" s="187" t="s">
        <v>153</v>
      </c>
      <c r="K4" s="188"/>
      <c r="L4" s="188"/>
      <c r="M4" s="188"/>
      <c r="N4" s="171">
        <v>0.29220000000000002</v>
      </c>
    </row>
    <row r="5" spans="1:14" ht="15.75" x14ac:dyDescent="0.25">
      <c r="A5" s="76"/>
      <c r="B5" s="76"/>
      <c r="C5" s="76"/>
      <c r="D5" s="74"/>
      <c r="E5" s="76"/>
      <c r="F5" s="76"/>
      <c r="G5" s="76"/>
      <c r="H5" s="74"/>
    </row>
    <row r="6" spans="1:14" ht="15.75" x14ac:dyDescent="0.25">
      <c r="A6" s="182"/>
      <c r="B6" s="182"/>
      <c r="C6" s="182"/>
      <c r="D6" s="74"/>
      <c r="E6" s="182"/>
      <c r="F6" s="182"/>
      <c r="G6" s="182"/>
      <c r="H6" s="74"/>
    </row>
    <row r="7" spans="1:14" x14ac:dyDescent="0.25">
      <c r="A7" s="77"/>
      <c r="B7" s="77"/>
      <c r="C7" s="77"/>
      <c r="D7" s="77"/>
      <c r="E7" s="77"/>
      <c r="F7" s="77"/>
      <c r="G7" s="77"/>
      <c r="H7" s="77"/>
    </row>
    <row r="8" spans="1:14" ht="15.75" x14ac:dyDescent="0.25">
      <c r="A8" s="183" t="s">
        <v>101</v>
      </c>
      <c r="B8" s="184"/>
      <c r="C8" s="184"/>
      <c r="D8" s="184"/>
      <c r="E8" s="184"/>
      <c r="F8" s="184"/>
      <c r="G8" s="184"/>
      <c r="H8" s="77"/>
    </row>
    <row r="9" spans="1:14" ht="15.75" x14ac:dyDescent="0.25">
      <c r="A9" s="183" t="s">
        <v>175</v>
      </c>
      <c r="B9" s="184"/>
      <c r="C9" s="184"/>
      <c r="D9" s="184"/>
      <c r="E9" s="184"/>
      <c r="F9" s="184"/>
      <c r="G9" s="184"/>
      <c r="H9" s="188"/>
    </row>
    <row r="11" spans="1:14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3"/>
    </row>
    <row r="12" spans="1:14" ht="15.75" x14ac:dyDescent="0.25">
      <c r="A12" s="80" t="s">
        <v>164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2"/>
    </row>
    <row r="13" spans="1:14" ht="31.5" customHeight="1" x14ac:dyDescent="0.25">
      <c r="A13" s="189" t="s">
        <v>174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2"/>
    </row>
    <row r="14" spans="1:14" ht="15.75" x14ac:dyDescent="0.25">
      <c r="A14" s="80" t="s">
        <v>166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2"/>
    </row>
    <row r="15" spans="1:14" ht="18.75" customHeight="1" x14ac:dyDescent="0.25">
      <c r="A15" s="189" t="s">
        <v>178</v>
      </c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"/>
    </row>
    <row r="16" spans="1:14" ht="15.75" x14ac:dyDescent="0.25">
      <c r="A16" s="80" t="s">
        <v>167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2"/>
    </row>
    <row r="17" spans="1:15" ht="51.75" customHeight="1" x14ac:dyDescent="0.25">
      <c r="A17" s="185" t="s">
        <v>107</v>
      </c>
      <c r="B17" s="185"/>
      <c r="C17" s="185"/>
      <c r="D17" s="185"/>
      <c r="E17" s="185"/>
      <c r="F17" s="6" t="s">
        <v>106</v>
      </c>
      <c r="G17" s="185" t="s">
        <v>108</v>
      </c>
      <c r="H17" s="185"/>
      <c r="I17" s="185"/>
      <c r="J17" s="185"/>
      <c r="K17" s="185"/>
      <c r="L17" s="185"/>
      <c r="M17" s="6" t="s">
        <v>106</v>
      </c>
      <c r="N17" s="3"/>
      <c r="O17">
        <f>0.01+0.13+0.01+0.01</f>
        <v>0.16000000000000003</v>
      </c>
    </row>
    <row r="18" spans="1:15" x14ac:dyDescent="0.25">
      <c r="A18" s="191" t="s">
        <v>119</v>
      </c>
      <c r="B18" s="191"/>
      <c r="C18" s="191"/>
      <c r="D18" s="191"/>
      <c r="E18" s="191"/>
      <c r="F18" s="59">
        <f>1*$N$4</f>
        <v>0.29220000000000002</v>
      </c>
      <c r="G18" s="192" t="s">
        <v>1</v>
      </c>
      <c r="H18" s="192"/>
      <c r="I18" s="192"/>
      <c r="J18" s="192"/>
      <c r="K18" s="192"/>
      <c r="L18" s="192"/>
      <c r="M18" s="62">
        <f>1*N4</f>
        <v>0.29220000000000002</v>
      </c>
      <c r="N18" s="13"/>
    </row>
    <row r="19" spans="1:15" x14ac:dyDescent="0.25">
      <c r="A19" s="191" t="s">
        <v>120</v>
      </c>
      <c r="B19" s="191"/>
      <c r="C19" s="191"/>
      <c r="D19" s="191"/>
      <c r="E19" s="191"/>
      <c r="F19" s="59">
        <f>9.75*N4</f>
        <v>2.8489500000000003</v>
      </c>
      <c r="G19" s="193" t="s">
        <v>157</v>
      </c>
      <c r="H19" s="194"/>
      <c r="I19" s="194"/>
      <c r="J19" s="194"/>
      <c r="K19" s="194"/>
      <c r="L19" s="195"/>
      <c r="M19" s="62">
        <f>1*N4</f>
        <v>0.29220000000000002</v>
      </c>
      <c r="N19" s="13"/>
    </row>
    <row r="20" spans="1:15" x14ac:dyDescent="0.25">
      <c r="A20" s="191" t="s">
        <v>121</v>
      </c>
      <c r="B20" s="191"/>
      <c r="C20" s="191"/>
      <c r="D20" s="191"/>
      <c r="E20" s="191"/>
      <c r="F20" s="59">
        <f>1*N4</f>
        <v>0.29220000000000002</v>
      </c>
      <c r="G20" s="196" t="s">
        <v>125</v>
      </c>
      <c r="H20" s="196"/>
      <c r="I20" s="196"/>
      <c r="J20" s="196"/>
      <c r="K20" s="196"/>
      <c r="L20" s="196"/>
      <c r="M20" s="62">
        <f>0.5*N4</f>
        <v>0.14610000000000001</v>
      </c>
      <c r="N20" s="13"/>
    </row>
    <row r="21" spans="1:15" x14ac:dyDescent="0.25">
      <c r="A21" s="191" t="s">
        <v>122</v>
      </c>
      <c r="B21" s="191"/>
      <c r="C21" s="191"/>
      <c r="D21" s="191"/>
      <c r="E21" s="191"/>
      <c r="F21" s="59">
        <f>0.25*N4</f>
        <v>7.3050000000000004E-2</v>
      </c>
      <c r="G21" s="192" t="s">
        <v>127</v>
      </c>
      <c r="H21" s="192"/>
      <c r="I21" s="192"/>
      <c r="J21" s="192"/>
      <c r="K21" s="192"/>
      <c r="L21" s="192"/>
      <c r="M21" s="62">
        <f>1*N4</f>
        <v>0.29220000000000002</v>
      </c>
      <c r="N21" s="13"/>
    </row>
    <row r="22" spans="1:15" x14ac:dyDescent="0.25">
      <c r="A22" s="191" t="s">
        <v>124</v>
      </c>
      <c r="B22" s="191"/>
      <c r="C22" s="191"/>
      <c r="D22" s="191"/>
      <c r="E22" s="191"/>
      <c r="F22" s="59">
        <f>1*N4</f>
        <v>0.29220000000000002</v>
      </c>
      <c r="G22" s="192" t="s">
        <v>126</v>
      </c>
      <c r="H22" s="192"/>
      <c r="I22" s="192"/>
      <c r="J22" s="192"/>
      <c r="K22" s="192"/>
      <c r="L22" s="192"/>
      <c r="M22" s="62">
        <f>2*N4</f>
        <v>0.58440000000000003</v>
      </c>
      <c r="N22" s="13"/>
    </row>
    <row r="23" spans="1:15" x14ac:dyDescent="0.25">
      <c r="A23" s="197"/>
      <c r="B23" s="198"/>
      <c r="C23" s="198"/>
      <c r="D23" s="198"/>
      <c r="E23" s="199"/>
      <c r="F23" s="57"/>
      <c r="G23" s="193" t="s">
        <v>123</v>
      </c>
      <c r="H23" s="194"/>
      <c r="I23" s="194"/>
      <c r="J23" s="194"/>
      <c r="K23" s="194"/>
      <c r="L23" s="195"/>
      <c r="M23" s="62">
        <f>1*N4</f>
        <v>0.29220000000000002</v>
      </c>
      <c r="N23" s="178">
        <v>0.29220000000000002</v>
      </c>
    </row>
    <row r="24" spans="1:15" x14ac:dyDescent="0.25">
      <c r="A24" s="191"/>
      <c r="B24" s="191"/>
      <c r="C24" s="191"/>
      <c r="D24" s="191"/>
      <c r="E24" s="191"/>
      <c r="F24" s="58"/>
      <c r="G24" s="192" t="s">
        <v>128</v>
      </c>
      <c r="H24" s="192"/>
      <c r="I24" s="192"/>
      <c r="J24" s="192"/>
      <c r="K24" s="192"/>
      <c r="L24" s="192"/>
      <c r="M24" s="62">
        <f>1.25*N4</f>
        <v>0.36525000000000002</v>
      </c>
      <c r="N24" s="178"/>
    </row>
    <row r="25" spans="1:15" ht="15.75" customHeight="1" x14ac:dyDescent="0.25">
      <c r="A25" s="191"/>
      <c r="B25" s="191"/>
      <c r="C25" s="191"/>
      <c r="D25" s="191"/>
      <c r="E25" s="191"/>
      <c r="F25" s="58"/>
      <c r="G25" s="200" t="s">
        <v>129</v>
      </c>
      <c r="H25" s="201"/>
      <c r="I25" s="201"/>
      <c r="J25" s="201"/>
      <c r="K25" s="201"/>
      <c r="L25" s="202"/>
      <c r="M25" s="62">
        <f>0.75*N4+0.02</f>
        <v>0.23915</v>
      </c>
      <c r="N25" s="178"/>
    </row>
    <row r="26" spans="1:15" ht="15.75" hidden="1" customHeight="1" x14ac:dyDescent="0.25">
      <c r="A26" s="203"/>
      <c r="B26" s="204"/>
      <c r="C26" s="204"/>
      <c r="D26" s="204"/>
      <c r="E26" s="205"/>
      <c r="F26" s="58"/>
      <c r="G26" s="200"/>
      <c r="H26" s="201"/>
      <c r="I26" s="201"/>
      <c r="J26" s="201"/>
      <c r="K26" s="201"/>
      <c r="L26" s="202"/>
      <c r="M26" s="58"/>
      <c r="N26" s="3"/>
    </row>
    <row r="27" spans="1:15" ht="15.75" customHeight="1" x14ac:dyDescent="0.25">
      <c r="A27" s="203"/>
      <c r="B27" s="204"/>
      <c r="C27" s="204"/>
      <c r="D27" s="204"/>
      <c r="E27" s="205"/>
      <c r="F27" s="58"/>
      <c r="G27" s="200"/>
      <c r="H27" s="201"/>
      <c r="I27" s="201"/>
      <c r="J27" s="201"/>
      <c r="K27" s="201"/>
      <c r="L27" s="202"/>
      <c r="M27" s="58"/>
      <c r="N27" s="3"/>
    </row>
    <row r="28" spans="1:15" ht="15.75" hidden="1" customHeight="1" x14ac:dyDescent="0.25">
      <c r="A28" s="203"/>
      <c r="B28" s="204"/>
      <c r="C28" s="204"/>
      <c r="D28" s="204"/>
      <c r="E28" s="205"/>
      <c r="F28" s="18"/>
      <c r="G28" s="200"/>
      <c r="H28" s="201"/>
      <c r="I28" s="201"/>
      <c r="J28" s="201"/>
      <c r="K28" s="201"/>
      <c r="L28" s="202"/>
      <c r="M28" s="18"/>
      <c r="N28" s="3"/>
    </row>
    <row r="29" spans="1:15" ht="15.75" customHeight="1" x14ac:dyDescent="0.25">
      <c r="A29" s="203"/>
      <c r="B29" s="204"/>
      <c r="C29" s="204"/>
      <c r="D29" s="204"/>
      <c r="E29" s="205"/>
      <c r="F29" s="18"/>
      <c r="G29" s="82"/>
      <c r="H29" s="82"/>
      <c r="I29" s="82"/>
      <c r="J29" s="82"/>
      <c r="K29" s="82"/>
      <c r="L29" s="82"/>
      <c r="M29" s="18"/>
      <c r="N29" s="3"/>
    </row>
    <row r="30" spans="1:15" ht="15.75" customHeight="1" x14ac:dyDescent="0.25">
      <c r="A30" s="203"/>
      <c r="B30" s="204"/>
      <c r="C30" s="204"/>
      <c r="D30" s="204"/>
      <c r="E30" s="205"/>
      <c r="F30" s="18"/>
      <c r="G30" s="200"/>
      <c r="H30" s="201"/>
      <c r="I30" s="201"/>
      <c r="J30" s="201"/>
      <c r="K30" s="201"/>
      <c r="L30" s="202"/>
      <c r="M30" s="18"/>
      <c r="N30" s="3"/>
    </row>
    <row r="31" spans="1:15" ht="15.75" hidden="1" customHeight="1" x14ac:dyDescent="0.25">
      <c r="A31" s="203"/>
      <c r="B31" s="204"/>
      <c r="C31" s="204"/>
      <c r="D31" s="204"/>
      <c r="E31" s="205"/>
      <c r="F31" s="18"/>
      <c r="G31" s="200"/>
      <c r="H31" s="201"/>
      <c r="I31" s="201"/>
      <c r="J31" s="201"/>
      <c r="K31" s="201"/>
      <c r="L31" s="202"/>
      <c r="M31" s="18"/>
      <c r="N31" s="3"/>
    </row>
    <row r="32" spans="1:15" ht="15.75" hidden="1" customHeight="1" x14ac:dyDescent="0.25">
      <c r="A32" s="203"/>
      <c r="B32" s="204"/>
      <c r="C32" s="204"/>
      <c r="D32" s="204"/>
      <c r="E32" s="205"/>
      <c r="F32" s="18"/>
      <c r="G32" s="200"/>
      <c r="H32" s="201"/>
      <c r="I32" s="201"/>
      <c r="J32" s="201"/>
      <c r="K32" s="201"/>
      <c r="L32" s="202"/>
      <c r="M32" s="18"/>
      <c r="N32" s="3"/>
    </row>
    <row r="33" spans="1:15" ht="15.75" hidden="1" customHeight="1" x14ac:dyDescent="0.25">
      <c r="A33" s="203"/>
      <c r="B33" s="204"/>
      <c r="C33" s="204"/>
      <c r="D33" s="204"/>
      <c r="E33" s="205"/>
      <c r="F33" s="18"/>
      <c r="G33" s="200"/>
      <c r="H33" s="201"/>
      <c r="I33" s="201"/>
      <c r="J33" s="201"/>
      <c r="K33" s="201"/>
      <c r="L33" s="202"/>
      <c r="M33" s="18"/>
      <c r="N33" s="3"/>
    </row>
    <row r="34" spans="1:15" ht="15.75" hidden="1" customHeight="1" x14ac:dyDescent="0.25">
      <c r="A34" s="203"/>
      <c r="B34" s="204"/>
      <c r="C34" s="204"/>
      <c r="D34" s="204"/>
      <c r="E34" s="205"/>
      <c r="F34" s="18"/>
      <c r="G34" s="200"/>
      <c r="H34" s="201"/>
      <c r="I34" s="201"/>
      <c r="J34" s="201"/>
      <c r="K34" s="201"/>
      <c r="L34" s="202"/>
      <c r="M34" s="18"/>
      <c r="N34" s="3"/>
    </row>
    <row r="35" spans="1:15" ht="15.75" hidden="1" customHeight="1" x14ac:dyDescent="0.25">
      <c r="A35" s="203"/>
      <c r="B35" s="204"/>
      <c r="C35" s="204"/>
      <c r="D35" s="204"/>
      <c r="E35" s="205"/>
      <c r="F35" s="18"/>
      <c r="G35" s="200"/>
      <c r="H35" s="201"/>
      <c r="I35" s="201"/>
      <c r="J35" s="201"/>
      <c r="K35" s="201"/>
      <c r="L35" s="202"/>
      <c r="M35" s="18"/>
      <c r="N35" s="3"/>
    </row>
    <row r="36" spans="1:15" ht="15.75" hidden="1" customHeight="1" x14ac:dyDescent="0.25">
      <c r="A36" s="203"/>
      <c r="B36" s="204"/>
      <c r="C36" s="204"/>
      <c r="D36" s="204"/>
      <c r="E36" s="205"/>
      <c r="F36" s="18"/>
      <c r="G36" s="200"/>
      <c r="H36" s="201"/>
      <c r="I36" s="201"/>
      <c r="J36" s="201"/>
      <c r="K36" s="201"/>
      <c r="L36" s="202"/>
      <c r="M36" s="18"/>
      <c r="N36" s="3"/>
    </row>
    <row r="37" spans="1:15" x14ac:dyDescent="0.25">
      <c r="A37" s="206"/>
      <c r="B37" s="206"/>
      <c r="C37" s="206"/>
      <c r="D37" s="206"/>
      <c r="E37" s="206"/>
      <c r="F37" s="18"/>
      <c r="G37" s="192"/>
      <c r="H37" s="192"/>
      <c r="I37" s="192"/>
      <c r="J37" s="192"/>
      <c r="K37" s="192"/>
      <c r="L37" s="192"/>
      <c r="M37" s="18"/>
      <c r="N37" s="3"/>
    </row>
    <row r="38" spans="1:15" x14ac:dyDescent="0.25">
      <c r="A38" s="206"/>
      <c r="B38" s="206"/>
      <c r="C38" s="206"/>
      <c r="D38" s="206"/>
      <c r="E38" s="206"/>
      <c r="F38" s="18"/>
      <c r="G38" s="192"/>
      <c r="H38" s="192"/>
      <c r="I38" s="192"/>
      <c r="J38" s="192"/>
      <c r="K38" s="192"/>
      <c r="L38" s="192"/>
      <c r="M38" s="18"/>
      <c r="N38" s="3"/>
    </row>
    <row r="39" spans="1:15" x14ac:dyDescent="0.25">
      <c r="A39" s="206"/>
      <c r="B39" s="206"/>
      <c r="C39" s="206"/>
      <c r="D39" s="206"/>
      <c r="E39" s="206"/>
      <c r="F39" s="18"/>
      <c r="G39" s="192"/>
      <c r="H39" s="192"/>
      <c r="I39" s="192"/>
      <c r="J39" s="192"/>
      <c r="K39" s="192"/>
      <c r="L39" s="192"/>
      <c r="M39" s="18"/>
      <c r="N39" s="3"/>
    </row>
    <row r="40" spans="1:15" x14ac:dyDescent="0.25">
      <c r="A40" s="206"/>
      <c r="B40" s="206"/>
      <c r="C40" s="206"/>
      <c r="D40" s="206"/>
      <c r="E40" s="206"/>
      <c r="F40" s="18"/>
      <c r="G40" s="192"/>
      <c r="H40" s="192"/>
      <c r="I40" s="192"/>
      <c r="J40" s="192"/>
      <c r="K40" s="192"/>
      <c r="L40" s="192"/>
      <c r="M40" s="18"/>
      <c r="N40" s="3"/>
    </row>
    <row r="41" spans="1:15" x14ac:dyDescent="0.25">
      <c r="A41" s="206"/>
      <c r="B41" s="206"/>
      <c r="C41" s="206"/>
      <c r="D41" s="206"/>
      <c r="E41" s="206"/>
      <c r="F41" s="18"/>
      <c r="G41" s="192"/>
      <c r="H41" s="192"/>
      <c r="I41" s="192"/>
      <c r="J41" s="192"/>
      <c r="K41" s="192"/>
      <c r="L41" s="192"/>
      <c r="M41" s="18"/>
      <c r="N41" s="179">
        <v>0.29220000000000002</v>
      </c>
    </row>
    <row r="42" spans="1:15" x14ac:dyDescent="0.25">
      <c r="A42" s="206"/>
      <c r="B42" s="206"/>
      <c r="C42" s="206"/>
      <c r="D42" s="206"/>
      <c r="E42" s="206"/>
      <c r="F42" s="18"/>
      <c r="G42" s="200"/>
      <c r="H42" s="201"/>
      <c r="I42" s="201"/>
      <c r="J42" s="201"/>
      <c r="K42" s="201"/>
      <c r="L42" s="202"/>
      <c r="M42" s="18"/>
      <c r="N42" s="3"/>
    </row>
    <row r="43" spans="1:15" ht="15" customHeight="1" x14ac:dyDescent="0.25">
      <c r="A43" s="206"/>
      <c r="B43" s="206"/>
      <c r="C43" s="206"/>
      <c r="D43" s="206"/>
      <c r="E43" s="206"/>
      <c r="F43" s="18"/>
      <c r="G43" s="200"/>
      <c r="H43" s="201"/>
      <c r="I43" s="201"/>
      <c r="J43" s="201"/>
      <c r="K43" s="201"/>
      <c r="L43" s="202"/>
      <c r="M43" s="18"/>
      <c r="N43" s="3"/>
    </row>
    <row r="44" spans="1:15" ht="15.75" customHeight="1" x14ac:dyDescent="0.25">
      <c r="A44" s="197"/>
      <c r="B44" s="198"/>
      <c r="C44" s="198"/>
      <c r="D44" s="198"/>
      <c r="E44" s="199"/>
      <c r="F44" s="18"/>
      <c r="G44" s="200"/>
      <c r="H44" s="201"/>
      <c r="I44" s="201"/>
      <c r="J44" s="201"/>
      <c r="K44" s="201"/>
      <c r="L44" s="202"/>
      <c r="M44" s="18"/>
      <c r="N44" s="60">
        <f>F45+M45</f>
        <v>6.3023000000000007</v>
      </c>
      <c r="O44" s="61">
        <f>N44/86%</f>
        <v>7.328255813953489</v>
      </c>
    </row>
    <row r="45" spans="1:15" x14ac:dyDescent="0.25">
      <c r="A45" s="207" t="s">
        <v>2</v>
      </c>
      <c r="B45" s="207"/>
      <c r="C45" s="207"/>
      <c r="D45" s="207"/>
      <c r="E45" s="207"/>
      <c r="F45" s="84">
        <f>SUM(F18:F44)</f>
        <v>3.7986000000000004</v>
      </c>
      <c r="G45" s="208" t="s">
        <v>2</v>
      </c>
      <c r="H45" s="208"/>
      <c r="I45" s="208"/>
      <c r="J45" s="208"/>
      <c r="K45" s="208"/>
      <c r="L45" s="208"/>
      <c r="M45" s="84">
        <f>SUM(M18:M44)</f>
        <v>2.5036999999999998</v>
      </c>
      <c r="N45" s="3"/>
    </row>
    <row r="46" spans="1:15" x14ac:dyDescent="0.25">
      <c r="A46" s="87"/>
      <c r="B46" s="87"/>
      <c r="C46" s="87"/>
      <c r="D46" s="87"/>
      <c r="E46" s="87"/>
      <c r="F46" s="13"/>
      <c r="G46" s="13"/>
      <c r="H46" s="13"/>
      <c r="I46" s="13"/>
      <c r="J46" s="13"/>
      <c r="K46" s="13"/>
      <c r="L46" s="13"/>
      <c r="M46" s="13"/>
      <c r="N46" s="3"/>
    </row>
    <row r="47" spans="1:15" ht="12.75" customHeight="1" x14ac:dyDescent="0.25">
      <c r="A47" s="87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3"/>
    </row>
    <row r="48" spans="1:15" ht="15" customHeight="1" x14ac:dyDescent="0.25">
      <c r="A48" s="210" t="s">
        <v>117</v>
      </c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3"/>
    </row>
    <row r="49" spans="1:14" ht="60" x14ac:dyDescent="0.25">
      <c r="A49" s="206" t="s">
        <v>3</v>
      </c>
      <c r="B49" s="206"/>
      <c r="C49" s="206"/>
      <c r="D49" s="206"/>
      <c r="E49" s="206"/>
      <c r="F49" s="6" t="s">
        <v>4</v>
      </c>
      <c r="G49" s="6" t="s">
        <v>0</v>
      </c>
      <c r="H49" s="6" t="s">
        <v>74</v>
      </c>
      <c r="I49" s="6" t="s">
        <v>76</v>
      </c>
      <c r="J49" s="6" t="s">
        <v>102</v>
      </c>
      <c r="K49" s="6" t="s">
        <v>131</v>
      </c>
      <c r="L49" s="6" t="s">
        <v>80</v>
      </c>
      <c r="M49" s="13"/>
      <c r="N49" s="3"/>
    </row>
    <row r="50" spans="1:14" hidden="1" x14ac:dyDescent="0.25">
      <c r="A50" s="191"/>
      <c r="B50" s="191"/>
      <c r="C50" s="191"/>
      <c r="D50" s="191"/>
      <c r="E50" s="191"/>
      <c r="F50" s="36"/>
      <c r="G50" s="36"/>
      <c r="H50" s="36"/>
      <c r="I50" s="36"/>
      <c r="J50" s="88"/>
      <c r="K50" s="88"/>
      <c r="L50" s="88"/>
      <c r="M50" s="13"/>
      <c r="N50" s="3"/>
    </row>
    <row r="51" spans="1:14" hidden="1" x14ac:dyDescent="0.25">
      <c r="A51" s="191"/>
      <c r="B51" s="191"/>
      <c r="C51" s="191"/>
      <c r="D51" s="191"/>
      <c r="E51" s="191"/>
      <c r="F51" s="36"/>
      <c r="G51" s="36"/>
      <c r="H51" s="36"/>
      <c r="I51" s="36"/>
      <c r="J51" s="88"/>
      <c r="K51" s="88"/>
      <c r="L51" s="88"/>
      <c r="M51" s="13"/>
      <c r="N51" s="3"/>
    </row>
    <row r="52" spans="1:14" x14ac:dyDescent="0.25">
      <c r="A52" s="212">
        <v>1</v>
      </c>
      <c r="B52" s="213"/>
      <c r="C52" s="213"/>
      <c r="D52" s="213"/>
      <c r="E52" s="214"/>
      <c r="F52" s="36">
        <v>2</v>
      </c>
      <c r="G52" s="36">
        <v>3</v>
      </c>
      <c r="H52" s="36" t="s">
        <v>75</v>
      </c>
      <c r="I52" s="36" t="s">
        <v>77</v>
      </c>
      <c r="J52" s="31">
        <v>6</v>
      </c>
      <c r="K52" s="31" t="s">
        <v>79</v>
      </c>
      <c r="L52" s="31">
        <v>8</v>
      </c>
      <c r="M52" s="13"/>
      <c r="N52" s="3"/>
    </row>
    <row r="53" spans="1:14" ht="15.75" thickBot="1" x14ac:dyDescent="0.3">
      <c r="A53" s="192" t="s">
        <v>107</v>
      </c>
      <c r="B53" s="192"/>
      <c r="C53" s="192"/>
      <c r="D53" s="192"/>
      <c r="E53" s="192"/>
      <c r="F53" s="9">
        <f>H53/12/G53</f>
        <v>26502.544956140355</v>
      </c>
      <c r="G53" s="9">
        <v>3.8</v>
      </c>
      <c r="H53" s="9">
        <v>1208516.05</v>
      </c>
      <c r="I53" s="56">
        <v>1573487.89</v>
      </c>
      <c r="J53" s="12">
        <v>303</v>
      </c>
      <c r="K53" s="9">
        <f>I53/J53</f>
        <v>5193.0293399339935</v>
      </c>
      <c r="L53" s="9">
        <f>I53/5384968.83*100</f>
        <v>29.219999960519733</v>
      </c>
      <c r="M53" s="13"/>
      <c r="N53" s="3"/>
    </row>
    <row r="54" spans="1:14" ht="15.75" hidden="1" thickBot="1" x14ac:dyDescent="0.3">
      <c r="A54" s="191"/>
      <c r="B54" s="191"/>
      <c r="C54" s="191"/>
      <c r="D54" s="191"/>
      <c r="E54" s="191"/>
      <c r="F54" s="7"/>
      <c r="G54" s="7"/>
      <c r="H54" s="7"/>
      <c r="I54" s="21"/>
      <c r="J54" s="10"/>
      <c r="K54" s="21"/>
      <c r="L54" s="7"/>
      <c r="M54" s="13"/>
      <c r="N54" s="3"/>
    </row>
    <row r="55" spans="1:14" ht="15.75" thickBot="1" x14ac:dyDescent="0.3">
      <c r="A55" s="209" t="s">
        <v>81</v>
      </c>
      <c r="B55" s="209"/>
      <c r="C55" s="209"/>
      <c r="D55" s="209"/>
      <c r="E55" s="209"/>
      <c r="F55" s="89"/>
      <c r="G55" s="89"/>
      <c r="H55" s="90"/>
      <c r="I55" s="42">
        <f>I53</f>
        <v>1573487.89</v>
      </c>
      <c r="J55" s="91"/>
      <c r="K55" s="92">
        <f>K53</f>
        <v>5193.0293399339935</v>
      </c>
      <c r="L55" s="93"/>
      <c r="M55" s="137"/>
      <c r="N55" s="3"/>
    </row>
    <row r="56" spans="1:14" x14ac:dyDescent="0.25">
      <c r="A56" s="94"/>
      <c r="B56" s="94"/>
      <c r="C56" s="94"/>
      <c r="D56" s="94"/>
      <c r="E56" s="94"/>
      <c r="F56" s="95"/>
      <c r="G56" s="95"/>
      <c r="H56" s="95"/>
      <c r="I56" s="95"/>
      <c r="J56" s="96"/>
      <c r="K56" s="97"/>
      <c r="L56" s="97"/>
      <c r="M56" s="13"/>
      <c r="N56" s="3"/>
    </row>
    <row r="57" spans="1:14" ht="16.5" customHeight="1" x14ac:dyDescent="0.25">
      <c r="A57" s="94"/>
      <c r="B57" s="94"/>
      <c r="C57" s="94"/>
      <c r="D57" s="94"/>
      <c r="E57" s="94"/>
      <c r="F57" s="95"/>
      <c r="G57" s="95"/>
      <c r="H57" s="95"/>
      <c r="I57" s="95"/>
      <c r="J57" s="96"/>
      <c r="K57" s="97"/>
      <c r="L57" s="97"/>
      <c r="M57" s="13"/>
      <c r="N57" s="3"/>
    </row>
    <row r="58" spans="1:14" ht="98.25" hidden="1" customHeight="1" x14ac:dyDescent="0.25">
      <c r="A58" s="94"/>
      <c r="B58" s="94"/>
      <c r="C58" s="94"/>
      <c r="D58" s="94"/>
      <c r="E58" s="94"/>
      <c r="F58" s="66"/>
      <c r="G58" s="66"/>
      <c r="H58" s="66"/>
      <c r="I58" s="66"/>
      <c r="J58" s="66"/>
      <c r="K58" s="135"/>
      <c r="L58" s="66"/>
      <c r="M58" s="135"/>
      <c r="N58" s="3"/>
    </row>
    <row r="59" spans="1:14" hidden="1" x14ac:dyDescent="0.25">
      <c r="A59" s="239" t="s">
        <v>15</v>
      </c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  <c r="M59" s="239"/>
      <c r="N59" s="3"/>
    </row>
    <row r="60" spans="1:14" hidden="1" x14ac:dyDescent="0.25">
      <c r="A60" s="142"/>
      <c r="B60" s="142"/>
      <c r="C60" s="142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3"/>
    </row>
    <row r="61" spans="1:14" ht="80.25" hidden="1" customHeight="1" x14ac:dyDescent="0.25">
      <c r="A61" s="271" t="s">
        <v>6</v>
      </c>
      <c r="B61" s="271"/>
      <c r="C61" s="271"/>
      <c r="D61" s="271"/>
      <c r="E61" s="271"/>
      <c r="F61" s="143" t="s">
        <v>7</v>
      </c>
      <c r="G61" s="143" t="s">
        <v>8</v>
      </c>
      <c r="H61" s="143" t="s">
        <v>9</v>
      </c>
      <c r="I61" s="143" t="s">
        <v>10</v>
      </c>
      <c r="J61" s="143"/>
      <c r="K61" s="143" t="s">
        <v>11</v>
      </c>
      <c r="L61" s="143" t="s">
        <v>12</v>
      </c>
      <c r="M61" s="143" t="s">
        <v>5</v>
      </c>
      <c r="N61" s="3"/>
    </row>
    <row r="62" spans="1:14" ht="15" hidden="1" customHeight="1" x14ac:dyDescent="0.25">
      <c r="A62" s="272">
        <v>1</v>
      </c>
      <c r="B62" s="273"/>
      <c r="C62" s="273"/>
      <c r="D62" s="273"/>
      <c r="E62" s="274"/>
      <c r="F62" s="143">
        <v>2</v>
      </c>
      <c r="G62" s="143">
        <v>3</v>
      </c>
      <c r="H62" s="143">
        <v>4</v>
      </c>
      <c r="I62" s="143" t="s">
        <v>59</v>
      </c>
      <c r="J62" s="143"/>
      <c r="K62" s="143">
        <v>6</v>
      </c>
      <c r="L62" s="143">
        <v>7</v>
      </c>
      <c r="M62" s="143" t="s">
        <v>60</v>
      </c>
      <c r="N62" s="3"/>
    </row>
    <row r="63" spans="1:14" ht="15" hidden="1" customHeight="1" x14ac:dyDescent="0.25">
      <c r="A63" s="267" t="s">
        <v>62</v>
      </c>
      <c r="B63" s="267"/>
      <c r="C63" s="267"/>
      <c r="D63" s="267"/>
      <c r="E63" s="267"/>
      <c r="F63" s="144" t="s">
        <v>13</v>
      </c>
      <c r="G63" s="143">
        <v>7</v>
      </c>
      <c r="H63" s="144">
        <v>10</v>
      </c>
      <c r="I63" s="145">
        <f>G63/H63</f>
        <v>0.7</v>
      </c>
      <c r="J63" s="145"/>
      <c r="K63" s="143">
        <v>20</v>
      </c>
      <c r="L63" s="146">
        <v>7100</v>
      </c>
      <c r="M63" s="146">
        <f>I63*L63</f>
        <v>4970</v>
      </c>
      <c r="N63" s="3"/>
    </row>
    <row r="64" spans="1:14" ht="15" hidden="1" customHeight="1" x14ac:dyDescent="0.25">
      <c r="A64" s="267" t="s">
        <v>63</v>
      </c>
      <c r="B64" s="267"/>
      <c r="C64" s="267"/>
      <c r="D64" s="267"/>
      <c r="E64" s="267"/>
      <c r="F64" s="144" t="s">
        <v>13</v>
      </c>
      <c r="G64" s="143">
        <v>1</v>
      </c>
      <c r="H64" s="144">
        <v>10</v>
      </c>
      <c r="I64" s="145">
        <f t="shared" ref="I64:I80" si="0">G64/H64</f>
        <v>0.1</v>
      </c>
      <c r="J64" s="145"/>
      <c r="K64" s="143">
        <v>20</v>
      </c>
      <c r="L64" s="146">
        <v>538700</v>
      </c>
      <c r="M64" s="146">
        <f t="shared" ref="M64:M81" si="1">I64*L64</f>
        <v>53870</v>
      </c>
      <c r="N64" s="3"/>
    </row>
    <row r="65" spans="1:14" ht="15" hidden="1" customHeight="1" x14ac:dyDescent="0.25">
      <c r="A65" s="267" t="s">
        <v>64</v>
      </c>
      <c r="B65" s="267"/>
      <c r="C65" s="267"/>
      <c r="D65" s="267"/>
      <c r="E65" s="267"/>
      <c r="F65" s="144" t="s">
        <v>13</v>
      </c>
      <c r="G65" s="143">
        <v>1</v>
      </c>
      <c r="H65" s="144">
        <v>10</v>
      </c>
      <c r="I65" s="145">
        <f t="shared" si="0"/>
        <v>0.1</v>
      </c>
      <c r="J65" s="145"/>
      <c r="K65" s="143">
        <v>20</v>
      </c>
      <c r="L65" s="146">
        <v>380000</v>
      </c>
      <c r="M65" s="146">
        <f t="shared" si="1"/>
        <v>38000</v>
      </c>
      <c r="N65" s="3"/>
    </row>
    <row r="66" spans="1:14" ht="12.75" hidden="1" customHeight="1" x14ac:dyDescent="0.25">
      <c r="A66" s="267"/>
      <c r="B66" s="267"/>
      <c r="C66" s="267"/>
      <c r="D66" s="267"/>
      <c r="E66" s="267"/>
      <c r="F66" s="144" t="s">
        <v>13</v>
      </c>
      <c r="G66" s="143"/>
      <c r="H66" s="144">
        <v>10</v>
      </c>
      <c r="I66" s="145">
        <f t="shared" si="0"/>
        <v>0</v>
      </c>
      <c r="J66" s="145"/>
      <c r="K66" s="143"/>
      <c r="L66" s="146"/>
      <c r="M66" s="146">
        <f t="shared" si="1"/>
        <v>0</v>
      </c>
      <c r="N66" s="3"/>
    </row>
    <row r="67" spans="1:14" ht="15" hidden="1" customHeight="1" x14ac:dyDescent="0.25">
      <c r="A67" s="267"/>
      <c r="B67" s="267"/>
      <c r="C67" s="267"/>
      <c r="D67" s="267"/>
      <c r="E67" s="267"/>
      <c r="F67" s="144" t="s">
        <v>13</v>
      </c>
      <c r="G67" s="143"/>
      <c r="H67" s="144">
        <v>10</v>
      </c>
      <c r="I67" s="145">
        <f t="shared" si="0"/>
        <v>0</v>
      </c>
      <c r="J67" s="145"/>
      <c r="K67" s="143"/>
      <c r="L67" s="146"/>
      <c r="M67" s="146">
        <f t="shared" si="1"/>
        <v>0</v>
      </c>
      <c r="N67" s="3"/>
    </row>
    <row r="68" spans="1:14" ht="15" hidden="1" customHeight="1" x14ac:dyDescent="0.25">
      <c r="A68" s="268"/>
      <c r="B68" s="269"/>
      <c r="C68" s="269"/>
      <c r="D68" s="269"/>
      <c r="E68" s="270"/>
      <c r="F68" s="144" t="s">
        <v>13</v>
      </c>
      <c r="G68" s="143"/>
      <c r="H68" s="144">
        <v>10</v>
      </c>
      <c r="I68" s="145">
        <f t="shared" si="0"/>
        <v>0</v>
      </c>
      <c r="J68" s="145"/>
      <c r="K68" s="143"/>
      <c r="L68" s="146"/>
      <c r="M68" s="146">
        <f t="shared" si="1"/>
        <v>0</v>
      </c>
      <c r="N68" s="3"/>
    </row>
    <row r="69" spans="1:14" ht="15" hidden="1" customHeight="1" x14ac:dyDescent="0.25">
      <c r="A69" s="268"/>
      <c r="B69" s="269"/>
      <c r="C69" s="269"/>
      <c r="D69" s="269"/>
      <c r="E69" s="270"/>
      <c r="F69" s="144" t="s">
        <v>13</v>
      </c>
      <c r="G69" s="143"/>
      <c r="H69" s="144">
        <v>10</v>
      </c>
      <c r="I69" s="145">
        <f t="shared" si="0"/>
        <v>0</v>
      </c>
      <c r="J69" s="145"/>
      <c r="K69" s="143"/>
      <c r="L69" s="146"/>
      <c r="M69" s="146">
        <f t="shared" si="1"/>
        <v>0</v>
      </c>
      <c r="N69" s="3"/>
    </row>
    <row r="70" spans="1:14" ht="15" hidden="1" customHeight="1" x14ac:dyDescent="0.25">
      <c r="A70" s="268"/>
      <c r="B70" s="269"/>
      <c r="C70" s="269"/>
      <c r="D70" s="269"/>
      <c r="E70" s="270"/>
      <c r="F70" s="144" t="s">
        <v>13</v>
      </c>
      <c r="G70" s="143"/>
      <c r="H70" s="144">
        <v>10</v>
      </c>
      <c r="I70" s="145">
        <f t="shared" si="0"/>
        <v>0</v>
      </c>
      <c r="J70" s="145"/>
      <c r="K70" s="143"/>
      <c r="L70" s="146"/>
      <c r="M70" s="146">
        <f t="shared" si="1"/>
        <v>0</v>
      </c>
      <c r="N70" s="3"/>
    </row>
    <row r="71" spans="1:14" ht="15" hidden="1" customHeight="1" x14ac:dyDescent="0.25">
      <c r="A71" s="268"/>
      <c r="B71" s="269"/>
      <c r="C71" s="269"/>
      <c r="D71" s="269"/>
      <c r="E71" s="270"/>
      <c r="F71" s="144" t="s">
        <v>13</v>
      </c>
      <c r="G71" s="143"/>
      <c r="H71" s="144">
        <v>10</v>
      </c>
      <c r="I71" s="145">
        <f t="shared" si="0"/>
        <v>0</v>
      </c>
      <c r="J71" s="145"/>
      <c r="K71" s="143"/>
      <c r="L71" s="146"/>
      <c r="M71" s="146">
        <f t="shared" si="1"/>
        <v>0</v>
      </c>
      <c r="N71" s="3"/>
    </row>
    <row r="72" spans="1:14" ht="15" hidden="1" customHeight="1" x14ac:dyDescent="0.25">
      <c r="A72" s="268"/>
      <c r="B72" s="269"/>
      <c r="C72" s="269"/>
      <c r="D72" s="269"/>
      <c r="E72" s="270"/>
      <c r="F72" s="144" t="s">
        <v>13</v>
      </c>
      <c r="G72" s="143"/>
      <c r="H72" s="144">
        <v>10</v>
      </c>
      <c r="I72" s="145">
        <f t="shared" si="0"/>
        <v>0</v>
      </c>
      <c r="J72" s="145"/>
      <c r="K72" s="143"/>
      <c r="L72" s="146"/>
      <c r="M72" s="146">
        <f t="shared" si="1"/>
        <v>0</v>
      </c>
      <c r="N72" s="3"/>
    </row>
    <row r="73" spans="1:14" hidden="1" x14ac:dyDescent="0.25">
      <c r="A73" s="275"/>
      <c r="B73" s="276"/>
      <c r="C73" s="276"/>
      <c r="D73" s="276"/>
      <c r="E73" s="277"/>
      <c r="F73" s="144" t="s">
        <v>13</v>
      </c>
      <c r="G73" s="144"/>
      <c r="H73" s="144">
        <v>10</v>
      </c>
      <c r="I73" s="145">
        <f t="shared" si="0"/>
        <v>0</v>
      </c>
      <c r="J73" s="145"/>
      <c r="K73" s="144"/>
      <c r="L73" s="147"/>
      <c r="M73" s="146">
        <f t="shared" si="1"/>
        <v>0</v>
      </c>
      <c r="N73" s="3"/>
    </row>
    <row r="74" spans="1:14" hidden="1" x14ac:dyDescent="0.25">
      <c r="A74" s="275"/>
      <c r="B74" s="276"/>
      <c r="C74" s="276"/>
      <c r="D74" s="276"/>
      <c r="E74" s="277"/>
      <c r="F74" s="144" t="s">
        <v>13</v>
      </c>
      <c r="G74" s="144"/>
      <c r="H74" s="144">
        <v>10</v>
      </c>
      <c r="I74" s="145">
        <f t="shared" si="0"/>
        <v>0</v>
      </c>
      <c r="J74" s="145"/>
      <c r="K74" s="144"/>
      <c r="L74" s="147"/>
      <c r="M74" s="146">
        <f t="shared" si="1"/>
        <v>0</v>
      </c>
      <c r="N74" s="3"/>
    </row>
    <row r="75" spans="1:14" hidden="1" x14ac:dyDescent="0.25">
      <c r="A75" s="275"/>
      <c r="B75" s="276"/>
      <c r="C75" s="276"/>
      <c r="D75" s="276"/>
      <c r="E75" s="277"/>
      <c r="F75" s="144" t="s">
        <v>13</v>
      </c>
      <c r="G75" s="144"/>
      <c r="H75" s="144">
        <v>10</v>
      </c>
      <c r="I75" s="145">
        <f t="shared" si="0"/>
        <v>0</v>
      </c>
      <c r="J75" s="145"/>
      <c r="K75" s="144"/>
      <c r="L75" s="147"/>
      <c r="M75" s="146">
        <f t="shared" si="1"/>
        <v>0</v>
      </c>
      <c r="N75" s="3"/>
    </row>
    <row r="76" spans="1:14" hidden="1" x14ac:dyDescent="0.25">
      <c r="A76" s="275"/>
      <c r="B76" s="276"/>
      <c r="C76" s="276"/>
      <c r="D76" s="276"/>
      <c r="E76" s="277"/>
      <c r="F76" s="144" t="s">
        <v>13</v>
      </c>
      <c r="G76" s="144"/>
      <c r="H76" s="144">
        <v>10</v>
      </c>
      <c r="I76" s="145">
        <f t="shared" si="0"/>
        <v>0</v>
      </c>
      <c r="J76" s="145"/>
      <c r="K76" s="144"/>
      <c r="L76" s="147"/>
      <c r="M76" s="146">
        <f t="shared" si="1"/>
        <v>0</v>
      </c>
      <c r="N76" s="3"/>
    </row>
    <row r="77" spans="1:14" hidden="1" x14ac:dyDescent="0.25">
      <c r="A77" s="275"/>
      <c r="B77" s="276"/>
      <c r="C77" s="276"/>
      <c r="D77" s="276"/>
      <c r="E77" s="277"/>
      <c r="F77" s="144" t="s">
        <v>13</v>
      </c>
      <c r="G77" s="144"/>
      <c r="H77" s="144">
        <v>10</v>
      </c>
      <c r="I77" s="145">
        <f t="shared" si="0"/>
        <v>0</v>
      </c>
      <c r="J77" s="145"/>
      <c r="K77" s="144"/>
      <c r="L77" s="147"/>
      <c r="M77" s="146">
        <f t="shared" si="1"/>
        <v>0</v>
      </c>
      <c r="N77" s="3"/>
    </row>
    <row r="78" spans="1:14" hidden="1" x14ac:dyDescent="0.25">
      <c r="A78" s="275"/>
      <c r="B78" s="276"/>
      <c r="C78" s="276"/>
      <c r="D78" s="276"/>
      <c r="E78" s="277"/>
      <c r="F78" s="144" t="s">
        <v>13</v>
      </c>
      <c r="G78" s="144"/>
      <c r="H78" s="144">
        <v>10</v>
      </c>
      <c r="I78" s="145">
        <f t="shared" si="0"/>
        <v>0</v>
      </c>
      <c r="J78" s="145"/>
      <c r="K78" s="144"/>
      <c r="L78" s="147"/>
      <c r="M78" s="146">
        <f t="shared" si="1"/>
        <v>0</v>
      </c>
      <c r="N78" s="3"/>
    </row>
    <row r="79" spans="1:14" hidden="1" x14ac:dyDescent="0.25">
      <c r="A79" s="275"/>
      <c r="B79" s="276"/>
      <c r="C79" s="276"/>
      <c r="D79" s="276"/>
      <c r="E79" s="277"/>
      <c r="F79" s="144" t="s">
        <v>13</v>
      </c>
      <c r="G79" s="144"/>
      <c r="H79" s="144">
        <v>10</v>
      </c>
      <c r="I79" s="145">
        <f t="shared" si="0"/>
        <v>0</v>
      </c>
      <c r="J79" s="145"/>
      <c r="K79" s="144"/>
      <c r="L79" s="147"/>
      <c r="M79" s="146">
        <f t="shared" si="1"/>
        <v>0</v>
      </c>
      <c r="N79" s="3"/>
    </row>
    <row r="80" spans="1:14" hidden="1" x14ac:dyDescent="0.25">
      <c r="A80" s="275"/>
      <c r="B80" s="276"/>
      <c r="C80" s="276"/>
      <c r="D80" s="276"/>
      <c r="E80" s="277"/>
      <c r="F80" s="144" t="s">
        <v>13</v>
      </c>
      <c r="G80" s="144"/>
      <c r="H80" s="144">
        <v>10</v>
      </c>
      <c r="I80" s="145">
        <f t="shared" si="0"/>
        <v>0</v>
      </c>
      <c r="J80" s="145"/>
      <c r="K80" s="144"/>
      <c r="L80" s="147"/>
      <c r="M80" s="146">
        <f t="shared" si="1"/>
        <v>0</v>
      </c>
      <c r="N80" s="3"/>
    </row>
    <row r="81" spans="1:17" hidden="1" x14ac:dyDescent="0.25">
      <c r="A81" s="278" t="s">
        <v>170</v>
      </c>
      <c r="B81" s="278"/>
      <c r="C81" s="278"/>
      <c r="D81" s="278"/>
      <c r="E81" s="278"/>
      <c r="F81" s="144"/>
      <c r="G81" s="144"/>
      <c r="H81" s="144"/>
      <c r="I81" s="148"/>
      <c r="J81" s="148"/>
      <c r="K81" s="144"/>
      <c r="L81" s="147"/>
      <c r="M81" s="147">
        <f t="shared" si="1"/>
        <v>0</v>
      </c>
      <c r="N81" s="3"/>
    </row>
    <row r="82" spans="1:17" ht="57" hidden="1" customHeight="1" x14ac:dyDescent="0.25">
      <c r="A82" s="279" t="s">
        <v>14</v>
      </c>
      <c r="B82" s="280"/>
      <c r="C82" s="280"/>
      <c r="D82" s="280"/>
      <c r="E82" s="280"/>
      <c r="F82" s="280"/>
      <c r="G82" s="280"/>
      <c r="H82" s="280"/>
      <c r="I82" s="280"/>
      <c r="J82" s="280"/>
      <c r="K82" s="280"/>
      <c r="L82" s="281"/>
      <c r="M82" s="147">
        <f>M81+M65+M64+M63</f>
        <v>96840</v>
      </c>
      <c r="N82" s="3"/>
    </row>
    <row r="83" spans="1:17" ht="15" customHeight="1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3"/>
    </row>
    <row r="84" spans="1:17" x14ac:dyDescent="0.25">
      <c r="A84" s="218" t="s">
        <v>16</v>
      </c>
      <c r="B84" s="218"/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3"/>
    </row>
    <row r="85" spans="1:17" x14ac:dyDescent="0.25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3"/>
    </row>
    <row r="86" spans="1:17" ht="30.75" hidden="1" customHeight="1" x14ac:dyDescent="0.25">
      <c r="A86" s="219"/>
      <c r="B86" s="219"/>
      <c r="C86" s="219"/>
      <c r="D86" s="219"/>
      <c r="E86" s="219"/>
      <c r="F86" s="219"/>
      <c r="G86" s="219"/>
      <c r="H86" s="219"/>
      <c r="I86" s="219"/>
      <c r="J86" s="219"/>
      <c r="K86" s="219"/>
      <c r="L86" s="219"/>
      <c r="M86" s="5"/>
      <c r="N86" s="3"/>
    </row>
    <row r="87" spans="1:17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3"/>
    </row>
    <row r="88" spans="1:17" ht="73.5" customHeight="1" x14ac:dyDescent="0.25">
      <c r="A88" s="206" t="s">
        <v>17</v>
      </c>
      <c r="B88" s="206"/>
      <c r="C88" s="206"/>
      <c r="D88" s="206"/>
      <c r="E88" s="206"/>
      <c r="F88" s="6" t="s">
        <v>7</v>
      </c>
      <c r="G88" s="6" t="s">
        <v>90</v>
      </c>
      <c r="H88" s="6" t="s">
        <v>71</v>
      </c>
      <c r="I88" s="6" t="s">
        <v>82</v>
      </c>
      <c r="J88" s="6" t="s">
        <v>102</v>
      </c>
      <c r="K88" s="6" t="s">
        <v>131</v>
      </c>
      <c r="L88" s="13"/>
      <c r="M88" s="13"/>
      <c r="N88" s="3"/>
    </row>
    <row r="89" spans="1:17" ht="18.75" customHeight="1" x14ac:dyDescent="0.25">
      <c r="A89" s="220">
        <v>1</v>
      </c>
      <c r="B89" s="221"/>
      <c r="C89" s="221"/>
      <c r="D89" s="221"/>
      <c r="E89" s="222"/>
      <c r="F89" s="6">
        <v>2</v>
      </c>
      <c r="G89" s="6">
        <v>3</v>
      </c>
      <c r="H89" s="26">
        <v>4</v>
      </c>
      <c r="I89" s="26">
        <v>5</v>
      </c>
      <c r="J89" s="99">
        <v>6</v>
      </c>
      <c r="K89" s="99" t="s">
        <v>79</v>
      </c>
      <c r="L89" s="13"/>
      <c r="M89" s="100"/>
      <c r="N89" s="3"/>
    </row>
    <row r="90" spans="1:17" x14ac:dyDescent="0.25">
      <c r="A90" s="227" t="s">
        <v>23</v>
      </c>
      <c r="B90" s="227"/>
      <c r="C90" s="227"/>
      <c r="D90" s="227"/>
      <c r="E90" s="227"/>
      <c r="F90" s="7" t="s">
        <v>26</v>
      </c>
      <c r="G90" s="10">
        <f>I90/H90</f>
        <v>2.0478101248581155</v>
      </c>
      <c r="H90" s="9">
        <v>8457.6</v>
      </c>
      <c r="I90" s="9">
        <f>59272.96*N41</f>
        <v>17319.558912</v>
      </c>
      <c r="J90" s="12">
        <v>303</v>
      </c>
      <c r="K90" s="9">
        <f>I90/J90</f>
        <v>57.160260435643565</v>
      </c>
      <c r="L90" s="13"/>
      <c r="M90" s="66"/>
      <c r="N90" s="9"/>
      <c r="Q90">
        <v>5702.59</v>
      </c>
    </row>
    <row r="91" spans="1:17" x14ac:dyDescent="0.25">
      <c r="A91" s="227" t="s">
        <v>24</v>
      </c>
      <c r="B91" s="227"/>
      <c r="C91" s="227"/>
      <c r="D91" s="227"/>
      <c r="E91" s="227"/>
      <c r="F91" s="7" t="s">
        <v>27</v>
      </c>
      <c r="G91" s="10">
        <f>I91/H91</f>
        <v>55.330377191331998</v>
      </c>
      <c r="H91" s="9">
        <v>1849.56</v>
      </c>
      <c r="I91" s="9">
        <f>350228.79*N41</f>
        <v>102336.852438</v>
      </c>
      <c r="J91" s="12">
        <v>303</v>
      </c>
      <c r="K91" s="9">
        <f>I91/J91</f>
        <v>337.74538758415844</v>
      </c>
      <c r="L91" s="13"/>
      <c r="M91" s="13"/>
      <c r="N91" s="14"/>
      <c r="Q91">
        <v>8442.66</v>
      </c>
    </row>
    <row r="92" spans="1:17" x14ac:dyDescent="0.25">
      <c r="A92" s="227" t="s">
        <v>83</v>
      </c>
      <c r="B92" s="227"/>
      <c r="C92" s="227"/>
      <c r="D92" s="227"/>
      <c r="E92" s="227"/>
      <c r="F92" s="7" t="s">
        <v>28</v>
      </c>
      <c r="G92" s="10">
        <f>I92/H92</f>
        <v>37.185889756750726</v>
      </c>
      <c r="H92" s="9">
        <v>44.81</v>
      </c>
      <c r="I92" s="9">
        <f>5702.6*N41</f>
        <v>1666.2997200000002</v>
      </c>
      <c r="J92" s="12">
        <v>303</v>
      </c>
      <c r="K92" s="9">
        <f>I92/J92</f>
        <v>5.4993390099009911</v>
      </c>
      <c r="L92" s="13"/>
      <c r="M92" s="13"/>
      <c r="N92" s="13"/>
    </row>
    <row r="93" spans="1:17" x14ac:dyDescent="0.25">
      <c r="A93" s="228" t="s">
        <v>25</v>
      </c>
      <c r="B93" s="228"/>
      <c r="C93" s="228"/>
      <c r="D93" s="228"/>
      <c r="E93" s="228"/>
      <c r="F93" s="21" t="s">
        <v>28</v>
      </c>
      <c r="G93" s="10">
        <f>I93/H93</f>
        <v>37.801975789151093</v>
      </c>
      <c r="H93" s="14">
        <v>65.260000000000005</v>
      </c>
      <c r="I93" s="14">
        <f>8442.7*N41</f>
        <v>2466.9569400000005</v>
      </c>
      <c r="J93" s="12">
        <v>303</v>
      </c>
      <c r="K93" s="14">
        <f>I93/J93</f>
        <v>8.1417720792079216</v>
      </c>
      <c r="L93" s="13"/>
      <c r="M93" s="13"/>
      <c r="N93" s="13"/>
    </row>
    <row r="94" spans="1:17" ht="15.75" thickBot="1" x14ac:dyDescent="0.3">
      <c r="A94" s="228" t="s">
        <v>162</v>
      </c>
      <c r="B94" s="228"/>
      <c r="C94" s="228"/>
      <c r="D94" s="228"/>
      <c r="E94" s="228"/>
      <c r="F94" s="21"/>
      <c r="G94" s="10">
        <f>I94/H94</f>
        <v>4.4990748288095048</v>
      </c>
      <c r="H94" s="14">
        <v>1212.0999999999999</v>
      </c>
      <c r="I94" s="14">
        <f>18663*N41</f>
        <v>5453.3286000000007</v>
      </c>
      <c r="J94" s="12">
        <v>303</v>
      </c>
      <c r="K94" s="14">
        <f>I94/J94</f>
        <v>17.997784158415843</v>
      </c>
      <c r="L94" s="13"/>
      <c r="M94" s="13"/>
      <c r="N94" s="13"/>
    </row>
    <row r="95" spans="1:17" ht="15.75" thickBot="1" x14ac:dyDescent="0.3">
      <c r="A95" s="229" t="s">
        <v>29</v>
      </c>
      <c r="B95" s="230"/>
      <c r="C95" s="230"/>
      <c r="D95" s="230"/>
      <c r="E95" s="231"/>
      <c r="F95" s="22"/>
      <c r="G95" s="22"/>
      <c r="H95" s="22"/>
      <c r="I95" s="42">
        <f>SUM(I90:I94)</f>
        <v>129242.99661</v>
      </c>
      <c r="J95" s="15"/>
      <c r="K95" s="24">
        <f>SUM(K90:K94)</f>
        <v>426.54454326732679</v>
      </c>
      <c r="L95" s="13"/>
      <c r="M95" s="13"/>
      <c r="N95" s="16">
        <f>I95/88.1%</f>
        <v>146700.33667423384</v>
      </c>
    </row>
    <row r="96" spans="1:17" x14ac:dyDescent="0.25">
      <c r="A96" s="218" t="s">
        <v>30</v>
      </c>
      <c r="B96" s="218"/>
      <c r="C96" s="218"/>
      <c r="D96" s="218"/>
      <c r="E96" s="218"/>
      <c r="F96" s="218"/>
      <c r="G96" s="218"/>
      <c r="H96" s="218"/>
      <c r="I96" s="218"/>
      <c r="J96" s="218"/>
      <c r="K96" s="218"/>
      <c r="L96" s="218"/>
      <c r="M96" s="218"/>
      <c r="N96" s="3"/>
    </row>
    <row r="97" spans="1:14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3"/>
    </row>
    <row r="98" spans="1:14" ht="60" x14ac:dyDescent="0.25">
      <c r="A98" s="223" t="s">
        <v>32</v>
      </c>
      <c r="B98" s="223"/>
      <c r="C98" s="223"/>
      <c r="D98" s="223"/>
      <c r="E98" s="223"/>
      <c r="F98" s="26" t="s">
        <v>7</v>
      </c>
      <c r="G98" s="26" t="s">
        <v>18</v>
      </c>
      <c r="H98" s="8" t="s">
        <v>85</v>
      </c>
      <c r="I98" s="6" t="s">
        <v>82</v>
      </c>
      <c r="J98" s="6" t="s">
        <v>102</v>
      </c>
      <c r="K98" s="6" t="s">
        <v>131</v>
      </c>
      <c r="L98" s="13"/>
      <c r="M98" s="13"/>
      <c r="N98" s="3"/>
    </row>
    <row r="99" spans="1:14" x14ac:dyDescent="0.25">
      <c r="A99" s="196" t="s">
        <v>161</v>
      </c>
      <c r="B99" s="196"/>
      <c r="C99" s="196"/>
      <c r="D99" s="196"/>
      <c r="E99" s="196"/>
      <c r="F99" s="18" t="s">
        <v>31</v>
      </c>
      <c r="G99" s="18">
        <v>1</v>
      </c>
      <c r="H99" s="54">
        <v>3027.85</v>
      </c>
      <c r="I99" s="9">
        <f>36334.2*$N$4</f>
        <v>10616.85324</v>
      </c>
      <c r="J99" s="12">
        <v>303</v>
      </c>
      <c r="K99" s="23">
        <f t="shared" ref="K99:K104" si="2">I99/J99</f>
        <v>35.039119603960394</v>
      </c>
      <c r="L99" s="13"/>
      <c r="M99" s="13"/>
      <c r="N99" s="13"/>
    </row>
    <row r="100" spans="1:14" ht="36.6" customHeight="1" x14ac:dyDescent="0.25">
      <c r="A100" s="232" t="s">
        <v>109</v>
      </c>
      <c r="B100" s="232"/>
      <c r="C100" s="232"/>
      <c r="D100" s="232"/>
      <c r="E100" s="233"/>
      <c r="F100" s="18" t="s">
        <v>31</v>
      </c>
      <c r="G100" s="18">
        <v>1</v>
      </c>
      <c r="H100" s="55"/>
      <c r="I100" s="101">
        <f>10000*N41</f>
        <v>2922</v>
      </c>
      <c r="J100" s="12">
        <v>303</v>
      </c>
      <c r="K100" s="23">
        <f t="shared" si="2"/>
        <v>9.6435643564356432</v>
      </c>
      <c r="L100" s="13"/>
      <c r="M100" s="97"/>
      <c r="N100" s="13"/>
    </row>
    <row r="101" spans="1:14" ht="15" customHeight="1" x14ac:dyDescent="0.25">
      <c r="A101" s="224" t="s">
        <v>110</v>
      </c>
      <c r="B101" s="225"/>
      <c r="C101" s="225"/>
      <c r="D101" s="225"/>
      <c r="E101" s="226"/>
      <c r="F101" s="18" t="s">
        <v>31</v>
      </c>
      <c r="G101" s="18">
        <v>1</v>
      </c>
      <c r="H101" s="54"/>
      <c r="I101" s="9">
        <f>6500*N41</f>
        <v>1899.3000000000002</v>
      </c>
      <c r="J101" s="12">
        <v>303</v>
      </c>
      <c r="K101" s="23">
        <f t="shared" si="2"/>
        <v>6.268316831683169</v>
      </c>
      <c r="L101" s="13"/>
      <c r="M101" s="13"/>
      <c r="N101" s="13"/>
    </row>
    <row r="102" spans="1:14" x14ac:dyDescent="0.25">
      <c r="A102" s="175" t="s">
        <v>111</v>
      </c>
      <c r="B102" s="176"/>
      <c r="C102" s="176"/>
      <c r="D102" s="176"/>
      <c r="E102" s="177"/>
      <c r="F102" s="18" t="s">
        <v>31</v>
      </c>
      <c r="G102" s="18">
        <v>1</v>
      </c>
      <c r="H102" s="54"/>
      <c r="I102" s="9">
        <f>10000*N41</f>
        <v>2922</v>
      </c>
      <c r="J102" s="12">
        <v>303</v>
      </c>
      <c r="K102" s="23">
        <f t="shared" si="2"/>
        <v>9.6435643564356432</v>
      </c>
      <c r="L102" s="13"/>
      <c r="M102" s="13"/>
      <c r="N102" s="13"/>
    </row>
    <row r="103" spans="1:14" x14ac:dyDescent="0.25">
      <c r="A103" s="196" t="s">
        <v>112</v>
      </c>
      <c r="B103" s="196"/>
      <c r="C103" s="196"/>
      <c r="D103" s="196"/>
      <c r="E103" s="196"/>
      <c r="F103" s="18" t="s">
        <v>31</v>
      </c>
      <c r="G103" s="18">
        <v>1</v>
      </c>
      <c r="H103" s="54">
        <v>500</v>
      </c>
      <c r="I103" s="14">
        <f>6000*N41</f>
        <v>1753.2</v>
      </c>
      <c r="J103" s="12">
        <v>303</v>
      </c>
      <c r="K103" s="23">
        <f>I103/J103</f>
        <v>5.7861386138613859</v>
      </c>
      <c r="L103" s="13"/>
      <c r="M103" s="13"/>
      <c r="N103" s="13"/>
    </row>
    <row r="104" spans="1:14" s="1" customFormat="1" ht="15.75" thickBot="1" x14ac:dyDescent="0.3">
      <c r="A104" s="215" t="s">
        <v>116</v>
      </c>
      <c r="B104" s="216"/>
      <c r="C104" s="216"/>
      <c r="D104" s="216"/>
      <c r="E104" s="217"/>
      <c r="F104" s="18" t="s">
        <v>31</v>
      </c>
      <c r="G104" s="18">
        <v>1</v>
      </c>
      <c r="H104" s="54">
        <v>1500</v>
      </c>
      <c r="I104" s="14">
        <f>18000*N41</f>
        <v>5259.6</v>
      </c>
      <c r="J104" s="12">
        <v>303</v>
      </c>
      <c r="K104" s="23">
        <f t="shared" si="2"/>
        <v>17.358415841584158</v>
      </c>
      <c r="L104" s="86"/>
      <c r="M104" s="86"/>
      <c r="N104" s="86"/>
    </row>
    <row r="105" spans="1:14" ht="15.75" thickBot="1" x14ac:dyDescent="0.3">
      <c r="A105" s="68" t="s">
        <v>89</v>
      </c>
      <c r="B105" s="69"/>
      <c r="C105" s="69"/>
      <c r="D105" s="69"/>
      <c r="E105" s="69"/>
      <c r="F105" s="69"/>
      <c r="G105" s="69"/>
      <c r="H105" s="69"/>
      <c r="I105" s="102">
        <f>SUM(I99:I104)</f>
        <v>25372.953240000003</v>
      </c>
      <c r="J105" s="13"/>
      <c r="K105" s="92">
        <f>SUM(K99:K104)</f>
        <v>83.73911960396039</v>
      </c>
      <c r="L105" s="13"/>
      <c r="M105" s="13"/>
      <c r="N105" s="16">
        <f>I105/88.1%</f>
        <v>28800.173938706022</v>
      </c>
    </row>
    <row r="106" spans="1:14" ht="28.5" customHeight="1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3"/>
    </row>
    <row r="107" spans="1:14" x14ac:dyDescent="0.25">
      <c r="A107" s="218" t="s">
        <v>84</v>
      </c>
      <c r="B107" s="218"/>
      <c r="C107" s="218"/>
      <c r="D107" s="218"/>
      <c r="E107" s="218"/>
      <c r="F107" s="218"/>
      <c r="G107" s="218"/>
      <c r="H107" s="218"/>
      <c r="I107" s="218"/>
      <c r="J107" s="218"/>
      <c r="K107" s="218"/>
      <c r="L107" s="218"/>
      <c r="M107" s="218"/>
      <c r="N107" s="3"/>
    </row>
    <row r="108" spans="1:14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3"/>
    </row>
    <row r="109" spans="1:14" ht="60" x14ac:dyDescent="0.25">
      <c r="A109" s="206" t="s">
        <v>32</v>
      </c>
      <c r="B109" s="206"/>
      <c r="C109" s="206"/>
      <c r="D109" s="206"/>
      <c r="E109" s="206"/>
      <c r="F109" s="6" t="s">
        <v>92</v>
      </c>
      <c r="G109" s="6" t="s">
        <v>22</v>
      </c>
      <c r="H109" s="6" t="s">
        <v>82</v>
      </c>
      <c r="I109" s="6" t="s">
        <v>102</v>
      </c>
      <c r="J109" s="6" t="s">
        <v>131</v>
      </c>
      <c r="K109" s="13"/>
      <c r="L109" s="13"/>
      <c r="M109" s="13"/>
      <c r="N109" s="3"/>
    </row>
    <row r="110" spans="1:14" ht="18" customHeight="1" x14ac:dyDescent="0.25">
      <c r="A110" s="200" t="s">
        <v>113</v>
      </c>
      <c r="B110" s="201"/>
      <c r="C110" s="201"/>
      <c r="D110" s="201"/>
      <c r="E110" s="202"/>
      <c r="F110" s="6">
        <v>4</v>
      </c>
      <c r="G110" s="26">
        <v>4500</v>
      </c>
      <c r="H110" s="103">
        <f>18000*N41</f>
        <v>5259.6</v>
      </c>
      <c r="I110" s="12">
        <v>303</v>
      </c>
      <c r="J110" s="19">
        <f>H110/I110</f>
        <v>17.358415841584158</v>
      </c>
      <c r="K110" s="13"/>
      <c r="L110" s="13"/>
      <c r="M110" s="13"/>
      <c r="N110" s="13"/>
    </row>
    <row r="111" spans="1:14" ht="20.25" customHeight="1" x14ac:dyDescent="0.25">
      <c r="A111" s="192" t="s">
        <v>114</v>
      </c>
      <c r="B111" s="192"/>
      <c r="C111" s="192"/>
      <c r="D111" s="192"/>
      <c r="E111" s="192"/>
      <c r="F111" s="6">
        <v>12</v>
      </c>
      <c r="G111" s="26">
        <v>3000</v>
      </c>
      <c r="H111" s="103">
        <f>36000*N41</f>
        <v>10519.2</v>
      </c>
      <c r="I111" s="12">
        <v>303</v>
      </c>
      <c r="J111" s="19">
        <f>H111/I111</f>
        <v>34.716831683168316</v>
      </c>
      <c r="K111" s="13"/>
      <c r="L111" s="13"/>
      <c r="M111" s="13"/>
      <c r="N111" s="13"/>
    </row>
    <row r="112" spans="1:14" ht="18.75" customHeight="1" thickBot="1" x14ac:dyDescent="0.3">
      <c r="A112" s="192" t="s">
        <v>115</v>
      </c>
      <c r="B112" s="192"/>
      <c r="C112" s="192"/>
      <c r="D112" s="192"/>
      <c r="E112" s="192"/>
      <c r="F112" s="6">
        <v>12</v>
      </c>
      <c r="G112" s="26">
        <v>1000</v>
      </c>
      <c r="H112" s="103">
        <f>12000*N41</f>
        <v>3506.4</v>
      </c>
      <c r="I112" s="12">
        <v>303</v>
      </c>
      <c r="J112" s="19">
        <f>H112/I112</f>
        <v>11.572277227722772</v>
      </c>
      <c r="K112" s="13"/>
      <c r="L112" s="13"/>
      <c r="M112" s="13"/>
      <c r="N112" s="13"/>
    </row>
    <row r="113" spans="1:14" ht="20.25" customHeight="1" thickBot="1" x14ac:dyDescent="0.3">
      <c r="A113" s="236" t="s">
        <v>88</v>
      </c>
      <c r="B113" s="237"/>
      <c r="C113" s="237"/>
      <c r="D113" s="237"/>
      <c r="E113" s="238"/>
      <c r="F113" s="104"/>
      <c r="G113" s="104"/>
      <c r="H113" s="42">
        <f>SUM(H110:H112)</f>
        <v>19285.2</v>
      </c>
      <c r="I113" s="13"/>
      <c r="J113" s="20">
        <f>SUM(J110:J112)</f>
        <v>63.647524752475242</v>
      </c>
      <c r="K113" s="13"/>
      <c r="L113" s="105"/>
      <c r="M113" s="13"/>
      <c r="N113" s="16">
        <f>H113/88.1%</f>
        <v>21890.124858115782</v>
      </c>
    </row>
    <row r="114" spans="1:14" ht="14.25" hidden="1" customHeight="1" thickBot="1" x14ac:dyDescent="0.3">
      <c r="F114" s="6"/>
      <c r="G114" s="6"/>
      <c r="H114" s="27"/>
      <c r="I114" s="12"/>
      <c r="J114" s="19"/>
      <c r="K114" s="13"/>
      <c r="L114" s="13"/>
      <c r="M114" s="13"/>
      <c r="N114" s="3"/>
    </row>
    <row r="115" spans="1:14" ht="16.5" hidden="1" customHeight="1" thickBot="1" x14ac:dyDescent="0.3">
      <c r="A115" s="192"/>
      <c r="B115" s="192"/>
      <c r="C115" s="192"/>
      <c r="D115" s="192"/>
      <c r="E115" s="192"/>
      <c r="F115" s="6"/>
      <c r="G115" s="6"/>
      <c r="H115" s="25"/>
      <c r="I115" s="12">
        <v>3260</v>
      </c>
      <c r="J115" s="19">
        <f>H115/I115</f>
        <v>0</v>
      </c>
      <c r="K115" s="13"/>
      <c r="L115" s="13"/>
      <c r="M115" s="13"/>
      <c r="N115" s="3"/>
    </row>
    <row r="116" spans="1:14" ht="17.25" hidden="1" customHeight="1" x14ac:dyDescent="0.25">
      <c r="A116" s="200"/>
      <c r="B116" s="201"/>
      <c r="C116" s="201"/>
      <c r="D116" s="201"/>
      <c r="E116" s="202"/>
      <c r="F116" s="26"/>
      <c r="G116" s="18"/>
      <c r="H116" s="9"/>
      <c r="I116" s="12">
        <v>3260</v>
      </c>
      <c r="J116" s="19">
        <f>H116/I116</f>
        <v>0</v>
      </c>
      <c r="K116" s="13"/>
      <c r="L116" s="13"/>
      <c r="M116" s="13"/>
      <c r="N116" s="3"/>
    </row>
    <row r="117" spans="1:14" ht="20.25" customHeight="1" x14ac:dyDescent="0.25">
      <c r="A117" s="106"/>
      <c r="B117" s="107"/>
      <c r="C117" s="107"/>
      <c r="D117" s="107"/>
      <c r="E117" s="107"/>
      <c r="F117" s="107"/>
      <c r="G117" s="107"/>
      <c r="H117" s="108"/>
      <c r="I117" s="86"/>
      <c r="J117" s="109"/>
      <c r="K117" s="13"/>
      <c r="L117" s="105"/>
      <c r="M117" s="13"/>
      <c r="N117" s="3"/>
    </row>
    <row r="118" spans="1:14" ht="31.5" customHeight="1" x14ac:dyDescent="0.25">
      <c r="A118" s="282" t="s">
        <v>86</v>
      </c>
      <c r="B118" s="282"/>
      <c r="C118" s="282"/>
      <c r="D118" s="282"/>
      <c r="E118" s="282"/>
      <c r="F118" s="283"/>
      <c r="G118" s="283"/>
      <c r="H118" s="283"/>
      <c r="I118" s="283"/>
      <c r="J118" s="283"/>
      <c r="K118" s="283"/>
      <c r="L118" s="283"/>
      <c r="M118" s="283"/>
      <c r="N118" s="283"/>
    </row>
    <row r="119" spans="1:14" ht="45" x14ac:dyDescent="0.25">
      <c r="A119" s="206" t="s">
        <v>33</v>
      </c>
      <c r="B119" s="206"/>
      <c r="C119" s="206"/>
      <c r="D119" s="206"/>
      <c r="E119" s="206"/>
      <c r="F119" s="6" t="s">
        <v>7</v>
      </c>
      <c r="G119" s="6" t="s">
        <v>18</v>
      </c>
      <c r="H119" s="6" t="s">
        <v>71</v>
      </c>
      <c r="I119" s="6" t="s">
        <v>34</v>
      </c>
      <c r="J119" s="6" t="s">
        <v>82</v>
      </c>
      <c r="K119" s="26" t="s">
        <v>102</v>
      </c>
      <c r="L119" s="6" t="s">
        <v>131</v>
      </c>
      <c r="M119" s="13"/>
      <c r="N119" s="3"/>
    </row>
    <row r="120" spans="1:14" ht="31.5" customHeight="1" x14ac:dyDescent="0.25">
      <c r="A120" s="206" t="s">
        <v>35</v>
      </c>
      <c r="B120" s="206"/>
      <c r="C120" s="206"/>
      <c r="D120" s="206"/>
      <c r="E120" s="206"/>
      <c r="F120" s="17" t="s">
        <v>36</v>
      </c>
      <c r="G120" s="18">
        <v>3</v>
      </c>
      <c r="H120" s="52">
        <v>590.59</v>
      </c>
      <c r="I120" s="18">
        <v>12</v>
      </c>
      <c r="J120" s="14">
        <f>(14174.16+1012.44+9696)*N41</f>
        <v>7270.6957199999997</v>
      </c>
      <c r="K120" s="12">
        <v>303</v>
      </c>
      <c r="L120" s="19">
        <f>J120/K120</f>
        <v>23.995695445544552</v>
      </c>
      <c r="M120" s="13"/>
      <c r="N120" s="13"/>
    </row>
    <row r="121" spans="1:14" ht="22.5" customHeight="1" thickBot="1" x14ac:dyDescent="0.3">
      <c r="A121" s="206" t="s">
        <v>97</v>
      </c>
      <c r="B121" s="206"/>
      <c r="C121" s="206"/>
      <c r="D121" s="206"/>
      <c r="E121" s="206"/>
      <c r="F121" s="17" t="s">
        <v>98</v>
      </c>
      <c r="G121" s="18">
        <v>1</v>
      </c>
      <c r="H121" s="52">
        <v>3300</v>
      </c>
      <c r="I121" s="18">
        <v>12</v>
      </c>
      <c r="J121" s="14">
        <f>36000*N41</f>
        <v>10519.2</v>
      </c>
      <c r="K121" s="12">
        <v>303</v>
      </c>
      <c r="L121" s="19">
        <f>J121/K121</f>
        <v>34.716831683168316</v>
      </c>
      <c r="M121" s="13"/>
      <c r="N121" s="13"/>
    </row>
    <row r="122" spans="1:14" ht="20.25" customHeight="1" thickBot="1" x14ac:dyDescent="0.3">
      <c r="A122" s="234" t="s">
        <v>37</v>
      </c>
      <c r="B122" s="235"/>
      <c r="C122" s="235"/>
      <c r="D122" s="235"/>
      <c r="E122" s="246"/>
      <c r="F122" s="234"/>
      <c r="G122" s="235"/>
      <c r="H122" s="235"/>
      <c r="I122" s="235"/>
      <c r="J122" s="42">
        <f>J121+J120</f>
        <v>17789.89572</v>
      </c>
      <c r="K122" s="13"/>
      <c r="L122" s="20">
        <f>SUM(L120:L121)</f>
        <v>58.712527128712864</v>
      </c>
      <c r="M122" s="137"/>
      <c r="N122" s="3"/>
    </row>
    <row r="123" spans="1:14" ht="95.25" hidden="1" customHeight="1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66"/>
      <c r="M123" s="66"/>
      <c r="N123" s="3"/>
    </row>
    <row r="124" spans="1:14" ht="12" customHeight="1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66"/>
      <c r="M124" s="66"/>
      <c r="N124" s="3"/>
    </row>
    <row r="125" spans="1:14" x14ac:dyDescent="0.25">
      <c r="A125" s="218" t="s">
        <v>118</v>
      </c>
      <c r="B125" s="218"/>
      <c r="C125" s="218"/>
      <c r="D125" s="218"/>
      <c r="E125" s="218"/>
      <c r="F125" s="218"/>
      <c r="G125" s="218"/>
      <c r="H125" s="218"/>
      <c r="I125" s="218"/>
      <c r="J125" s="218"/>
      <c r="K125" s="218"/>
      <c r="L125" s="218"/>
      <c r="M125" s="218"/>
      <c r="N125" s="3"/>
    </row>
    <row r="126" spans="1:14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3"/>
    </row>
    <row r="127" spans="1:14" ht="60" x14ac:dyDescent="0.25">
      <c r="A127" s="206" t="s">
        <v>3</v>
      </c>
      <c r="B127" s="206"/>
      <c r="C127" s="206"/>
      <c r="D127" s="206"/>
      <c r="E127" s="206"/>
      <c r="F127" s="6" t="s">
        <v>4</v>
      </c>
      <c r="G127" s="36" t="s">
        <v>0</v>
      </c>
      <c r="H127" s="17" t="s">
        <v>87</v>
      </c>
      <c r="I127" s="17" t="s">
        <v>76</v>
      </c>
      <c r="J127" s="6" t="s">
        <v>102</v>
      </c>
      <c r="K127" s="6" t="s">
        <v>131</v>
      </c>
      <c r="L127" s="6" t="s">
        <v>80</v>
      </c>
      <c r="M127" s="100"/>
      <c r="N127" s="3"/>
    </row>
    <row r="128" spans="1:14" x14ac:dyDescent="0.25">
      <c r="A128" s="241">
        <v>1</v>
      </c>
      <c r="B128" s="242"/>
      <c r="C128" s="242"/>
      <c r="D128" s="242"/>
      <c r="E128" s="243"/>
      <c r="F128" s="26">
        <v>2</v>
      </c>
      <c r="G128" s="18">
        <v>3</v>
      </c>
      <c r="H128" s="26">
        <v>4</v>
      </c>
      <c r="I128" s="26">
        <v>5</v>
      </c>
      <c r="J128" s="99">
        <v>6</v>
      </c>
      <c r="K128" s="111">
        <v>7</v>
      </c>
      <c r="L128" s="112">
        <v>8</v>
      </c>
      <c r="M128" s="100"/>
      <c r="N128" s="4"/>
    </row>
    <row r="129" spans="1:14" ht="15.75" thickBot="1" x14ac:dyDescent="0.3">
      <c r="A129" s="192" t="s">
        <v>108</v>
      </c>
      <c r="B129" s="192"/>
      <c r="C129" s="192"/>
      <c r="D129" s="192"/>
      <c r="E129" s="192"/>
      <c r="F129" s="9">
        <f>H129/12/G129</f>
        <v>26339.452333333331</v>
      </c>
      <c r="G129" s="9">
        <v>2.5</v>
      </c>
      <c r="H129" s="9">
        <v>790183.57</v>
      </c>
      <c r="I129" s="9">
        <v>1028819.01</v>
      </c>
      <c r="J129" s="12">
        <v>303</v>
      </c>
      <c r="K129" s="9">
        <f>I129/J129</f>
        <v>3395.442277227723</v>
      </c>
      <c r="L129" s="88">
        <f>I129/3520941.17*100</f>
        <v>29.220000003578591</v>
      </c>
      <c r="M129" s="97"/>
      <c r="N129" s="4"/>
    </row>
    <row r="130" spans="1:14" ht="15.75" hidden="1" thickBot="1" x14ac:dyDescent="0.3">
      <c r="A130" s="193"/>
      <c r="B130" s="194"/>
      <c r="C130" s="194"/>
      <c r="D130" s="194"/>
      <c r="E130" s="195"/>
      <c r="F130" s="9">
        <v>17865.98</v>
      </c>
      <c r="G130" s="30">
        <v>4</v>
      </c>
      <c r="H130" s="12"/>
      <c r="I130" s="10">
        <f>J81</f>
        <v>0</v>
      </c>
      <c r="J130" s="9" t="e">
        <f t="shared" ref="J130:J151" si="3">G130/H130*I130</f>
        <v>#DIV/0!</v>
      </c>
      <c r="K130" s="9">
        <f t="shared" ref="K130:K151" si="4">F130*G130*12*1.302</f>
        <v>1116552.28608</v>
      </c>
      <c r="L130" s="31" t="s">
        <v>61</v>
      </c>
      <c r="M130" s="113" t="e">
        <f t="shared" ref="M130:M154" si="5">J130*K130</f>
        <v>#DIV/0!</v>
      </c>
      <c r="N130" s="4"/>
    </row>
    <row r="131" spans="1:14" ht="15.75" hidden="1" thickBot="1" x14ac:dyDescent="0.3">
      <c r="A131" s="196"/>
      <c r="B131" s="196"/>
      <c r="C131" s="196"/>
      <c r="D131" s="196"/>
      <c r="E131" s="196"/>
      <c r="F131" s="9">
        <v>9544</v>
      </c>
      <c r="G131" s="30">
        <v>1</v>
      </c>
      <c r="H131" s="12"/>
      <c r="I131" s="10">
        <f>J81</f>
        <v>0</v>
      </c>
      <c r="J131" s="9" t="e">
        <f t="shared" si="3"/>
        <v>#DIV/0!</v>
      </c>
      <c r="K131" s="9">
        <f t="shared" si="4"/>
        <v>149115.45600000001</v>
      </c>
      <c r="L131" s="10">
        <f>I131/11277167.39*100</f>
        <v>0</v>
      </c>
      <c r="M131" s="9" t="e">
        <f t="shared" si="5"/>
        <v>#DIV/0!</v>
      </c>
      <c r="N131" s="4"/>
    </row>
    <row r="132" spans="1:14" ht="15" hidden="1" customHeight="1" x14ac:dyDescent="0.25">
      <c r="A132" s="244"/>
      <c r="B132" s="215"/>
      <c r="C132" s="215"/>
      <c r="D132" s="215"/>
      <c r="E132" s="245"/>
      <c r="F132" s="9">
        <v>11560</v>
      </c>
      <c r="G132" s="30">
        <v>1</v>
      </c>
      <c r="H132" s="12"/>
      <c r="I132" s="10">
        <f>J81</f>
        <v>0</v>
      </c>
      <c r="J132" s="9" t="e">
        <f t="shared" si="3"/>
        <v>#DIV/0!</v>
      </c>
      <c r="K132" s="9">
        <f t="shared" si="4"/>
        <v>180613.44</v>
      </c>
      <c r="L132" s="7"/>
      <c r="M132" s="9" t="e">
        <f t="shared" si="5"/>
        <v>#DIV/0!</v>
      </c>
      <c r="N132" s="4"/>
    </row>
    <row r="133" spans="1:14" ht="15.75" hidden="1" thickBot="1" x14ac:dyDescent="0.3">
      <c r="A133" s="192"/>
      <c r="B133" s="192"/>
      <c r="C133" s="192"/>
      <c r="D133" s="192"/>
      <c r="E133" s="192"/>
      <c r="F133" s="9">
        <v>9544</v>
      </c>
      <c r="G133" s="32">
        <v>0.5</v>
      </c>
      <c r="H133" s="12"/>
      <c r="I133" s="10">
        <f>J81</f>
        <v>0</v>
      </c>
      <c r="J133" s="9" t="e">
        <f t="shared" si="3"/>
        <v>#DIV/0!</v>
      </c>
      <c r="K133" s="9">
        <f t="shared" si="4"/>
        <v>74557.728000000003</v>
      </c>
      <c r="L133" s="7"/>
      <c r="M133" s="9" t="e">
        <f t="shared" si="5"/>
        <v>#DIV/0!</v>
      </c>
      <c r="N133" s="4"/>
    </row>
    <row r="134" spans="1:14" ht="15.75" hidden="1" thickBot="1" x14ac:dyDescent="0.3">
      <c r="A134" s="192"/>
      <c r="B134" s="192"/>
      <c r="C134" s="192"/>
      <c r="D134" s="192"/>
      <c r="E134" s="192"/>
      <c r="F134" s="9">
        <v>9544</v>
      </c>
      <c r="G134" s="30">
        <v>1</v>
      </c>
      <c r="H134" s="12"/>
      <c r="I134" s="10">
        <f>J81</f>
        <v>0</v>
      </c>
      <c r="J134" s="9" t="e">
        <f t="shared" si="3"/>
        <v>#DIV/0!</v>
      </c>
      <c r="K134" s="9">
        <f t="shared" si="4"/>
        <v>149115.45600000001</v>
      </c>
      <c r="L134" s="9"/>
      <c r="M134" s="9" t="e">
        <f t="shared" si="5"/>
        <v>#DIV/0!</v>
      </c>
      <c r="N134" s="4"/>
    </row>
    <row r="135" spans="1:14" ht="14.25" hidden="1" customHeight="1" x14ac:dyDescent="0.25">
      <c r="A135" s="192"/>
      <c r="B135" s="192"/>
      <c r="C135" s="192"/>
      <c r="D135" s="192"/>
      <c r="E135" s="192"/>
      <c r="F135" s="9">
        <v>9544</v>
      </c>
      <c r="G135" s="30">
        <v>1</v>
      </c>
      <c r="H135" s="12"/>
      <c r="I135" s="10">
        <f>J81</f>
        <v>0</v>
      </c>
      <c r="J135" s="9" t="e">
        <f t="shared" si="3"/>
        <v>#DIV/0!</v>
      </c>
      <c r="K135" s="9">
        <f t="shared" si="4"/>
        <v>149115.45600000001</v>
      </c>
      <c r="L135" s="13"/>
      <c r="M135" s="9" t="e">
        <f t="shared" si="5"/>
        <v>#DIV/0!</v>
      </c>
      <c r="N135" s="4"/>
    </row>
    <row r="136" spans="1:14" ht="15.75" hidden="1" thickBot="1" x14ac:dyDescent="0.3">
      <c r="A136" s="200"/>
      <c r="B136" s="201"/>
      <c r="C136" s="201"/>
      <c r="D136" s="201"/>
      <c r="E136" s="202"/>
      <c r="F136" s="9">
        <v>9544</v>
      </c>
      <c r="G136" s="9"/>
      <c r="H136" s="12"/>
      <c r="I136" s="10">
        <f>J81</f>
        <v>0</v>
      </c>
      <c r="J136" s="9" t="e">
        <f t="shared" si="3"/>
        <v>#DIV/0!</v>
      </c>
      <c r="K136" s="9">
        <f t="shared" si="4"/>
        <v>0</v>
      </c>
      <c r="L136" s="13"/>
      <c r="M136" s="9" t="e">
        <f t="shared" si="5"/>
        <v>#DIV/0!</v>
      </c>
      <c r="N136" s="4"/>
    </row>
    <row r="137" spans="1:14" ht="15.75" hidden="1" thickBot="1" x14ac:dyDescent="0.3">
      <c r="A137" s="200"/>
      <c r="B137" s="201"/>
      <c r="C137" s="201"/>
      <c r="D137" s="201"/>
      <c r="E137" s="202"/>
      <c r="F137" s="9">
        <v>9544</v>
      </c>
      <c r="G137" s="33">
        <v>0.25</v>
      </c>
      <c r="H137" s="12"/>
      <c r="I137" s="10">
        <f>J81</f>
        <v>0</v>
      </c>
      <c r="J137" s="9" t="e">
        <f t="shared" si="3"/>
        <v>#DIV/0!</v>
      </c>
      <c r="K137" s="9">
        <f t="shared" si="4"/>
        <v>37278.864000000001</v>
      </c>
      <c r="L137" s="13"/>
      <c r="M137" s="9" t="e">
        <f t="shared" si="5"/>
        <v>#DIV/0!</v>
      </c>
      <c r="N137" s="4"/>
    </row>
    <row r="138" spans="1:14" ht="15.75" hidden="1" thickBot="1" x14ac:dyDescent="0.3">
      <c r="A138" s="200"/>
      <c r="B138" s="201"/>
      <c r="C138" s="201"/>
      <c r="D138" s="201"/>
      <c r="E138" s="202"/>
      <c r="F138" s="9">
        <v>9544</v>
      </c>
      <c r="G138" s="9"/>
      <c r="H138" s="12"/>
      <c r="I138" s="10">
        <f>J81</f>
        <v>0</v>
      </c>
      <c r="J138" s="9" t="e">
        <f t="shared" si="3"/>
        <v>#DIV/0!</v>
      </c>
      <c r="K138" s="9">
        <f t="shared" si="4"/>
        <v>0</v>
      </c>
      <c r="L138" s="13"/>
      <c r="M138" s="9" t="e">
        <f t="shared" si="5"/>
        <v>#DIV/0!</v>
      </c>
      <c r="N138" s="4"/>
    </row>
    <row r="139" spans="1:14" ht="15.75" hidden="1" thickBot="1" x14ac:dyDescent="0.3">
      <c r="A139" s="200"/>
      <c r="B139" s="201"/>
      <c r="C139" s="201"/>
      <c r="D139" s="201"/>
      <c r="E139" s="202"/>
      <c r="F139" s="9">
        <v>9544</v>
      </c>
      <c r="G139" s="32">
        <v>0.5</v>
      </c>
      <c r="H139" s="12"/>
      <c r="I139" s="10">
        <f>J81</f>
        <v>0</v>
      </c>
      <c r="J139" s="9" t="e">
        <f t="shared" si="3"/>
        <v>#DIV/0!</v>
      </c>
      <c r="K139" s="9">
        <f t="shared" si="4"/>
        <v>74557.728000000003</v>
      </c>
      <c r="L139" s="13"/>
      <c r="M139" s="9" t="e">
        <f t="shared" si="5"/>
        <v>#DIV/0!</v>
      </c>
      <c r="N139" s="4"/>
    </row>
    <row r="140" spans="1:14" ht="15.75" hidden="1" customHeight="1" x14ac:dyDescent="0.25">
      <c r="A140" s="200"/>
      <c r="B140" s="201"/>
      <c r="C140" s="201"/>
      <c r="D140" s="201"/>
      <c r="E140" s="202"/>
      <c r="F140" s="9">
        <v>9544</v>
      </c>
      <c r="G140" s="30">
        <v>1</v>
      </c>
      <c r="H140" s="12"/>
      <c r="I140" s="10">
        <f>J81</f>
        <v>0</v>
      </c>
      <c r="J140" s="9" t="e">
        <f t="shared" si="3"/>
        <v>#DIV/0!</v>
      </c>
      <c r="K140" s="9">
        <f t="shared" si="4"/>
        <v>149115.45600000001</v>
      </c>
      <c r="L140" s="13"/>
      <c r="M140" s="9" t="e">
        <f t="shared" si="5"/>
        <v>#DIV/0!</v>
      </c>
      <c r="N140" s="4"/>
    </row>
    <row r="141" spans="1:14" ht="15" hidden="1" customHeight="1" x14ac:dyDescent="0.25">
      <c r="A141" s="192"/>
      <c r="B141" s="192"/>
      <c r="C141" s="192"/>
      <c r="D141" s="192"/>
      <c r="E141" s="192"/>
      <c r="F141" s="9">
        <v>9544</v>
      </c>
      <c r="G141" s="30">
        <v>1</v>
      </c>
      <c r="H141" s="12"/>
      <c r="I141" s="10">
        <f>J81</f>
        <v>0</v>
      </c>
      <c r="J141" s="9" t="e">
        <f t="shared" si="3"/>
        <v>#DIV/0!</v>
      </c>
      <c r="K141" s="9">
        <f t="shared" si="4"/>
        <v>149115.45600000001</v>
      </c>
      <c r="L141" s="13"/>
      <c r="M141" s="9" t="e">
        <f t="shared" si="5"/>
        <v>#DIV/0!</v>
      </c>
      <c r="N141" s="4"/>
    </row>
    <row r="142" spans="1:14" ht="15" hidden="1" customHeight="1" x14ac:dyDescent="0.25">
      <c r="A142" s="192"/>
      <c r="B142" s="192"/>
      <c r="C142" s="192"/>
      <c r="D142" s="192"/>
      <c r="E142" s="192"/>
      <c r="F142" s="9">
        <v>9544</v>
      </c>
      <c r="G142" s="32">
        <v>5.5</v>
      </c>
      <c r="H142" s="12"/>
      <c r="I142" s="10">
        <f>J81</f>
        <v>0</v>
      </c>
      <c r="J142" s="9" t="e">
        <f t="shared" si="3"/>
        <v>#DIV/0!</v>
      </c>
      <c r="K142" s="9">
        <f t="shared" si="4"/>
        <v>820135.00800000003</v>
      </c>
      <c r="L142" s="13"/>
      <c r="M142" s="9" t="e">
        <f t="shared" si="5"/>
        <v>#DIV/0!</v>
      </c>
      <c r="N142" s="4"/>
    </row>
    <row r="143" spans="1:14" ht="15" hidden="1" customHeight="1" x14ac:dyDescent="0.25">
      <c r="A143" s="192"/>
      <c r="B143" s="192"/>
      <c r="C143" s="192"/>
      <c r="D143" s="192"/>
      <c r="E143" s="192"/>
      <c r="F143" s="9">
        <v>9544</v>
      </c>
      <c r="G143" s="30">
        <v>1</v>
      </c>
      <c r="H143" s="12"/>
      <c r="I143" s="10">
        <f>J81</f>
        <v>0</v>
      </c>
      <c r="J143" s="9" t="e">
        <f t="shared" si="3"/>
        <v>#DIV/0!</v>
      </c>
      <c r="K143" s="9">
        <f t="shared" si="4"/>
        <v>149115.45600000001</v>
      </c>
      <c r="L143" s="13"/>
      <c r="M143" s="9" t="e">
        <f t="shared" si="5"/>
        <v>#DIV/0!</v>
      </c>
      <c r="N143" s="4"/>
    </row>
    <row r="144" spans="1:14" ht="15" hidden="1" customHeight="1" x14ac:dyDescent="0.25">
      <c r="A144" s="192"/>
      <c r="B144" s="192"/>
      <c r="C144" s="192"/>
      <c r="D144" s="192"/>
      <c r="E144" s="192"/>
      <c r="F144" s="9">
        <v>9544</v>
      </c>
      <c r="G144" s="32">
        <v>0.5</v>
      </c>
      <c r="H144" s="12"/>
      <c r="I144" s="10">
        <f>J81</f>
        <v>0</v>
      </c>
      <c r="J144" s="9" t="e">
        <f t="shared" si="3"/>
        <v>#DIV/0!</v>
      </c>
      <c r="K144" s="9">
        <f t="shared" si="4"/>
        <v>74557.728000000003</v>
      </c>
      <c r="L144" s="13"/>
      <c r="M144" s="9" t="e">
        <f t="shared" si="5"/>
        <v>#DIV/0!</v>
      </c>
      <c r="N144" s="4"/>
    </row>
    <row r="145" spans="1:14" ht="15" hidden="1" customHeight="1" x14ac:dyDescent="0.25">
      <c r="A145" s="192"/>
      <c r="B145" s="192"/>
      <c r="C145" s="192"/>
      <c r="D145" s="192"/>
      <c r="E145" s="192"/>
      <c r="F145" s="9">
        <v>9544</v>
      </c>
      <c r="G145" s="32">
        <v>0.5</v>
      </c>
      <c r="H145" s="12"/>
      <c r="I145" s="10">
        <f>J81</f>
        <v>0</v>
      </c>
      <c r="J145" s="9" t="e">
        <f t="shared" si="3"/>
        <v>#DIV/0!</v>
      </c>
      <c r="K145" s="9">
        <f t="shared" si="4"/>
        <v>74557.728000000003</v>
      </c>
      <c r="L145" s="13"/>
      <c r="M145" s="9" t="e">
        <f t="shared" si="5"/>
        <v>#DIV/0!</v>
      </c>
      <c r="N145" s="4"/>
    </row>
    <row r="146" spans="1:14" ht="15.75" hidden="1" thickBot="1" x14ac:dyDescent="0.3">
      <c r="A146" s="192"/>
      <c r="B146" s="192"/>
      <c r="C146" s="192"/>
      <c r="D146" s="192"/>
      <c r="E146" s="192"/>
      <c r="F146" s="9">
        <v>9544</v>
      </c>
      <c r="G146" s="30">
        <v>1</v>
      </c>
      <c r="H146" s="12"/>
      <c r="I146" s="10">
        <f>J81</f>
        <v>0</v>
      </c>
      <c r="J146" s="9" t="e">
        <f t="shared" si="3"/>
        <v>#DIV/0!</v>
      </c>
      <c r="K146" s="9">
        <f t="shared" si="4"/>
        <v>149115.45600000001</v>
      </c>
      <c r="L146" s="13"/>
      <c r="M146" s="9" t="e">
        <f t="shared" si="5"/>
        <v>#DIV/0!</v>
      </c>
      <c r="N146" s="4"/>
    </row>
    <row r="147" spans="1:14" ht="15.75" hidden="1" customHeight="1" x14ac:dyDescent="0.25">
      <c r="A147" s="192"/>
      <c r="B147" s="192"/>
      <c r="C147" s="192"/>
      <c r="D147" s="192"/>
      <c r="E147" s="192"/>
      <c r="F147" s="9">
        <v>9544</v>
      </c>
      <c r="G147" s="30">
        <v>4</v>
      </c>
      <c r="H147" s="12"/>
      <c r="I147" s="10">
        <f>J81</f>
        <v>0</v>
      </c>
      <c r="J147" s="9" t="e">
        <f t="shared" si="3"/>
        <v>#DIV/0!</v>
      </c>
      <c r="K147" s="9">
        <f t="shared" si="4"/>
        <v>596461.82400000002</v>
      </c>
      <c r="L147" s="13"/>
      <c r="M147" s="9" t="e">
        <f t="shared" si="5"/>
        <v>#DIV/0!</v>
      </c>
      <c r="N147" s="4"/>
    </row>
    <row r="148" spans="1:14" ht="16.5" hidden="1" customHeight="1" x14ac:dyDescent="0.25">
      <c r="A148" s="200"/>
      <c r="B148" s="201"/>
      <c r="C148" s="201"/>
      <c r="D148" s="201"/>
      <c r="E148" s="202"/>
      <c r="F148" s="9">
        <v>9544</v>
      </c>
      <c r="G148" s="30">
        <v>1</v>
      </c>
      <c r="H148" s="12"/>
      <c r="I148" s="10">
        <f>J81</f>
        <v>0</v>
      </c>
      <c r="J148" s="9" t="e">
        <f t="shared" si="3"/>
        <v>#DIV/0!</v>
      </c>
      <c r="K148" s="9">
        <f t="shared" si="4"/>
        <v>149115.45600000001</v>
      </c>
      <c r="L148" s="13"/>
      <c r="M148" s="9" t="e">
        <f t="shared" si="5"/>
        <v>#DIV/0!</v>
      </c>
      <c r="N148" s="4"/>
    </row>
    <row r="149" spans="1:14" ht="16.5" hidden="1" customHeight="1" x14ac:dyDescent="0.25">
      <c r="A149" s="200"/>
      <c r="B149" s="201"/>
      <c r="C149" s="201"/>
      <c r="D149" s="201"/>
      <c r="E149" s="202"/>
      <c r="F149" s="9">
        <v>9544</v>
      </c>
      <c r="G149" s="33">
        <v>1.75</v>
      </c>
      <c r="H149" s="12"/>
      <c r="I149" s="10">
        <f>J81</f>
        <v>0</v>
      </c>
      <c r="J149" s="9" t="e">
        <f t="shared" si="3"/>
        <v>#DIV/0!</v>
      </c>
      <c r="K149" s="9">
        <f t="shared" si="4"/>
        <v>260952.04800000001</v>
      </c>
      <c r="L149" s="13"/>
      <c r="M149" s="9" t="e">
        <f t="shared" si="5"/>
        <v>#DIV/0!</v>
      </c>
      <c r="N149" s="4"/>
    </row>
    <row r="150" spans="1:14" ht="16.5" hidden="1" customHeight="1" x14ac:dyDescent="0.25">
      <c r="A150" s="200"/>
      <c r="B150" s="201"/>
      <c r="C150" s="201"/>
      <c r="D150" s="201"/>
      <c r="E150" s="202"/>
      <c r="F150" s="9">
        <v>9544</v>
      </c>
      <c r="G150" s="10"/>
      <c r="H150" s="12"/>
      <c r="I150" s="10">
        <f>J81</f>
        <v>0</v>
      </c>
      <c r="J150" s="9" t="e">
        <f t="shared" si="3"/>
        <v>#DIV/0!</v>
      </c>
      <c r="K150" s="9">
        <f t="shared" si="4"/>
        <v>0</v>
      </c>
      <c r="L150" s="13"/>
      <c r="M150" s="9" t="e">
        <f t="shared" si="5"/>
        <v>#DIV/0!</v>
      </c>
      <c r="N150" s="4"/>
    </row>
    <row r="151" spans="1:14" ht="16.5" hidden="1" customHeight="1" x14ac:dyDescent="0.25">
      <c r="A151" s="200"/>
      <c r="B151" s="201"/>
      <c r="C151" s="201"/>
      <c r="D151" s="201"/>
      <c r="E151" s="202"/>
      <c r="F151" s="9">
        <v>9544</v>
      </c>
      <c r="G151" s="32">
        <v>0.5</v>
      </c>
      <c r="H151" s="12"/>
      <c r="I151" s="10">
        <f>J81</f>
        <v>0</v>
      </c>
      <c r="J151" s="9" t="e">
        <f t="shared" si="3"/>
        <v>#DIV/0!</v>
      </c>
      <c r="K151" s="9">
        <f t="shared" si="4"/>
        <v>74557.728000000003</v>
      </c>
      <c r="L151" s="13"/>
      <c r="M151" s="9" t="e">
        <f t="shared" si="5"/>
        <v>#DIV/0!</v>
      </c>
      <c r="N151" s="4"/>
    </row>
    <row r="152" spans="1:14" ht="15" hidden="1" customHeight="1" x14ac:dyDescent="0.25">
      <c r="A152" s="200"/>
      <c r="B152" s="201"/>
      <c r="C152" s="201"/>
      <c r="D152" s="201"/>
      <c r="E152" s="202"/>
      <c r="F152" s="9"/>
      <c r="G152" s="9"/>
      <c r="H152" s="9"/>
      <c r="I152" s="9"/>
      <c r="J152" s="9"/>
      <c r="K152" s="9"/>
      <c r="L152" s="13"/>
      <c r="M152" s="9">
        <f t="shared" si="5"/>
        <v>0</v>
      </c>
      <c r="N152" s="4"/>
    </row>
    <row r="153" spans="1:14" ht="15.75" hidden="1" customHeight="1" x14ac:dyDescent="0.25">
      <c r="A153" s="200"/>
      <c r="B153" s="201"/>
      <c r="C153" s="201"/>
      <c r="D153" s="201"/>
      <c r="E153" s="202"/>
      <c r="F153" s="9"/>
      <c r="G153" s="9"/>
      <c r="H153" s="9"/>
      <c r="I153" s="9"/>
      <c r="J153" s="9"/>
      <c r="K153" s="9"/>
      <c r="L153" s="13"/>
      <c r="M153" s="9">
        <f t="shared" si="5"/>
        <v>0</v>
      </c>
      <c r="N153" s="4"/>
    </row>
    <row r="154" spans="1:14" ht="14.25" hidden="1" customHeight="1" x14ac:dyDescent="0.25">
      <c r="A154" s="200"/>
      <c r="B154" s="201"/>
      <c r="C154" s="201"/>
      <c r="D154" s="201"/>
      <c r="E154" s="202"/>
      <c r="F154" s="9"/>
      <c r="G154" s="9"/>
      <c r="H154" s="9"/>
      <c r="I154" s="9"/>
      <c r="J154" s="12">
        <v>105</v>
      </c>
      <c r="K154" s="14">
        <f>I154/J154</f>
        <v>0</v>
      </c>
      <c r="L154" s="13"/>
      <c r="M154" s="14">
        <f t="shared" si="5"/>
        <v>0</v>
      </c>
      <c r="N154" s="4"/>
    </row>
    <row r="155" spans="1:14" ht="15.75" thickBot="1" x14ac:dyDescent="0.3">
      <c r="A155" s="209" t="s">
        <v>81</v>
      </c>
      <c r="B155" s="209"/>
      <c r="C155" s="209"/>
      <c r="D155" s="209"/>
      <c r="E155" s="209"/>
      <c r="F155" s="34"/>
      <c r="G155" s="73"/>
      <c r="H155" s="73"/>
      <c r="I155" s="42">
        <f>I129</f>
        <v>1028819.01</v>
      </c>
      <c r="J155" s="15"/>
      <c r="K155" s="35">
        <f>K129</f>
        <v>3395.442277227723</v>
      </c>
      <c r="L155" s="13"/>
      <c r="M155" s="97"/>
      <c r="N155" s="4"/>
    </row>
    <row r="156" spans="1:14" ht="24.75" customHeight="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3"/>
    </row>
    <row r="157" spans="1:14" hidden="1" x14ac:dyDescent="0.25">
      <c r="A157" s="218" t="s">
        <v>38</v>
      </c>
      <c r="B157" s="218"/>
      <c r="C157" s="218"/>
      <c r="D157" s="218"/>
      <c r="E157" s="218"/>
      <c r="F157" s="218"/>
      <c r="G157" s="218"/>
      <c r="H157" s="218"/>
      <c r="I157" s="218"/>
      <c r="J157" s="218"/>
      <c r="K157" s="218"/>
      <c r="L157" s="218"/>
      <c r="M157" s="218"/>
      <c r="N157" s="3"/>
    </row>
    <row r="158" spans="1:14" hidden="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3"/>
    </row>
    <row r="159" spans="1:14" ht="45" hidden="1" x14ac:dyDescent="0.25">
      <c r="A159" s="206" t="s">
        <v>39</v>
      </c>
      <c r="B159" s="206"/>
      <c r="C159" s="206"/>
      <c r="D159" s="206"/>
      <c r="E159" s="206"/>
      <c r="F159" s="6" t="s">
        <v>7</v>
      </c>
      <c r="G159" s="6" t="s">
        <v>18</v>
      </c>
      <c r="H159" s="6" t="s">
        <v>19</v>
      </c>
      <c r="I159" s="6" t="s">
        <v>20</v>
      </c>
      <c r="J159" s="6"/>
      <c r="K159" s="6" t="s">
        <v>21</v>
      </c>
      <c r="L159" s="6" t="s">
        <v>22</v>
      </c>
      <c r="M159" s="6" t="s">
        <v>82</v>
      </c>
      <c r="N159" s="3"/>
    </row>
    <row r="160" spans="1:14" hidden="1" x14ac:dyDescent="0.25">
      <c r="A160" s="196" t="s">
        <v>40</v>
      </c>
      <c r="B160" s="196"/>
      <c r="C160" s="196"/>
      <c r="D160" s="196"/>
      <c r="E160" s="196"/>
      <c r="F160" s="18" t="s">
        <v>43</v>
      </c>
      <c r="G160" s="18">
        <v>0</v>
      </c>
      <c r="H160" s="111">
        <f>M86</f>
        <v>0</v>
      </c>
      <c r="I160" s="101">
        <f>J55</f>
        <v>0</v>
      </c>
      <c r="J160" s="101"/>
      <c r="K160" s="18"/>
      <c r="L160" s="18"/>
      <c r="M160" s="18"/>
      <c r="N160" s="3"/>
    </row>
    <row r="161" spans="1:14" hidden="1" x14ac:dyDescent="0.25">
      <c r="A161" s="196" t="s">
        <v>41</v>
      </c>
      <c r="B161" s="196"/>
      <c r="C161" s="196"/>
      <c r="D161" s="196"/>
      <c r="E161" s="196"/>
      <c r="F161" s="18" t="s">
        <v>44</v>
      </c>
      <c r="G161" s="18">
        <v>0</v>
      </c>
      <c r="H161" s="111">
        <f>M86</f>
        <v>0</v>
      </c>
      <c r="I161" s="101">
        <f>J55</f>
        <v>0</v>
      </c>
      <c r="J161" s="101"/>
      <c r="K161" s="18"/>
      <c r="L161" s="18"/>
      <c r="M161" s="18"/>
      <c r="N161" s="3"/>
    </row>
    <row r="162" spans="1:14" hidden="1" x14ac:dyDescent="0.25">
      <c r="A162" s="196" t="s">
        <v>42</v>
      </c>
      <c r="B162" s="196"/>
      <c r="C162" s="196"/>
      <c r="D162" s="196"/>
      <c r="E162" s="196"/>
      <c r="F162" s="18" t="s">
        <v>44</v>
      </c>
      <c r="G162" s="18">
        <v>0</v>
      </c>
      <c r="H162" s="111">
        <f>M86</f>
        <v>0</v>
      </c>
      <c r="I162" s="101">
        <f>J55</f>
        <v>0</v>
      </c>
      <c r="J162" s="101"/>
      <c r="K162" s="18"/>
      <c r="L162" s="18"/>
      <c r="M162" s="18"/>
      <c r="N162" s="3"/>
    </row>
    <row r="163" spans="1:14" hidden="1" x14ac:dyDescent="0.25">
      <c r="A163" s="236" t="s">
        <v>45</v>
      </c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  <c r="L163" s="238"/>
      <c r="M163" s="114">
        <f>M160+M161+M162</f>
        <v>0</v>
      </c>
      <c r="N163" s="3"/>
    </row>
    <row r="164" spans="1:14" hidden="1" x14ac:dyDescent="0.25">
      <c r="A164" s="86"/>
      <c r="B164" s="86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3"/>
    </row>
    <row r="165" spans="1:14" hidden="1" x14ac:dyDescent="0.25">
      <c r="A165" s="263" t="s">
        <v>93</v>
      </c>
      <c r="B165" s="264"/>
      <c r="C165" s="264"/>
      <c r="D165" s="264"/>
      <c r="E165" s="264"/>
      <c r="F165" s="264"/>
      <c r="G165" s="264"/>
      <c r="H165" s="264"/>
      <c r="I165" s="264"/>
      <c r="J165" s="264"/>
      <c r="K165" s="264"/>
      <c r="L165" s="264"/>
      <c r="M165" s="13"/>
      <c r="N165" s="3"/>
    </row>
    <row r="166" spans="1:14" hidden="1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3"/>
    </row>
    <row r="167" spans="1:14" ht="75" hidden="1" x14ac:dyDescent="0.25">
      <c r="A167" s="197" t="s">
        <v>66</v>
      </c>
      <c r="B167" s="198"/>
      <c r="C167" s="198"/>
      <c r="D167" s="198"/>
      <c r="E167" s="199"/>
      <c r="F167" s="6" t="s">
        <v>7</v>
      </c>
      <c r="G167" s="6" t="s">
        <v>18</v>
      </c>
      <c r="H167" s="26" t="s">
        <v>22</v>
      </c>
      <c r="I167" s="6" t="s">
        <v>82</v>
      </c>
      <c r="J167" s="26" t="s">
        <v>78</v>
      </c>
      <c r="K167" s="26" t="s">
        <v>73</v>
      </c>
      <c r="L167" s="13"/>
      <c r="M167" s="13"/>
      <c r="N167" s="3"/>
    </row>
    <row r="168" spans="1:14" hidden="1" x14ac:dyDescent="0.25">
      <c r="A168" s="241">
        <v>1</v>
      </c>
      <c r="B168" s="242"/>
      <c r="C168" s="242"/>
      <c r="D168" s="242"/>
      <c r="E168" s="243"/>
      <c r="F168" s="26">
        <v>2</v>
      </c>
      <c r="G168" s="26">
        <v>3</v>
      </c>
      <c r="H168" s="26">
        <v>4</v>
      </c>
      <c r="I168" s="26">
        <v>5</v>
      </c>
      <c r="J168" s="99">
        <v>6</v>
      </c>
      <c r="K168" s="111">
        <v>7</v>
      </c>
      <c r="L168" s="13"/>
      <c r="M168" s="13"/>
      <c r="N168" s="3"/>
    </row>
    <row r="169" spans="1:14" hidden="1" x14ac:dyDescent="0.25">
      <c r="A169" s="249" t="s">
        <v>95</v>
      </c>
      <c r="B169" s="250"/>
      <c r="C169" s="250"/>
      <c r="D169" s="250"/>
      <c r="E169" s="251"/>
      <c r="F169" s="9"/>
      <c r="G169" s="12"/>
      <c r="H169" s="9"/>
      <c r="I169" s="9"/>
      <c r="J169" s="12">
        <v>30</v>
      </c>
      <c r="K169" s="36">
        <f>I169/J169</f>
        <v>0</v>
      </c>
      <c r="L169" s="13"/>
      <c r="M169" s="13"/>
      <c r="N169" s="3"/>
    </row>
    <row r="170" spans="1:14" ht="15.75" hidden="1" thickBot="1" x14ac:dyDescent="0.3">
      <c r="A170" s="34" t="s">
        <v>94</v>
      </c>
      <c r="B170" s="115"/>
      <c r="C170" s="115"/>
      <c r="D170" s="115"/>
      <c r="E170" s="115"/>
      <c r="F170" s="115"/>
      <c r="G170" s="115"/>
      <c r="H170" s="115"/>
      <c r="I170" s="116">
        <f>I169</f>
        <v>0</v>
      </c>
      <c r="J170" s="117"/>
      <c r="K170" s="118">
        <f>K169</f>
        <v>0</v>
      </c>
      <c r="L170" s="13"/>
      <c r="M170" s="13"/>
      <c r="N170" s="3"/>
    </row>
    <row r="171" spans="1:14" hidden="1" x14ac:dyDescent="0.25">
      <c r="A171" s="262" t="s">
        <v>65</v>
      </c>
      <c r="B171" s="262"/>
      <c r="C171" s="262"/>
      <c r="D171" s="262"/>
      <c r="E171" s="262"/>
      <c r="F171" s="262"/>
      <c r="G171" s="262"/>
      <c r="H171" s="262"/>
      <c r="I171" s="262"/>
      <c r="J171" s="262"/>
      <c r="K171" s="262"/>
      <c r="L171" s="262"/>
      <c r="M171" s="262"/>
      <c r="N171" s="3"/>
    </row>
    <row r="172" spans="1:14" hidden="1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3"/>
    </row>
    <row r="173" spans="1:14" hidden="1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3"/>
    </row>
    <row r="174" spans="1:14" hidden="1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3"/>
    </row>
    <row r="175" spans="1:14" hidden="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3"/>
    </row>
    <row r="176" spans="1:14" ht="60" hidden="1" x14ac:dyDescent="0.25">
      <c r="A176" s="197" t="s">
        <v>66</v>
      </c>
      <c r="B176" s="198"/>
      <c r="C176" s="198"/>
      <c r="D176" s="198"/>
      <c r="E176" s="199"/>
      <c r="F176" s="6" t="s">
        <v>7</v>
      </c>
      <c r="G176" s="6" t="s">
        <v>18</v>
      </c>
      <c r="H176" s="26" t="s">
        <v>22</v>
      </c>
      <c r="I176" s="6" t="s">
        <v>82</v>
      </c>
      <c r="J176" s="6" t="s">
        <v>102</v>
      </c>
      <c r="K176" s="6" t="s">
        <v>103</v>
      </c>
      <c r="L176" s="13"/>
      <c r="M176" s="13"/>
      <c r="N176" s="3"/>
    </row>
    <row r="177" spans="1:14" hidden="1" x14ac:dyDescent="0.25">
      <c r="A177" s="241">
        <v>1</v>
      </c>
      <c r="B177" s="242"/>
      <c r="C177" s="242"/>
      <c r="D177" s="242"/>
      <c r="E177" s="243"/>
      <c r="F177" s="26">
        <v>2</v>
      </c>
      <c r="G177" s="26">
        <v>3</v>
      </c>
      <c r="H177" s="26">
        <v>4</v>
      </c>
      <c r="I177" s="26">
        <v>5</v>
      </c>
      <c r="J177" s="99">
        <v>6</v>
      </c>
      <c r="K177" s="111">
        <v>7</v>
      </c>
      <c r="L177" s="13"/>
      <c r="M177" s="119"/>
      <c r="N177" s="3"/>
    </row>
    <row r="178" spans="1:14" hidden="1" x14ac:dyDescent="0.25">
      <c r="A178" s="249" t="s">
        <v>68</v>
      </c>
      <c r="B178" s="250"/>
      <c r="C178" s="250"/>
      <c r="D178" s="250"/>
      <c r="E178" s="251"/>
      <c r="F178" s="9" t="s">
        <v>31</v>
      </c>
      <c r="G178" s="12">
        <v>0</v>
      </c>
      <c r="H178" s="9"/>
      <c r="I178" s="9">
        <f>J55</f>
        <v>0</v>
      </c>
      <c r="J178" s="97"/>
      <c r="K178" s="13"/>
      <c r="L178" s="13"/>
      <c r="M178" s="113">
        <f>J178*H178</f>
        <v>0</v>
      </c>
      <c r="N178" s="3"/>
    </row>
    <row r="179" spans="1:14" hidden="1" x14ac:dyDescent="0.25">
      <c r="A179" s="249" t="s">
        <v>69</v>
      </c>
      <c r="B179" s="250"/>
      <c r="C179" s="250"/>
      <c r="D179" s="250"/>
      <c r="E179" s="251"/>
      <c r="F179" s="9" t="s">
        <v>31</v>
      </c>
      <c r="G179" s="12">
        <v>0</v>
      </c>
      <c r="H179" s="9"/>
      <c r="I179" s="9">
        <f>J55</f>
        <v>0</v>
      </c>
      <c r="J179" s="97"/>
      <c r="K179" s="13"/>
      <c r="L179" s="13"/>
      <c r="M179" s="9"/>
      <c r="N179" s="3"/>
    </row>
    <row r="180" spans="1:14" hidden="1" x14ac:dyDescent="0.25">
      <c r="A180" s="249" t="s">
        <v>70</v>
      </c>
      <c r="B180" s="250"/>
      <c r="C180" s="250"/>
      <c r="D180" s="250"/>
      <c r="E180" s="251"/>
      <c r="F180" s="9" t="s">
        <v>91</v>
      </c>
      <c r="G180" s="10"/>
      <c r="H180" s="9"/>
      <c r="I180" s="54"/>
      <c r="J180" s="12">
        <v>3260</v>
      </c>
      <c r="K180" s="120">
        <f>I180/J180</f>
        <v>0</v>
      </c>
      <c r="L180" s="13"/>
      <c r="M180" s="13"/>
      <c r="N180" s="3"/>
    </row>
    <row r="181" spans="1:14" ht="15.75" hidden="1" thickBot="1" x14ac:dyDescent="0.3">
      <c r="A181" s="34" t="s">
        <v>67</v>
      </c>
      <c r="B181" s="115"/>
      <c r="C181" s="115"/>
      <c r="D181" s="115"/>
      <c r="E181" s="115"/>
      <c r="F181" s="115"/>
      <c r="G181" s="115"/>
      <c r="H181" s="115"/>
      <c r="I181" s="116">
        <f>I180</f>
        <v>0</v>
      </c>
      <c r="J181" s="15"/>
      <c r="K181" s="20">
        <f>K180</f>
        <v>0</v>
      </c>
      <c r="L181" s="13"/>
      <c r="M181" s="13"/>
      <c r="N181" s="3"/>
    </row>
    <row r="182" spans="1:14" x14ac:dyDescent="0.25">
      <c r="A182" s="121"/>
      <c r="B182" s="121"/>
      <c r="C182" s="121"/>
      <c r="D182" s="121"/>
      <c r="E182" s="121"/>
      <c r="F182" s="121"/>
      <c r="G182" s="121"/>
      <c r="H182" s="121"/>
      <c r="I182" s="108"/>
      <c r="J182" s="122"/>
      <c r="K182" s="109"/>
      <c r="L182" s="13"/>
      <c r="M182" s="13"/>
      <c r="N182" s="3"/>
    </row>
    <row r="183" spans="1:14" x14ac:dyDescent="0.25">
      <c r="A183" s="13"/>
      <c r="B183" s="13"/>
      <c r="C183" s="13"/>
      <c r="D183" s="13"/>
      <c r="E183" s="13"/>
      <c r="F183" s="13"/>
      <c r="G183" s="13"/>
      <c r="H183" s="13"/>
      <c r="I183" s="86"/>
      <c r="J183" s="86"/>
      <c r="K183" s="86"/>
      <c r="L183" s="13"/>
      <c r="M183" s="13"/>
      <c r="N183" s="3"/>
    </row>
    <row r="184" spans="1:14" x14ac:dyDescent="0.25">
      <c r="A184" s="239" t="s">
        <v>99</v>
      </c>
      <c r="B184" s="239"/>
      <c r="C184" s="239"/>
      <c r="D184" s="239"/>
      <c r="E184" s="239"/>
      <c r="F184" s="239"/>
      <c r="G184" s="239"/>
      <c r="H184" s="239"/>
      <c r="I184" s="239"/>
      <c r="J184" s="239"/>
      <c r="K184" s="239"/>
      <c r="L184" s="239"/>
      <c r="M184" s="13"/>
      <c r="N184" s="3"/>
    </row>
    <row r="185" spans="1:14" ht="60" x14ac:dyDescent="0.25">
      <c r="A185" s="197" t="s">
        <v>100</v>
      </c>
      <c r="B185" s="198"/>
      <c r="C185" s="198"/>
      <c r="D185" s="198"/>
      <c r="E185" s="199"/>
      <c r="F185" s="44" t="s">
        <v>7</v>
      </c>
      <c r="G185" s="44" t="s">
        <v>90</v>
      </c>
      <c r="H185" s="44" t="s">
        <v>71</v>
      </c>
      <c r="I185" s="44" t="s">
        <v>82</v>
      </c>
      <c r="J185" s="6" t="s">
        <v>102</v>
      </c>
      <c r="K185" s="6" t="s">
        <v>131</v>
      </c>
      <c r="L185" s="123"/>
      <c r="M185" s="13"/>
      <c r="N185" s="3"/>
    </row>
    <row r="186" spans="1:14" x14ac:dyDescent="0.25">
      <c r="A186" s="192" t="s">
        <v>158</v>
      </c>
      <c r="B186" s="192"/>
      <c r="C186" s="192"/>
      <c r="D186" s="192"/>
      <c r="E186" s="192"/>
      <c r="F186" s="36"/>
      <c r="G186" s="29">
        <v>70</v>
      </c>
      <c r="H186" s="45">
        <v>150</v>
      </c>
      <c r="I186" s="9">
        <f>3943.2*N23-0.01</f>
        <v>1152.1930400000001</v>
      </c>
      <c r="J186" s="12">
        <v>303</v>
      </c>
      <c r="K186" s="174">
        <f>I186/J186</f>
        <v>3.8026172937293734</v>
      </c>
      <c r="L186" s="124"/>
      <c r="M186" s="13"/>
      <c r="N186" s="13"/>
    </row>
    <row r="187" spans="1:14" x14ac:dyDescent="0.25">
      <c r="A187" s="203"/>
      <c r="B187" s="204"/>
      <c r="C187" s="204"/>
      <c r="D187" s="204"/>
      <c r="E187" s="205"/>
      <c r="F187" s="36"/>
      <c r="G187" s="36"/>
      <c r="H187" s="36"/>
      <c r="I187" s="7"/>
      <c r="J187" s="12"/>
      <c r="K187" s="7"/>
      <c r="L187" s="13"/>
      <c r="M187" s="13"/>
      <c r="N187" s="3"/>
    </row>
    <row r="188" spans="1:14" ht="15.75" thickBot="1" x14ac:dyDescent="0.3">
      <c r="A188" s="252" t="s">
        <v>94</v>
      </c>
      <c r="B188" s="252"/>
      <c r="C188" s="252"/>
      <c r="D188" s="252"/>
      <c r="E188" s="252"/>
      <c r="F188" s="253"/>
      <c r="G188" s="253"/>
      <c r="H188" s="254"/>
      <c r="I188" s="127">
        <f>I186+I187</f>
        <v>1152.1930400000001</v>
      </c>
      <c r="J188" s="128"/>
      <c r="K188" s="129">
        <f>SUM(K186:K187)</f>
        <v>3.8026172937293734</v>
      </c>
      <c r="L188" s="13"/>
      <c r="M188" s="13"/>
      <c r="N188" s="16">
        <f>I188/88.1%</f>
        <v>1307.8241089670832</v>
      </c>
    </row>
    <row r="189" spans="1:14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3"/>
    </row>
    <row r="190" spans="1:14" x14ac:dyDescent="0.25">
      <c r="A190" s="255" t="s">
        <v>132</v>
      </c>
      <c r="B190" s="255"/>
      <c r="C190" s="255"/>
      <c r="D190" s="255"/>
      <c r="E190" s="255"/>
      <c r="F190" s="255"/>
      <c r="G190" s="255"/>
      <c r="H190" s="255"/>
      <c r="I190" s="255"/>
      <c r="J190" s="255"/>
      <c r="K190" s="255"/>
      <c r="L190" s="239"/>
      <c r="M190" s="13"/>
      <c r="N190" s="4"/>
    </row>
    <row r="191" spans="1:14" ht="60" x14ac:dyDescent="0.25">
      <c r="A191" s="206" t="s">
        <v>130</v>
      </c>
      <c r="B191" s="206"/>
      <c r="C191" s="206"/>
      <c r="D191" s="206"/>
      <c r="E191" s="206"/>
      <c r="F191" s="44" t="s">
        <v>7</v>
      </c>
      <c r="G191" s="44" t="s">
        <v>90</v>
      </c>
      <c r="H191" s="44" t="s">
        <v>71</v>
      </c>
      <c r="I191" s="44" t="s">
        <v>82</v>
      </c>
      <c r="J191" s="6" t="s">
        <v>102</v>
      </c>
      <c r="K191" s="6" t="s">
        <v>131</v>
      </c>
      <c r="L191" s="123"/>
      <c r="M191" s="13"/>
      <c r="N191" s="4"/>
    </row>
    <row r="192" spans="1:14" s="78" customFormat="1" ht="24.75" customHeight="1" x14ac:dyDescent="0.25">
      <c r="A192" s="256" t="s">
        <v>135</v>
      </c>
      <c r="B192" s="257"/>
      <c r="C192" s="257"/>
      <c r="D192" s="257"/>
      <c r="E192" s="258"/>
      <c r="F192" s="36" t="s">
        <v>44</v>
      </c>
      <c r="G192" s="181"/>
      <c r="H192" s="181"/>
      <c r="I192" s="297">
        <v>10000</v>
      </c>
      <c r="J192" s="12">
        <v>303</v>
      </c>
      <c r="K192" s="180">
        <f>I192/J192</f>
        <v>33.003300330033007</v>
      </c>
      <c r="L192" s="123"/>
      <c r="M192" s="13"/>
      <c r="N192" s="86"/>
    </row>
    <row r="193" spans="1:19" s="78" customFormat="1" ht="28.5" customHeight="1" thickBot="1" x14ac:dyDescent="0.3">
      <c r="A193" s="256" t="s">
        <v>140</v>
      </c>
      <c r="B193" s="257"/>
      <c r="C193" s="257"/>
      <c r="D193" s="257"/>
      <c r="E193" s="258"/>
      <c r="F193" s="36" t="s">
        <v>44</v>
      </c>
      <c r="G193" s="153"/>
      <c r="H193" s="153"/>
      <c r="I193" s="59">
        <v>1616640</v>
      </c>
      <c r="J193" s="12">
        <v>303</v>
      </c>
      <c r="K193" s="7">
        <f>I193/J193</f>
        <v>5335.4455445544554</v>
      </c>
      <c r="L193" s="154"/>
      <c r="M193" s="154"/>
      <c r="N193" s="313"/>
      <c r="O193" s="37"/>
      <c r="P193" s="95"/>
      <c r="Q193" s="100"/>
      <c r="R193" s="13"/>
      <c r="S193" s="86"/>
    </row>
    <row r="194" spans="1:19" ht="30" hidden="1" customHeight="1" thickBot="1" x14ac:dyDescent="0.3">
      <c r="A194" s="284"/>
      <c r="B194" s="285"/>
      <c r="C194" s="285"/>
      <c r="D194" s="285"/>
      <c r="E194" s="286"/>
      <c r="F194" s="36" t="s">
        <v>44</v>
      </c>
      <c r="G194" s="29"/>
      <c r="H194" s="45"/>
      <c r="I194" s="155"/>
      <c r="J194" s="12">
        <v>9</v>
      </c>
      <c r="K194" s="152">
        <f>I194/J194</f>
        <v>0</v>
      </c>
      <c r="L194" s="124"/>
      <c r="M194" s="13"/>
      <c r="N194" s="4"/>
    </row>
    <row r="195" spans="1:19" ht="15.75" thickBot="1" x14ac:dyDescent="0.3">
      <c r="A195" s="234"/>
      <c r="B195" s="235"/>
      <c r="C195" s="235"/>
      <c r="D195" s="235"/>
      <c r="E195" s="235"/>
      <c r="F195" s="235"/>
      <c r="G195" s="235"/>
      <c r="H195" s="235"/>
      <c r="I195" s="46">
        <f>I192+N193+I194+I193</f>
        <v>1626640</v>
      </c>
      <c r="J195" s="47"/>
      <c r="K195" s="35">
        <f>K192+P193+K194+K193</f>
        <v>5368.4488448844886</v>
      </c>
      <c r="L195" s="135"/>
      <c r="M195" s="13"/>
      <c r="N195" s="4"/>
    </row>
    <row r="196" spans="1:19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4"/>
    </row>
    <row r="197" spans="1:19" x14ac:dyDescent="0.25">
      <c r="A197" s="86"/>
      <c r="B197" s="86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4"/>
    </row>
    <row r="198" spans="1:19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3"/>
    </row>
    <row r="199" spans="1:19" x14ac:dyDescent="0.25">
      <c r="A199" s="218" t="s">
        <v>46</v>
      </c>
      <c r="B199" s="218"/>
      <c r="C199" s="218"/>
      <c r="D199" s="218"/>
      <c r="E199" s="218"/>
      <c r="F199" s="218"/>
      <c r="G199" s="218"/>
      <c r="H199" s="218"/>
      <c r="I199" s="218"/>
      <c r="J199" s="218"/>
      <c r="K199" s="218"/>
      <c r="L199" s="218"/>
      <c r="M199" s="218"/>
      <c r="N199" s="3"/>
    </row>
    <row r="200" spans="1:19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3"/>
    </row>
    <row r="201" spans="1:19" ht="47.25" customHeight="1" x14ac:dyDescent="0.25">
      <c r="A201" s="185" t="s">
        <v>47</v>
      </c>
      <c r="B201" s="185"/>
      <c r="C201" s="185"/>
      <c r="D201" s="206" t="s">
        <v>48</v>
      </c>
      <c r="E201" s="206"/>
      <c r="F201" s="206"/>
      <c r="G201" s="206"/>
      <c r="H201" s="206"/>
      <c r="I201" s="206"/>
      <c r="J201" s="206"/>
      <c r="K201" s="206"/>
      <c r="L201" s="185" t="s">
        <v>58</v>
      </c>
      <c r="M201" s="185"/>
      <c r="N201" s="3"/>
    </row>
    <row r="202" spans="1:19" ht="30" x14ac:dyDescent="0.25">
      <c r="A202" s="36" t="s">
        <v>49</v>
      </c>
      <c r="B202" s="6" t="s">
        <v>50</v>
      </c>
      <c r="C202" s="36" t="s">
        <v>51</v>
      </c>
      <c r="D202" s="36" t="s">
        <v>52</v>
      </c>
      <c r="E202" s="36" t="s">
        <v>53</v>
      </c>
      <c r="F202" s="36" t="s">
        <v>133</v>
      </c>
      <c r="G202" s="36" t="s">
        <v>54</v>
      </c>
      <c r="H202" s="36" t="s">
        <v>55</v>
      </c>
      <c r="I202" s="36" t="s">
        <v>56</v>
      </c>
      <c r="J202" s="36" t="s">
        <v>96</v>
      </c>
      <c r="K202" s="36" t="s">
        <v>57</v>
      </c>
      <c r="L202" s="185"/>
      <c r="M202" s="185"/>
      <c r="N202" s="3"/>
    </row>
    <row r="203" spans="1:19" x14ac:dyDescent="0.25">
      <c r="A203" s="9">
        <f>K55</f>
        <v>5193.0293399339935</v>
      </c>
      <c r="B203" s="9"/>
      <c r="C203" s="9"/>
      <c r="D203" s="9">
        <f>K95</f>
        <v>426.54454326732679</v>
      </c>
      <c r="E203" s="9">
        <f>K105</f>
        <v>83.73911960396039</v>
      </c>
      <c r="F203" s="9">
        <f>K195</f>
        <v>5368.4488448844886</v>
      </c>
      <c r="G203" s="9">
        <f>L122</f>
        <v>58.712527128712864</v>
      </c>
      <c r="H203" s="9">
        <f>K182</f>
        <v>0</v>
      </c>
      <c r="I203" s="9">
        <f>K155</f>
        <v>3395.442277227723</v>
      </c>
      <c r="J203" s="9">
        <f>K188</f>
        <v>3.8026172937293734</v>
      </c>
      <c r="K203" s="7">
        <f>J113</f>
        <v>63.647524752475242</v>
      </c>
      <c r="L203" s="247">
        <f>SUM(A203:K203)</f>
        <v>14593.366794092412</v>
      </c>
      <c r="M203" s="248"/>
      <c r="N203" s="4"/>
    </row>
    <row r="204" spans="1:19" ht="15.75" thickBot="1" x14ac:dyDescent="0.3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3"/>
    </row>
    <row r="205" spans="1:19" ht="15.75" thickBot="1" x14ac:dyDescent="0.3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N205" s="43">
        <f>L203*303</f>
        <v>4421790.1386100007</v>
      </c>
    </row>
    <row r="206" spans="1:19" ht="15.75" thickBot="1" x14ac:dyDescent="0.3">
      <c r="A206" s="87" t="s">
        <v>104</v>
      </c>
      <c r="B206" s="87"/>
      <c r="C206" s="87"/>
      <c r="D206" s="13"/>
      <c r="E206" s="13"/>
      <c r="F206" s="13"/>
      <c r="G206" s="13"/>
      <c r="H206" s="13"/>
      <c r="I206" s="13"/>
      <c r="J206" s="86"/>
      <c r="K206" s="42">
        <f>I195+I188+I155+J122+H113+I105+I95+I55</f>
        <v>4421790.1386099998</v>
      </c>
      <c r="L206" s="13"/>
      <c r="M206" s="13"/>
      <c r="N206" s="3"/>
    </row>
    <row r="207" spans="1:19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1">
        <f>'Работа №1 на 01.01.2022'!I168+'Работа №2 на 01.01.2022'!I188+'Работа №2 на 01.01.2022'!I189+'Работа №4 на 01.01.2021'!I176+'Работа №5 на 01.01.2021'!I192+'Работа №5 на 01.01.2021'!I193</f>
        <v>1804290</v>
      </c>
    </row>
    <row r="208" spans="1:19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8"/>
      <c r="L208" s="13"/>
      <c r="M208" s="13"/>
      <c r="N208" s="3"/>
    </row>
    <row r="209" spans="1:14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3"/>
    </row>
    <row r="210" spans="1:14" ht="18.75" x14ac:dyDescent="0.3">
      <c r="A210" s="139" t="s">
        <v>105</v>
      </c>
      <c r="B210" s="139"/>
      <c r="C210" s="139"/>
      <c r="G210" s="139" t="s">
        <v>163</v>
      </c>
      <c r="K210" s="140"/>
    </row>
    <row r="218" spans="1:14" ht="15.75" x14ac:dyDescent="0.25">
      <c r="A218" s="74" t="s">
        <v>72</v>
      </c>
      <c r="B218" s="74"/>
    </row>
    <row r="219" spans="1:14" ht="15.75" x14ac:dyDescent="0.25">
      <c r="A219" s="74" t="s">
        <v>159</v>
      </c>
      <c r="B219" s="74"/>
    </row>
    <row r="220" spans="1:14" ht="15.75" x14ac:dyDescent="0.25">
      <c r="A220" s="74" t="s">
        <v>160</v>
      </c>
      <c r="C220" s="74"/>
    </row>
    <row r="221" spans="1:14" ht="15.75" x14ac:dyDescent="0.25">
      <c r="A221" s="141"/>
      <c r="B221" s="141"/>
      <c r="C221" s="141"/>
    </row>
    <row r="222" spans="1:14" x14ac:dyDescent="0.25">
      <c r="H222" s="13"/>
      <c r="J222" s="140"/>
    </row>
    <row r="223" spans="1:14" x14ac:dyDescent="0.25">
      <c r="J223" s="140">
        <f>I188+I155+J122+H113+I105+I95+I55</f>
        <v>2795150.1386099998</v>
      </c>
    </row>
    <row r="224" spans="1:14" x14ac:dyDescent="0.25">
      <c r="J224" s="78">
        <f>J223/N41</f>
        <v>9565880.0089322366</v>
      </c>
    </row>
  </sheetData>
  <mergeCells count="194">
    <mergeCell ref="A188:H188"/>
    <mergeCell ref="A195:H195"/>
    <mergeCell ref="A199:M199"/>
    <mergeCell ref="A201:C201"/>
    <mergeCell ref="D201:K201"/>
    <mergeCell ref="L201:M202"/>
    <mergeCell ref="L203:M203"/>
    <mergeCell ref="A190:L190"/>
    <mergeCell ref="A191:E191"/>
    <mergeCell ref="A192:E192"/>
    <mergeCell ref="A193:E193"/>
    <mergeCell ref="A194:E194"/>
    <mergeCell ref="A187:E187"/>
    <mergeCell ref="A160:E160"/>
    <mergeCell ref="A161:E161"/>
    <mergeCell ref="A162:E162"/>
    <mergeCell ref="A163:L163"/>
    <mergeCell ref="A165:L165"/>
    <mergeCell ref="A167:E167"/>
    <mergeCell ref="A152:E152"/>
    <mergeCell ref="A153:E153"/>
    <mergeCell ref="A154:E154"/>
    <mergeCell ref="A155:E155"/>
    <mergeCell ref="A157:M157"/>
    <mergeCell ref="A159:E159"/>
    <mergeCell ref="A179:E179"/>
    <mergeCell ref="A180:E180"/>
    <mergeCell ref="A184:L184"/>
    <mergeCell ref="A185:E185"/>
    <mergeCell ref="A186:E186"/>
    <mergeCell ref="A168:E168"/>
    <mergeCell ref="A169:E169"/>
    <mergeCell ref="A171:M171"/>
    <mergeCell ref="A176:E176"/>
    <mergeCell ref="A177:E177"/>
    <mergeCell ref="A178:E178"/>
    <mergeCell ref="A146:E146"/>
    <mergeCell ref="A147:E147"/>
    <mergeCell ref="A148:E148"/>
    <mergeCell ref="A149:E149"/>
    <mergeCell ref="A150:E150"/>
    <mergeCell ref="A151:E151"/>
    <mergeCell ref="A140:E140"/>
    <mergeCell ref="A141:E141"/>
    <mergeCell ref="A142:E142"/>
    <mergeCell ref="A143:E143"/>
    <mergeCell ref="A144:E144"/>
    <mergeCell ref="A145:E145"/>
    <mergeCell ref="A134:E134"/>
    <mergeCell ref="A135:E135"/>
    <mergeCell ref="A136:E136"/>
    <mergeCell ref="A137:E137"/>
    <mergeCell ref="A138:E138"/>
    <mergeCell ref="A139:E139"/>
    <mergeCell ref="A128:E128"/>
    <mergeCell ref="A129:E129"/>
    <mergeCell ref="A130:E130"/>
    <mergeCell ref="A131:E131"/>
    <mergeCell ref="A132:E132"/>
    <mergeCell ref="A133:E133"/>
    <mergeCell ref="A122:E122"/>
    <mergeCell ref="A125:M125"/>
    <mergeCell ref="A127:E127"/>
    <mergeCell ref="A116:E116"/>
    <mergeCell ref="A121:E121"/>
    <mergeCell ref="A115:E115"/>
    <mergeCell ref="A118:N118"/>
    <mergeCell ref="A119:E119"/>
    <mergeCell ref="A120:E120"/>
    <mergeCell ref="F122:I122"/>
    <mergeCell ref="A110:E110"/>
    <mergeCell ref="A111:E111"/>
    <mergeCell ref="A112:E112"/>
    <mergeCell ref="A113:E113"/>
    <mergeCell ref="A98:E98"/>
    <mergeCell ref="A99:E99"/>
    <mergeCell ref="A100:E100"/>
    <mergeCell ref="A101:E101"/>
    <mergeCell ref="A103:E103"/>
    <mergeCell ref="A107:M107"/>
    <mergeCell ref="A109:E109"/>
    <mergeCell ref="A104:E104"/>
    <mergeCell ref="A90:E90"/>
    <mergeCell ref="A91:E91"/>
    <mergeCell ref="A92:E92"/>
    <mergeCell ref="A93:E93"/>
    <mergeCell ref="A94:E94"/>
    <mergeCell ref="A96:M96"/>
    <mergeCell ref="A81:E81"/>
    <mergeCell ref="A82:L82"/>
    <mergeCell ref="A84:M84"/>
    <mergeCell ref="A86:L86"/>
    <mergeCell ref="A88:E88"/>
    <mergeCell ref="A89:E89"/>
    <mergeCell ref="A95:E95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63:E63"/>
    <mergeCell ref="A64:E64"/>
    <mergeCell ref="A65:E65"/>
    <mergeCell ref="A66:E66"/>
    <mergeCell ref="A67:E67"/>
    <mergeCell ref="A68:E68"/>
    <mergeCell ref="A54:E54"/>
    <mergeCell ref="A55:E55"/>
    <mergeCell ref="A59:M59"/>
    <mergeCell ref="A61:E61"/>
    <mergeCell ref="A62:E62"/>
    <mergeCell ref="A48:M48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45:E45"/>
    <mergeCell ref="G45:L45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35:E35"/>
    <mergeCell ref="G35:L35"/>
    <mergeCell ref="A30:E30"/>
    <mergeCell ref="G30:L30"/>
    <mergeCell ref="A31:E31"/>
    <mergeCell ref="G31:L31"/>
    <mergeCell ref="A32:E32"/>
    <mergeCell ref="G32:L32"/>
    <mergeCell ref="A39:E39"/>
    <mergeCell ref="G39:L39"/>
    <mergeCell ref="A20:E20"/>
    <mergeCell ref="G20:L20"/>
    <mergeCell ref="A21:E21"/>
    <mergeCell ref="G21:L21"/>
    <mergeCell ref="A22:E22"/>
    <mergeCell ref="G22:L22"/>
    <mergeCell ref="A33:E33"/>
    <mergeCell ref="G33:L33"/>
    <mergeCell ref="A34:E34"/>
    <mergeCell ref="G34:L34"/>
    <mergeCell ref="A26:E26"/>
    <mergeCell ref="G26:L26"/>
    <mergeCell ref="A27:E27"/>
    <mergeCell ref="G27:L27"/>
    <mergeCell ref="A28:E28"/>
    <mergeCell ref="A29:E29"/>
    <mergeCell ref="A23:E23"/>
    <mergeCell ref="G23:L23"/>
    <mergeCell ref="A24:E24"/>
    <mergeCell ref="G24:L24"/>
    <mergeCell ref="A25:E25"/>
    <mergeCell ref="G25:L25"/>
    <mergeCell ref="G28:L28"/>
    <mergeCell ref="A2:D2"/>
    <mergeCell ref="E2:H2"/>
    <mergeCell ref="A3:B3"/>
    <mergeCell ref="E3:F3"/>
    <mergeCell ref="A4:C4"/>
    <mergeCell ref="E4:G4"/>
    <mergeCell ref="J4:M4"/>
    <mergeCell ref="A19:E19"/>
    <mergeCell ref="G19:L19"/>
    <mergeCell ref="A17:E17"/>
    <mergeCell ref="G17:L17"/>
    <mergeCell ref="A18:E18"/>
    <mergeCell ref="G18:L18"/>
    <mergeCell ref="A6:C6"/>
    <mergeCell ref="E6:G6"/>
    <mergeCell ref="A8:G8"/>
    <mergeCell ref="A9:H9"/>
    <mergeCell ref="A13:M13"/>
    <mergeCell ref="A15:M15"/>
  </mergeCells>
  <pageMargins left="0.70866141732283472" right="0.70866141732283472" top="0.15" bottom="0.23" header="0.15" footer="0.15"/>
  <pageSetup paperSize="9" scale="60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30"/>
  <sheetViews>
    <sheetView topLeftCell="A7" workbookViewId="0">
      <selection activeCell="D14" sqref="D14"/>
    </sheetView>
  </sheetViews>
  <sheetFormatPr defaultRowHeight="15" x14ac:dyDescent="0.25"/>
  <cols>
    <col min="3" max="3" width="15.140625" customWidth="1"/>
    <col min="4" max="4" width="18" bestFit="1" customWidth="1"/>
    <col min="6" max="6" width="13.140625" bestFit="1" customWidth="1"/>
    <col min="8" max="8" width="16.7109375" customWidth="1"/>
  </cols>
  <sheetData>
    <row r="4" spans="2:9" ht="15.75" thickBot="1" x14ac:dyDescent="0.3"/>
    <row r="5" spans="2:9" ht="18.75" x14ac:dyDescent="0.3">
      <c r="B5" s="290" t="s">
        <v>147</v>
      </c>
      <c r="C5" s="291"/>
      <c r="D5" s="291"/>
      <c r="E5" s="291"/>
      <c r="F5" s="291"/>
      <c r="G5" s="292"/>
    </row>
    <row r="6" spans="2:9" ht="34.5" customHeight="1" x14ac:dyDescent="0.25">
      <c r="B6" s="287">
        <f>'Работа №1 на 01.01.2022'!K182+'Работа №2 на 01.01.2022'!K201+'Работа №3 на 01.01.2022'!K191+'Работа №4 на 01.01.2021'!K189+'Работа №5 на 01.01.2021'!K206</f>
        <v>11472670.0033</v>
      </c>
      <c r="C6" s="288"/>
      <c r="D6" s="288"/>
      <c r="E6" s="288"/>
      <c r="F6" s="288"/>
      <c r="G6" s="289"/>
    </row>
    <row r="8" spans="2:9" ht="15.75" x14ac:dyDescent="0.25">
      <c r="C8" s="2"/>
      <c r="D8" s="2"/>
      <c r="E8" s="2"/>
      <c r="F8" s="2"/>
      <c r="G8" s="2"/>
      <c r="H8" s="2"/>
      <c r="I8" s="2"/>
    </row>
    <row r="9" spans="2:9" ht="15.75" x14ac:dyDescent="0.25">
      <c r="C9" s="2"/>
      <c r="D9" s="2"/>
      <c r="E9" s="2"/>
      <c r="F9" s="2"/>
      <c r="G9" s="2"/>
      <c r="H9" s="2"/>
      <c r="I9" s="2"/>
    </row>
    <row r="10" spans="2:9" ht="15.75" x14ac:dyDescent="0.25">
      <c r="C10" s="41" t="s">
        <v>141</v>
      </c>
      <c r="D10" s="41"/>
      <c r="E10" s="2"/>
      <c r="F10" s="40">
        <v>9057300</v>
      </c>
      <c r="G10" s="2"/>
      <c r="H10" s="2">
        <v>11804981.960000001</v>
      </c>
      <c r="I10" s="2"/>
    </row>
    <row r="11" spans="2:9" x14ac:dyDescent="0.25">
      <c r="C11" s="38"/>
      <c r="D11" s="38"/>
      <c r="F11" s="39"/>
    </row>
    <row r="12" spans="2:9" ht="15.75" x14ac:dyDescent="0.25">
      <c r="C12" s="48" t="s">
        <v>149</v>
      </c>
      <c r="D12" s="49">
        <f>'Работа №1 на 01.01.2022'!I171</f>
        <v>20000</v>
      </c>
      <c r="E12" s="2"/>
      <c r="H12" s="39">
        <f>H10-D18</f>
        <v>840891.96000000089</v>
      </c>
    </row>
    <row r="13" spans="2:9" ht="15.75" x14ac:dyDescent="0.25">
      <c r="C13" s="48" t="s">
        <v>142</v>
      </c>
      <c r="D13" s="49">
        <f>'Работа №2 на 01.01.2022'!I190</f>
        <v>147000</v>
      </c>
      <c r="E13" s="2"/>
    </row>
    <row r="14" spans="2:9" ht="15.75" x14ac:dyDescent="0.25">
      <c r="C14" s="48" t="s">
        <v>143</v>
      </c>
      <c r="D14" s="49">
        <f>'Работа №3 на 01.01.2022'!I180</f>
        <v>85650</v>
      </c>
      <c r="E14" s="2"/>
    </row>
    <row r="15" spans="2:9" ht="15.75" x14ac:dyDescent="0.25">
      <c r="C15" s="48" t="s">
        <v>144</v>
      </c>
      <c r="D15" s="49">
        <f>'Работа №4 на 01.01.2021'!I178</f>
        <v>27500</v>
      </c>
      <c r="E15" s="2"/>
    </row>
    <row r="16" spans="2:9" ht="15.75" x14ac:dyDescent="0.25">
      <c r="C16" s="48" t="s">
        <v>145</v>
      </c>
      <c r="D16" s="49">
        <f>'Работа №5 на 01.01.2021'!I195</f>
        <v>1626640</v>
      </c>
      <c r="E16" s="2"/>
    </row>
    <row r="17" spans="3:7" ht="18.75" x14ac:dyDescent="0.3">
      <c r="C17" s="50" t="s">
        <v>146</v>
      </c>
      <c r="D17" s="53">
        <f>D12+D13+D14+D15+D16</f>
        <v>1906790</v>
      </c>
    </row>
    <row r="18" spans="3:7" ht="18.75" x14ac:dyDescent="0.3">
      <c r="C18" s="50" t="s">
        <v>148</v>
      </c>
      <c r="D18" s="51">
        <f>D17+F10</f>
        <v>10964090</v>
      </c>
    </row>
    <row r="21" spans="3:7" ht="15.75" x14ac:dyDescent="0.25">
      <c r="C21" s="293" t="s">
        <v>151</v>
      </c>
      <c r="D21" s="293"/>
      <c r="E21" s="293"/>
      <c r="F21" s="293"/>
    </row>
    <row r="22" spans="3:7" ht="15.75" x14ac:dyDescent="0.25">
      <c r="C22" s="41" t="s">
        <v>141</v>
      </c>
      <c r="D22" s="41"/>
      <c r="E22" s="2"/>
      <c r="F22" s="40">
        <v>7841100</v>
      </c>
      <c r="G22" s="2"/>
    </row>
    <row r="24" spans="3:7" ht="15.75" x14ac:dyDescent="0.25">
      <c r="C24" s="48" t="s">
        <v>149</v>
      </c>
      <c r="D24" s="49">
        <v>20000</v>
      </c>
    </row>
    <row r="25" spans="3:7" ht="15.75" x14ac:dyDescent="0.25">
      <c r="C25" s="48" t="s">
        <v>142</v>
      </c>
      <c r="D25" s="49">
        <v>1066218</v>
      </c>
    </row>
    <row r="26" spans="3:7" ht="15.75" x14ac:dyDescent="0.25">
      <c r="C26" s="48" t="s">
        <v>143</v>
      </c>
      <c r="D26" s="49">
        <v>98500</v>
      </c>
    </row>
    <row r="27" spans="3:7" ht="15.75" x14ac:dyDescent="0.25">
      <c r="C27" s="48" t="s">
        <v>144</v>
      </c>
      <c r="D27" s="49">
        <v>30446</v>
      </c>
    </row>
    <row r="28" spans="3:7" ht="15.75" x14ac:dyDescent="0.25">
      <c r="C28" s="48" t="s">
        <v>145</v>
      </c>
      <c r="D28" s="49">
        <v>1541835</v>
      </c>
    </row>
    <row r="29" spans="3:7" ht="18.75" x14ac:dyDescent="0.3">
      <c r="C29" s="50" t="s">
        <v>146</v>
      </c>
      <c r="D29" s="53">
        <f>D24+D25+D26+D27+D28</f>
        <v>2756999</v>
      </c>
    </row>
    <row r="30" spans="3:7" ht="18.75" x14ac:dyDescent="0.3">
      <c r="C30" s="50" t="s">
        <v>148</v>
      </c>
      <c r="D30" s="51">
        <f>D29+F22</f>
        <v>10598099</v>
      </c>
    </row>
  </sheetData>
  <mergeCells count="3">
    <mergeCell ref="B6:G6"/>
    <mergeCell ref="B5:G5"/>
    <mergeCell ref="C21:F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Работа №1 на 01.01.2022</vt:lpstr>
      <vt:lpstr>Работа №2 на 01.01.2022</vt:lpstr>
      <vt:lpstr>Работа №3 на 01.01.2022</vt:lpstr>
      <vt:lpstr>Работа №4 на 01.01.2021</vt:lpstr>
      <vt:lpstr>Работа №5 на 01.01.2021</vt:lpstr>
      <vt:lpstr>свод</vt:lpstr>
      <vt:lpstr>'Работа №1 на 01.01.2022'!Область_печати</vt:lpstr>
      <vt:lpstr>'Работа №2 на 01.01.2022'!Область_печати</vt:lpstr>
      <vt:lpstr>'Работа №3 на 01.01.2022'!Область_печати</vt:lpstr>
      <vt:lpstr>'Работа №4 на 01.01.2021'!Область_печати</vt:lpstr>
      <vt:lpstr>'Работа №5 на 01.01.2021'!Область_печати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2022-01-20T09:42:06Z</dcterms:modified>
</cp:coreProperties>
</file>