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calcPr calcId="124519"/>
</workbook>
</file>

<file path=xl/calcChain.xml><?xml version="1.0" encoding="utf-8"?>
<calcChain xmlns="http://schemas.openxmlformats.org/spreadsheetml/2006/main">
  <c r="K10" i="7"/>
  <c r="H10"/>
  <c r="K15"/>
  <c r="H15"/>
  <c r="H22" i="6"/>
  <c r="D7" i="4"/>
  <c r="H23" i="6"/>
  <c r="J8"/>
  <c r="J9"/>
  <c r="J19" i="5"/>
  <c r="H29" l="1"/>
  <c r="H23"/>
  <c r="H11" i="6"/>
  <c r="I11"/>
  <c r="J12"/>
  <c r="J13" i="7"/>
  <c r="J14"/>
  <c r="J12"/>
  <c r="K14"/>
  <c r="J8"/>
  <c r="J9"/>
  <c r="J7"/>
  <c r="H18" i="5"/>
  <c r="H12"/>
  <c r="H11"/>
  <c r="J58"/>
  <c r="J59"/>
  <c r="J60"/>
  <c r="J61"/>
  <c r="H60"/>
  <c r="E60"/>
  <c r="E61" s="1"/>
  <c r="F59"/>
  <c r="E59"/>
  <c r="G59" s="1"/>
  <c r="I59" s="1"/>
  <c r="G58"/>
  <c r="I58" s="1"/>
  <c r="F58"/>
  <c r="E58"/>
  <c r="K27" i="7"/>
  <c r="G43" i="6"/>
  <c r="K64" i="5"/>
  <c r="K63"/>
  <c r="F61" l="1"/>
  <c r="G61" s="1"/>
  <c r="I61" s="1"/>
  <c r="F60"/>
  <c r="G60" s="1"/>
  <c r="I60" s="1"/>
  <c r="D29" i="4" l="1"/>
  <c r="K17" l="1"/>
  <c r="K11"/>
  <c r="D8" i="1"/>
  <c r="I8" s="1"/>
  <c r="D22"/>
  <c r="I22" s="1"/>
  <c r="I23"/>
  <c r="I24"/>
  <c r="I25"/>
  <c r="I26"/>
  <c r="I27"/>
  <c r="I28"/>
  <c r="I29"/>
  <c r="I21"/>
  <c r="I9"/>
  <c r="I10"/>
  <c r="I11"/>
  <c r="I12"/>
  <c r="I13"/>
  <c r="I14"/>
  <c r="I15"/>
  <c r="I16"/>
  <c r="I7"/>
  <c r="L30"/>
  <c r="L17"/>
  <c r="F14" i="7" l="1"/>
  <c r="F15"/>
  <c r="F13"/>
  <c r="F12"/>
  <c r="F9"/>
  <c r="F10" s="1"/>
  <c r="F8"/>
  <c r="F7"/>
  <c r="F23" i="6"/>
  <c r="F22"/>
  <c r="F13"/>
  <c r="F14"/>
  <c r="F15" s="1"/>
  <c r="F16" s="1"/>
  <c r="F17" s="1"/>
  <c r="F12"/>
  <c r="F11"/>
  <c r="F9"/>
  <c r="F8"/>
  <c r="F7"/>
  <c r="F13" i="4"/>
  <c r="F14" s="1"/>
  <c r="F15" s="1"/>
  <c r="F9"/>
  <c r="F10" s="1"/>
  <c r="F8"/>
  <c r="F31"/>
  <c r="F32" s="1"/>
  <c r="F30"/>
  <c r="E31"/>
  <c r="E32" s="1"/>
  <c r="E30"/>
  <c r="J38" i="6" l="1"/>
  <c r="K10"/>
  <c r="L22"/>
  <c r="E13" i="4" l="1"/>
  <c r="E14" s="1"/>
  <c r="E15" s="1"/>
  <c r="E9"/>
  <c r="E10" s="1"/>
  <c r="E8"/>
  <c r="E8" i="6" s="1"/>
  <c r="G8" l="1"/>
  <c r="I8" s="1"/>
  <c r="K65" i="5" l="1"/>
  <c r="D18" i="1"/>
  <c r="K16" i="7" l="1"/>
  <c r="K29" l="1"/>
  <c r="E25"/>
  <c r="F25" s="1"/>
  <c r="K11"/>
  <c r="E33" i="6"/>
  <c r="F33" s="1"/>
  <c r="E43"/>
  <c r="F43" s="1"/>
  <c r="E55" i="5"/>
  <c r="F55" s="1"/>
  <c r="K39" i="6"/>
  <c r="E34" l="1"/>
  <c r="F34" s="1"/>
  <c r="G33"/>
  <c r="I33" s="1"/>
  <c r="J33" s="1"/>
  <c r="G25" i="7"/>
  <c r="I25" s="1"/>
  <c r="J25" s="1"/>
  <c r="E26"/>
  <c r="F26" s="1"/>
  <c r="J43" i="6"/>
  <c r="K43" s="1"/>
  <c r="E35" l="1"/>
  <c r="F35" s="1"/>
  <c r="G34"/>
  <c r="I34" s="1"/>
  <c r="J34" s="1"/>
  <c r="E37"/>
  <c r="F37" s="1"/>
  <c r="E27" i="7"/>
  <c r="F27" s="1"/>
  <c r="G26"/>
  <c r="I26" s="1"/>
  <c r="J26" s="1"/>
  <c r="G37" i="6"/>
  <c r="I37" s="1"/>
  <c r="J37" s="1"/>
  <c r="M43"/>
  <c r="G35" l="1"/>
  <c r="I35" s="1"/>
  <c r="J35" s="1"/>
  <c r="E36"/>
  <c r="F36" s="1"/>
  <c r="E28" i="7"/>
  <c r="F28" s="1"/>
  <c r="G27"/>
  <c r="I27" s="1"/>
  <c r="J27" s="1"/>
  <c r="G36" i="6" l="1"/>
  <c r="I36" s="1"/>
  <c r="J36" s="1"/>
  <c r="G28" i="7"/>
  <c r="I28" s="1"/>
  <c r="J28" s="1"/>
  <c r="I29" l="1"/>
  <c r="J29" s="1"/>
  <c r="I39" i="6"/>
  <c r="J39" s="1"/>
  <c r="G29" i="4" l="1"/>
  <c r="I29" s="1"/>
  <c r="G32"/>
  <c r="I32" s="1"/>
  <c r="G31"/>
  <c r="I31" s="1"/>
  <c r="G30"/>
  <c r="I30" s="1"/>
  <c r="I33" l="1"/>
  <c r="J33" s="1"/>
  <c r="E56" i="5"/>
  <c r="F56" s="1"/>
  <c r="E64"/>
  <c r="F64" s="1"/>
  <c r="G55"/>
  <c r="I55" s="1"/>
  <c r="J55" s="1"/>
  <c r="E62" l="1"/>
  <c r="F62" s="1"/>
  <c r="G56"/>
  <c r="I56" s="1"/>
  <c r="J56" s="1"/>
  <c r="E57"/>
  <c r="F57" s="1"/>
  <c r="L33" i="4"/>
  <c r="G64" i="5"/>
  <c r="I64" s="1"/>
  <c r="J64" s="1"/>
  <c r="G62" l="1"/>
  <c r="I62" s="1"/>
  <c r="J62" s="1"/>
  <c r="G57"/>
  <c r="I57" s="1"/>
  <c r="J57" s="1"/>
  <c r="E63"/>
  <c r="F63" s="1"/>
  <c r="G63" l="1"/>
  <c r="I63" s="1"/>
  <c r="J63" s="1"/>
  <c r="C17" i="1"/>
  <c r="I65" i="5" l="1"/>
  <c r="J65" s="1"/>
  <c r="E20"/>
  <c r="F20" s="1"/>
  <c r="F21" s="1"/>
  <c r="F22" s="1"/>
  <c r="F23" s="1"/>
  <c r="F24" s="1"/>
  <c r="F25" s="1"/>
  <c r="F26" s="1"/>
  <c r="F27" s="1"/>
  <c r="F28" s="1"/>
  <c r="F29" s="1"/>
  <c r="F30" s="1"/>
  <c r="F31" s="1"/>
  <c r="E7"/>
  <c r="F7" s="1"/>
  <c r="F8" s="1"/>
  <c r="F9" s="1"/>
  <c r="F10" s="1"/>
  <c r="F11" s="1"/>
  <c r="F12" s="1"/>
  <c r="F13" s="1"/>
  <c r="F14" s="1"/>
  <c r="F15" s="1"/>
  <c r="F16" s="1"/>
  <c r="F17" s="1"/>
  <c r="F18" s="1"/>
  <c r="K18" i="6"/>
  <c r="E11"/>
  <c r="E7"/>
  <c r="E28" i="5" l="1"/>
  <c r="E21"/>
  <c r="E22" i="6"/>
  <c r="E12"/>
  <c r="E29" i="5"/>
  <c r="E11"/>
  <c r="E9" i="6"/>
  <c r="E27" i="5"/>
  <c r="E31"/>
  <c r="E23"/>
  <c r="E30"/>
  <c r="E22"/>
  <c r="E16"/>
  <c r="E10"/>
  <c r="E15"/>
  <c r="E9"/>
  <c r="E14"/>
  <c r="E18"/>
  <c r="E8"/>
  <c r="E12"/>
  <c r="E17"/>
  <c r="E12" i="7"/>
  <c r="E7"/>
  <c r="G10" i="1"/>
  <c r="E25" i="5" l="1"/>
  <c r="G7" i="7"/>
  <c r="I7" s="1"/>
  <c r="E26" i="5"/>
  <c r="E13"/>
  <c r="E24"/>
  <c r="E13" i="6"/>
  <c r="G12"/>
  <c r="I12" s="1"/>
  <c r="E8" i="7"/>
  <c r="E13"/>
  <c r="G22" i="6"/>
  <c r="J22" s="1"/>
  <c r="K22" s="1"/>
  <c r="G10" i="5"/>
  <c r="I10" s="1"/>
  <c r="G12"/>
  <c r="I12" s="1"/>
  <c r="G16"/>
  <c r="I16" s="1"/>
  <c r="G25" l="1"/>
  <c r="I25" s="1"/>
  <c r="G24"/>
  <c r="I24" s="1"/>
  <c r="L7" i="7"/>
  <c r="E9"/>
  <c r="G26" i="5"/>
  <c r="I26" s="1"/>
  <c r="G13"/>
  <c r="I13" s="1"/>
  <c r="E14" i="6"/>
  <c r="E15"/>
  <c r="E14" i="7"/>
  <c r="G13" i="6"/>
  <c r="I13" s="1"/>
  <c r="J13" s="1"/>
  <c r="G27" i="1"/>
  <c r="H27" s="1"/>
  <c r="G29" i="5"/>
  <c r="I29" s="1"/>
  <c r="G28"/>
  <c r="I28" s="1"/>
  <c r="G17"/>
  <c r="I17" s="1"/>
  <c r="G15"/>
  <c r="I15" s="1"/>
  <c r="G14" i="6" l="1"/>
  <c r="I14" s="1"/>
  <c r="J14" s="1"/>
  <c r="E10" i="7"/>
  <c r="G9"/>
  <c r="I9" s="1"/>
  <c r="E16" i="6"/>
  <c r="G15"/>
  <c r="I15" s="1"/>
  <c r="J15" s="1"/>
  <c r="E15" i="7"/>
  <c r="G14"/>
  <c r="I14" s="1"/>
  <c r="J27" i="1"/>
  <c r="G10" i="7" l="1"/>
  <c r="I10" s="1"/>
  <c r="J10" s="1"/>
  <c r="L14"/>
  <c r="L9"/>
  <c r="E17" i="6"/>
  <c r="G15" i="7"/>
  <c r="I15" s="1"/>
  <c r="J15" s="1"/>
  <c r="G13"/>
  <c r="I13" s="1"/>
  <c r="G12"/>
  <c r="I12" s="1"/>
  <c r="G8"/>
  <c r="I8" s="1"/>
  <c r="D20" i="1"/>
  <c r="H10"/>
  <c r="G11"/>
  <c r="H11" s="1"/>
  <c r="G12"/>
  <c r="H12" s="1"/>
  <c r="G13"/>
  <c r="H13" s="1"/>
  <c r="G14"/>
  <c r="H14" s="1"/>
  <c r="G15"/>
  <c r="H15" s="1"/>
  <c r="G16"/>
  <c r="H16" s="1"/>
  <c r="D32"/>
  <c r="G23"/>
  <c r="H23" s="1"/>
  <c r="G24"/>
  <c r="H24" s="1"/>
  <c r="G25"/>
  <c r="H25" s="1"/>
  <c r="G26"/>
  <c r="H26" s="1"/>
  <c r="G28"/>
  <c r="H28" s="1"/>
  <c r="G29"/>
  <c r="H29" s="1"/>
  <c r="L15" i="7" l="1"/>
  <c r="L13"/>
  <c r="L12"/>
  <c r="L10"/>
  <c r="L8"/>
  <c r="I11"/>
  <c r="J11" s="1"/>
  <c r="G17" i="6"/>
  <c r="I17" s="1"/>
  <c r="J17" s="1"/>
  <c r="E23"/>
  <c r="I16" i="7"/>
  <c r="J16" s="1"/>
  <c r="J16" i="1"/>
  <c r="J15"/>
  <c r="J14"/>
  <c r="J13"/>
  <c r="J12"/>
  <c r="J11"/>
  <c r="J10"/>
  <c r="D33"/>
  <c r="J29"/>
  <c r="J28"/>
  <c r="J26"/>
  <c r="J25"/>
  <c r="J24"/>
  <c r="J23"/>
  <c r="L16" i="7" l="1"/>
  <c r="L11"/>
  <c r="C30" i="1"/>
  <c r="G23" i="6"/>
  <c r="J23" s="1"/>
  <c r="K23" s="1"/>
  <c r="G16"/>
  <c r="I16" s="1"/>
  <c r="J16" s="1"/>
  <c r="G11"/>
  <c r="G9"/>
  <c r="I9" s="1"/>
  <c r="G7"/>
  <c r="I7" s="1"/>
  <c r="J7" s="1"/>
  <c r="G31" i="5"/>
  <c r="I31" s="1"/>
  <c r="G30"/>
  <c r="I30" s="1"/>
  <c r="G27"/>
  <c r="I27" s="1"/>
  <c r="G23"/>
  <c r="G22"/>
  <c r="I22" s="1"/>
  <c r="G21"/>
  <c r="I21" s="1"/>
  <c r="G20"/>
  <c r="I20" s="1"/>
  <c r="G18"/>
  <c r="I18" s="1"/>
  <c r="G14"/>
  <c r="I14" s="1"/>
  <c r="G9"/>
  <c r="I9" s="1"/>
  <c r="G11"/>
  <c r="G8"/>
  <c r="I8" s="1"/>
  <c r="G7"/>
  <c r="I7" s="1"/>
  <c r="G8" i="4"/>
  <c r="I8" s="1"/>
  <c r="G7"/>
  <c r="I7" s="1"/>
  <c r="G15"/>
  <c r="I15" s="1"/>
  <c r="G14"/>
  <c r="I14" s="1"/>
  <c r="G13"/>
  <c r="I13" s="1"/>
  <c r="G12"/>
  <c r="I12" s="1"/>
  <c r="G9"/>
  <c r="I9" s="1"/>
  <c r="G10"/>
  <c r="I10" s="1"/>
  <c r="J11" i="6" l="1"/>
  <c r="L11" s="1"/>
  <c r="I18"/>
  <c r="J18" s="1"/>
  <c r="M23"/>
  <c r="M22"/>
  <c r="I17" i="4"/>
  <c r="I10" i="6"/>
  <c r="J10" s="1"/>
  <c r="I11" i="4"/>
  <c r="J11" s="1"/>
  <c r="I23" i="5"/>
  <c r="I32" s="1"/>
  <c r="J32" s="1"/>
  <c r="I11"/>
  <c r="I19" s="1"/>
  <c r="J17" i="4" l="1"/>
  <c r="L17" s="1"/>
  <c r="I16"/>
  <c r="G7" i="1" l="1"/>
  <c r="H7" s="1"/>
  <c r="L11" i="4" l="1"/>
  <c r="J7" i="1"/>
  <c r="G22"/>
  <c r="H22" s="1"/>
  <c r="J22" s="1"/>
  <c r="G9"/>
  <c r="H9" s="1"/>
  <c r="G8"/>
  <c r="H8" s="1"/>
  <c r="J9" l="1"/>
  <c r="J8"/>
  <c r="G21"/>
  <c r="H21" s="1"/>
  <c r="J21" s="1"/>
  <c r="J30" s="1"/>
  <c r="K30" s="1"/>
  <c r="M30" l="1"/>
  <c r="J17"/>
  <c r="K17" s="1"/>
  <c r="M17" l="1"/>
</calcChain>
</file>

<file path=xl/sharedStrings.xml><?xml version="1.0" encoding="utf-8"?>
<sst xmlns="http://schemas.openxmlformats.org/spreadsheetml/2006/main" count="360" uniqueCount="111">
  <si>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</si>
  <si>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</si>
  <si>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</si>
  <si>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</si>
  <si>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</si>
  <si>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</si>
  <si>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</si>
  <si>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</si>
  <si>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</si>
  <si>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</si>
  <si>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</si>
  <si>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</si>
  <si>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</si>
  <si>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СЮТ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</si>
  <si>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</si>
  <si>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</si>
  <si>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</si>
  <si>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</si>
  <si>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</si>
  <si>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</si>
  <si>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</si>
  <si>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</si>
  <si>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</si>
  <si>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</si>
  <si>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</si>
  <si>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</si>
  <si>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</si>
  <si>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</si>
  <si>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</si>
  <si>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</si>
  <si>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</si>
  <si>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</si>
  <si>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</si>
  <si>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</si>
  <si>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</si>
  <si>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</si>
  <si>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</si>
  <si>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</si>
  <si>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</si>
  <si>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</si>
  <si>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Возмещение расходов на содержание общего имущества жилого дома</t>
  </si>
  <si>
    <t>Обслуживание аварийного освещения</t>
  </si>
  <si>
    <t>Промывка, опресовка теплосетей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</si>
  <si>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</si>
  <si>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</si>
  <si>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</si>
  <si>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</si>
  <si>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автострахование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</si>
  <si>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</si>
  <si>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</si>
  <si>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</si>
  <si>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</si>
  <si>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</si>
  <si>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Директор</t>
  </si>
  <si>
    <t>Зам.директора</t>
  </si>
  <si>
    <t>завхоз</t>
  </si>
  <si>
    <t>костюмер</t>
  </si>
  <si>
    <t>делопроизводитель</t>
  </si>
  <si>
    <t>гардеробщик</t>
  </si>
  <si>
    <t>уборщик служебного помещения</t>
  </si>
  <si>
    <t>сторож</t>
  </si>
  <si>
    <t>дворник</t>
  </si>
  <si>
    <t>техник по эксплуатации и ремонту спортивной техники</t>
  </si>
  <si>
    <t>оператор ЭВМ</t>
  </si>
  <si>
    <t>водитель</t>
  </si>
  <si>
    <t>ремонтировщик плоскостных сооружений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</si>
  <si>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</si>
  <si>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</si>
  <si>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</si>
  <si>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</si>
  <si>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</si>
  <si>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Тариф (цена 1 кв.м.), руб.</t>
  </si>
  <si>
    <t>Хозтовары</t>
  </si>
  <si>
    <t>Обучение персонала</t>
  </si>
  <si>
    <t>техосмотр и диагностика атотр.средств</t>
  </si>
  <si>
    <t>норма</t>
  </si>
  <si>
    <t>бюджет</t>
  </si>
  <si>
    <t>ремонт орг.техники</t>
  </si>
  <si>
    <t>запасные части</t>
  </si>
  <si>
    <t>заправка огнетушителей</t>
  </si>
  <si>
    <t>Обслуживание системы "Стрелец Мониторинг"</t>
  </si>
  <si>
    <t>6=гр.5/человеко/час</t>
  </si>
  <si>
    <t>Время использования имущ.комплекса на 1человеко/час</t>
  </si>
  <si>
    <t>ДШ</t>
  </si>
  <si>
    <t>Показатель объема, человеко - часы</t>
  </si>
  <si>
    <t>аккарицидная обработка, обсл.территории на закл.</t>
  </si>
  <si>
    <t>приобрретение ЭЦП</t>
  </si>
  <si>
    <t>вахтер</t>
  </si>
  <si>
    <t>УСЛУГА "Организация отдыха детей и молодежи"</t>
  </si>
  <si>
    <t>Спутник</t>
  </si>
  <si>
    <t>Лабораторные исследования</t>
  </si>
  <si>
    <t>спутник</t>
  </si>
  <si>
    <t>тех.обслуживание</t>
  </si>
  <si>
    <t>ГСМ</t>
  </si>
  <si>
    <t>Антифриз, масло</t>
  </si>
  <si>
    <t>обслуживание системы ГЛОНАСС</t>
  </si>
  <si>
    <t>Приобретение угля</t>
  </si>
  <si>
    <t>Медицинское освидетельствование</t>
  </si>
  <si>
    <t>Обслуживание камер видеонаблюдения</t>
  </si>
  <si>
    <r>
      <t>Общее полезное время использования: 1) 247*8*(66636/</t>
    </r>
    <r>
      <rPr>
        <b/>
        <sz val="12"/>
        <color rgb="FFFF0000"/>
        <rFont val="Calibri"/>
        <family val="2"/>
        <charset val="204"/>
        <scheme val="minor"/>
      </rPr>
      <t>1973</t>
    </r>
    <r>
      <rPr>
        <b/>
        <sz val="12"/>
        <color theme="1"/>
        <rFont val="Calibri"/>
        <family val="2"/>
        <charset val="204"/>
        <scheme val="minor"/>
      </rPr>
      <t>) =1976*</t>
    </r>
    <r>
      <rPr>
        <b/>
        <sz val="12"/>
        <color rgb="FFFF0000"/>
        <rFont val="Calibri"/>
        <family val="2"/>
        <charset val="204"/>
        <scheme val="minor"/>
      </rPr>
      <t>33,77</t>
    </r>
    <r>
      <rPr>
        <b/>
        <sz val="12"/>
        <color theme="1"/>
        <rFont val="Calibri"/>
        <family val="2"/>
        <charset val="204"/>
        <scheme val="minor"/>
      </rPr>
      <t>=66729,52; 2) 247*8*(</t>
    </r>
    <r>
      <rPr>
        <b/>
        <sz val="12"/>
        <color rgb="FFFF0000"/>
        <rFont val="Calibri"/>
        <family val="2"/>
        <charset val="204"/>
        <scheme val="minor"/>
      </rPr>
      <t>28224/1973</t>
    </r>
    <r>
      <rPr>
        <b/>
        <sz val="12"/>
        <color theme="1"/>
        <rFont val="Calibri"/>
        <family val="2"/>
        <charset val="204"/>
        <scheme val="minor"/>
      </rPr>
      <t>)=1976*</t>
    </r>
    <r>
      <rPr>
        <b/>
        <sz val="12"/>
        <color rgb="FFFF0000"/>
        <rFont val="Calibri"/>
        <family val="2"/>
        <charset val="204"/>
        <scheme val="minor"/>
      </rPr>
      <t>14,31</t>
    </r>
    <r>
      <rPr>
        <b/>
        <sz val="12"/>
        <color theme="1"/>
        <rFont val="Calibri"/>
        <family val="2"/>
        <charset val="204"/>
        <scheme val="minor"/>
      </rPr>
      <t>=28276,56</t>
    </r>
  </si>
  <si>
    <t>66636 и 28224 объем услуги на 2022 год</t>
  </si>
  <si>
    <t>449 объем услуги на 2022 год</t>
  </si>
  <si>
    <r>
      <t>Общее полезное время использования: 1) 247*8*(449/</t>
    </r>
    <r>
      <rPr>
        <b/>
        <sz val="12"/>
        <color rgb="FFFF0000"/>
        <rFont val="Calibri"/>
        <family val="2"/>
        <charset val="204"/>
        <scheme val="minor"/>
      </rPr>
      <t>1973</t>
    </r>
    <r>
      <rPr>
        <b/>
        <sz val="12"/>
        <color theme="1"/>
        <rFont val="Calibri"/>
        <family val="2"/>
        <charset val="204"/>
        <scheme val="minor"/>
      </rPr>
      <t>) =1976*</t>
    </r>
    <r>
      <rPr>
        <b/>
        <sz val="12"/>
        <color rgb="FFFF0000"/>
        <rFont val="Calibri"/>
        <family val="2"/>
        <charset val="204"/>
        <scheme val="minor"/>
      </rPr>
      <t>0,22757</t>
    </r>
    <r>
      <rPr>
        <b/>
        <sz val="12"/>
        <color theme="1"/>
        <rFont val="Calibri"/>
        <family val="2"/>
        <charset val="204"/>
        <scheme val="minor"/>
      </rPr>
      <t>=449,68</t>
    </r>
  </si>
  <si>
    <t>Время использования имущественного комплекса на 1 уч.: 1)449,68/449=1,00151</t>
  </si>
  <si>
    <t>Время использования имущественного комплекса на 1 уч.: 1)66729,52/66636=1,0014; 2) 28276,56/28224= 1,00186</t>
  </si>
  <si>
    <t>специалист по закупкам</t>
  </si>
  <si>
    <t>обсл.территории на закл.</t>
  </si>
  <si>
    <t>Обслуживание эвакуационного освещения</t>
  </si>
  <si>
    <t>Дератизация , дезинсекция</t>
  </si>
  <si>
    <t>Огнезащитная обработка</t>
  </si>
  <si>
    <t>Реагирование на сигнал тревоги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</si>
</sst>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"/>
    <numFmt numFmtId="167" formatCode="0.0000000"/>
    <numFmt numFmtId="168" formatCode="0.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2" fontId="0" fillId="0" borderId="3" xfId="0" applyNumberFormat="1" applyBorder="1"/>
    <xf numFmtId="2" fontId="1" fillId="0" borderId="3" xfId="0" applyNumberFormat="1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1" fontId="0" fillId="0" borderId="1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0" fillId="0" borderId="14" xfId="0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166" fontId="1" fillId="0" borderId="0" xfId="0" applyNumberFormat="1" applyFont="1"/>
    <xf numFmtId="2" fontId="3" fillId="0" borderId="2" xfId="0" applyNumberFormat="1" applyFont="1" applyBorder="1"/>
    <xf numFmtId="2" fontId="2" fillId="0" borderId="2" xfId="0" applyNumberFormat="1" applyFont="1" applyBorder="1"/>
    <xf numFmtId="0" fontId="1" fillId="0" borderId="16" xfId="0" applyFont="1" applyBorder="1" applyAlignment="1">
      <alignment wrapText="1"/>
    </xf>
    <xf numFmtId="167" fontId="0" fillId="0" borderId="5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wrapText="1"/>
    </xf>
    <xf numFmtId="167" fontId="0" fillId="0" borderId="3" xfId="0" applyNumberFormat="1" applyBorder="1" applyAlignment="1">
      <alignment horizontal="center"/>
    </xf>
    <xf numFmtId="0" fontId="1" fillId="0" borderId="16" xfId="0" applyFont="1" applyBorder="1"/>
    <xf numFmtId="2" fontId="9" fillId="0" borderId="1" xfId="0" applyNumberFormat="1" applyFont="1" applyBorder="1"/>
    <xf numFmtId="0" fontId="5" fillId="0" borderId="10" xfId="0" applyFont="1" applyBorder="1" applyAlignment="1">
      <alignment horizontal="center" wrapText="1"/>
    </xf>
    <xf numFmtId="0" fontId="3" fillId="0" borderId="0" xfId="0" applyFont="1"/>
    <xf numFmtId="168" fontId="2" fillId="0" borderId="1" xfId="0" applyNumberFormat="1" applyFont="1" applyBorder="1"/>
    <xf numFmtId="0" fontId="10" fillId="0" borderId="0" xfId="0" applyFont="1"/>
    <xf numFmtId="0" fontId="11" fillId="0" borderId="0" xfId="0" applyFont="1"/>
    <xf numFmtId="0" fontId="9" fillId="0" borderId="0" xfId="0" applyFont="1"/>
    <xf numFmtId="165" fontId="1" fillId="0" borderId="13" xfId="0" applyNumberFormat="1" applyFont="1" applyBorder="1"/>
    <xf numFmtId="165" fontId="2" fillId="0" borderId="11" xfId="0" applyNumberFormat="1" applyFont="1" applyBorder="1"/>
    <xf numFmtId="165" fontId="1" fillId="0" borderId="8" xfId="0" applyNumberFormat="1" applyFont="1" applyBorder="1"/>
    <xf numFmtId="165" fontId="1" fillId="0" borderId="6" xfId="0" applyNumberFormat="1" applyFont="1" applyBorder="1"/>
    <xf numFmtId="165" fontId="2" fillId="0" borderId="15" xfId="0" applyNumberFormat="1" applyFont="1" applyBorder="1"/>
    <xf numFmtId="165" fontId="2" fillId="0" borderId="3" xfId="0" applyNumberFormat="1" applyFont="1" applyBorder="1"/>
    <xf numFmtId="165" fontId="2" fillId="0" borderId="1" xfId="0" applyNumberFormat="1" applyFont="1" applyBorder="1"/>
    <xf numFmtId="0" fontId="1" fillId="2" borderId="3" xfId="0" applyFont="1" applyFill="1" applyBorder="1"/>
    <xf numFmtId="165" fontId="1" fillId="2" borderId="3" xfId="0" applyNumberFormat="1" applyFont="1" applyFill="1" applyBorder="1"/>
    <xf numFmtId="0" fontId="1" fillId="2" borderId="10" xfId="0" applyFont="1" applyFill="1" applyBorder="1"/>
    <xf numFmtId="0" fontId="1" fillId="2" borderId="2" xfId="0" applyFont="1" applyFill="1" applyBorder="1"/>
    <xf numFmtId="165" fontId="1" fillId="2" borderId="1" xfId="0" applyNumberFormat="1" applyFont="1" applyFill="1" applyBorder="1"/>
    <xf numFmtId="0" fontId="0" fillId="2" borderId="7" xfId="0" applyFill="1" applyBorder="1"/>
    <xf numFmtId="0" fontId="0" fillId="2" borderId="12" xfId="0" applyFill="1" applyBorder="1"/>
    <xf numFmtId="0" fontId="1" fillId="2" borderId="1" xfId="0" applyFont="1" applyFill="1" applyBorder="1"/>
    <xf numFmtId="0" fontId="1" fillId="2" borderId="5" xfId="0" applyFont="1" applyFill="1" applyBorder="1"/>
    <xf numFmtId="2" fontId="1" fillId="2" borderId="1" xfId="0" applyNumberFormat="1" applyFont="1" applyFill="1" applyBorder="1"/>
    <xf numFmtId="2" fontId="1" fillId="2" borderId="0" xfId="0" applyNumberFormat="1" applyFont="1" applyFill="1"/>
    <xf numFmtId="0" fontId="1" fillId="2" borderId="0" xfId="0" applyFont="1" applyFill="1"/>
    <xf numFmtId="166" fontId="1" fillId="2" borderId="0" xfId="0" applyNumberFormat="1" applyFont="1" applyFill="1"/>
    <xf numFmtId="2" fontId="0" fillId="2" borderId="3" xfId="0" applyNumberFormat="1" applyFill="1" applyBorder="1"/>
    <xf numFmtId="2" fontId="0" fillId="2" borderId="1" xfId="0" applyNumberFormat="1" applyFill="1" applyBorder="1"/>
    <xf numFmtId="2" fontId="0" fillId="2" borderId="2" xfId="0" applyNumberForma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S37"/>
  <sheetViews>
    <sheetView topLeftCell="A4" workbookViewId="0">
      <selection activeCell="D8" sqref="D8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1.85546875" style="1" customWidth="1"/>
    <col min="5" max="5" width="13.85546875" style="1" customWidth="1"/>
    <col min="6" max="6" width="13.42578125" style="1" customWidth="1"/>
    <col min="7" max="7" width="12.5703125" customWidth="1"/>
    <col min="8" max="8" width="10.5703125" customWidth="1"/>
    <col min="9" max="10" width="10.85546875" style="1" customWidth="1"/>
    <col min="11" max="11" width="10.140625" style="1" customWidth="1"/>
    <col min="12" max="12" width="6.28515625" style="1" customWidth="1"/>
    <col min="13" max="19" width="9.140625" style="1"/>
  </cols>
  <sheetData>
    <row r="1" spans="1:12">
      <c r="A1" s="3" t="s">
        <v>3</v>
      </c>
    </row>
    <row r="3" spans="1:12" ht="15" customHeight="1">
      <c r="A3" s="93" t="s">
        <v>19</v>
      </c>
      <c r="B3" s="93"/>
      <c r="C3" s="93"/>
      <c r="D3" s="93"/>
      <c r="E3" s="93"/>
      <c r="F3" s="93"/>
      <c r="G3" s="93"/>
      <c r="H3" s="93"/>
      <c r="I3" s="93"/>
    </row>
    <row r="4" spans="1:12" ht="15.75" thickBot="1"/>
    <row r="5" spans="1:12" ht="105">
      <c r="A5" s="28" t="s">
        <v>2</v>
      </c>
      <c r="B5" s="29" t="s">
        <v>20</v>
      </c>
      <c r="C5" s="29" t="s">
        <v>15</v>
      </c>
      <c r="D5" s="29" t="s">
        <v>17</v>
      </c>
      <c r="E5" s="29" t="s">
        <v>28</v>
      </c>
      <c r="F5" s="29" t="s">
        <v>82</v>
      </c>
      <c r="G5" s="29" t="s">
        <v>29</v>
      </c>
      <c r="H5" s="29" t="s">
        <v>30</v>
      </c>
      <c r="I5" s="30" t="s">
        <v>11</v>
      </c>
      <c r="J5" s="2" t="s">
        <v>33</v>
      </c>
      <c r="K5" s="2" t="s">
        <v>34</v>
      </c>
      <c r="L5" s="2"/>
    </row>
    <row r="6" spans="1:12" ht="25.5" thickBot="1">
      <c r="A6" s="31">
        <v>1</v>
      </c>
      <c r="B6" s="32">
        <v>2</v>
      </c>
      <c r="C6" s="32">
        <v>3</v>
      </c>
      <c r="D6" s="32">
        <v>4</v>
      </c>
      <c r="E6" s="32">
        <v>5</v>
      </c>
      <c r="F6" s="64" t="s">
        <v>81</v>
      </c>
      <c r="G6" s="32" t="s">
        <v>31</v>
      </c>
      <c r="H6" s="33">
        <v>8</v>
      </c>
      <c r="I6" s="34" t="s">
        <v>32</v>
      </c>
    </row>
    <row r="7" spans="1:12">
      <c r="A7" s="27" t="s">
        <v>83</v>
      </c>
      <c r="B7" s="14" t="s">
        <v>21</v>
      </c>
      <c r="C7" s="41" t="s">
        <v>25</v>
      </c>
      <c r="D7" s="14">
        <f>19000+699.67</f>
        <v>19699.669999999998</v>
      </c>
      <c r="E7" s="77">
        <v>66729.52</v>
      </c>
      <c r="F7" s="78">
        <v>1.0014000000000001</v>
      </c>
      <c r="G7" s="46">
        <f>D7/E7*F7</f>
        <v>0.29563002308423614</v>
      </c>
      <c r="H7" s="90">
        <v>8.1377500000000005</v>
      </c>
      <c r="I7" s="70">
        <f>H7*G7</f>
        <v>2.4057632203537427</v>
      </c>
    </row>
    <row r="8" spans="1:12">
      <c r="A8" s="20"/>
      <c r="B8" s="7" t="s">
        <v>22</v>
      </c>
      <c r="C8" s="42" t="s">
        <v>26</v>
      </c>
      <c r="D8" s="7">
        <v>318</v>
      </c>
      <c r="E8" s="77">
        <f>E7</f>
        <v>66729.52</v>
      </c>
      <c r="F8" s="78">
        <f>F7</f>
        <v>1.0014000000000001</v>
      </c>
      <c r="G8" s="46">
        <f>D8/E8*F8</f>
        <v>4.7721787898369417E-3</v>
      </c>
      <c r="H8" s="91">
        <v>1849.56</v>
      </c>
      <c r="I8" s="70">
        <f t="shared" ref="I8:I10" si="0">H8*G8</f>
        <v>8.8264310025308141</v>
      </c>
    </row>
    <row r="9" spans="1:12">
      <c r="A9" s="38"/>
      <c r="B9" s="39" t="s">
        <v>23</v>
      </c>
      <c r="C9" s="43" t="s">
        <v>27</v>
      </c>
      <c r="D9" s="39">
        <v>190</v>
      </c>
      <c r="E9" s="77">
        <f t="shared" ref="E9:F10" si="1">E8</f>
        <v>66729.52</v>
      </c>
      <c r="F9" s="78">
        <f t="shared" si="1"/>
        <v>1.0014000000000001</v>
      </c>
      <c r="G9" s="46">
        <f t="shared" ref="G9:G10" si="2">D9/E9*F9</f>
        <v>2.8513017926698708E-3</v>
      </c>
      <c r="H9" s="92">
        <v>54.38</v>
      </c>
      <c r="I9" s="70">
        <f t="shared" si="0"/>
        <v>0.15505379148538759</v>
      </c>
    </row>
    <row r="10" spans="1:12">
      <c r="A10" s="38"/>
      <c r="B10" s="39" t="s">
        <v>24</v>
      </c>
      <c r="C10" s="43" t="s">
        <v>27</v>
      </c>
      <c r="D10" s="39">
        <v>190</v>
      </c>
      <c r="E10" s="77">
        <f t="shared" si="1"/>
        <v>66729.52</v>
      </c>
      <c r="F10" s="78">
        <f t="shared" si="1"/>
        <v>1.0014000000000001</v>
      </c>
      <c r="G10" s="46">
        <f t="shared" si="2"/>
        <v>2.8513017926698708E-3</v>
      </c>
      <c r="H10" s="92">
        <v>65.260000000000005</v>
      </c>
      <c r="I10" s="70">
        <f t="shared" si="0"/>
        <v>0.18607595498963578</v>
      </c>
    </row>
    <row r="11" spans="1:12" s="1" customFormat="1" ht="15.75" thickBot="1">
      <c r="A11" s="21"/>
      <c r="B11" s="22"/>
      <c r="C11" s="22"/>
      <c r="D11" s="22"/>
      <c r="E11" s="79"/>
      <c r="F11" s="80"/>
      <c r="G11" s="47"/>
      <c r="H11" s="26"/>
      <c r="I11" s="71">
        <f>SUM(I7:I10)</f>
        <v>11.573323969359581</v>
      </c>
      <c r="J11" s="88">
        <f>I11*66636</f>
        <v>771200.01602224505</v>
      </c>
      <c r="K11" s="89">
        <f>497990+273210</f>
        <v>771200</v>
      </c>
      <c r="L11" s="1">
        <f>K11-J11</f>
        <v>-1.6022245050407946E-2</v>
      </c>
    </row>
    <row r="12" spans="1:12" s="1" customFormat="1">
      <c r="A12" s="17" t="s">
        <v>13</v>
      </c>
      <c r="B12" s="14" t="s">
        <v>21</v>
      </c>
      <c r="C12" s="41" t="s">
        <v>25</v>
      </c>
      <c r="D12" s="18"/>
      <c r="E12" s="77">
        <v>28276.560000000001</v>
      </c>
      <c r="F12" s="81">
        <v>1.00186</v>
      </c>
      <c r="G12" s="46">
        <f>D12/E12*F12</f>
        <v>0</v>
      </c>
      <c r="H12" s="90">
        <v>8.1377500000000005</v>
      </c>
      <c r="I12" s="70">
        <f>H12*G12</f>
        <v>0</v>
      </c>
      <c r="J12" s="88"/>
      <c r="K12" s="88"/>
    </row>
    <row r="13" spans="1:12" s="1" customFormat="1">
      <c r="A13" s="20"/>
      <c r="B13" s="7" t="s">
        <v>22</v>
      </c>
      <c r="C13" s="42" t="s">
        <v>26</v>
      </c>
      <c r="D13" s="7">
        <v>146.46799999999999</v>
      </c>
      <c r="E13" s="77">
        <f>E12</f>
        <v>28276.560000000001</v>
      </c>
      <c r="F13" s="81">
        <f>F12</f>
        <v>1.00186</v>
      </c>
      <c r="G13" s="46">
        <f t="shared" ref="G13:G15" si="3">D13/E13*F13</f>
        <v>5.1894724987763706E-3</v>
      </c>
      <c r="H13" s="91">
        <v>1849.56</v>
      </c>
      <c r="I13" s="70">
        <f>H13*G13</f>
        <v>9.5982407548368229</v>
      </c>
      <c r="J13" s="88"/>
      <c r="K13" s="88"/>
    </row>
    <row r="14" spans="1:12" s="1" customFormat="1">
      <c r="A14" s="20"/>
      <c r="B14" s="39" t="s">
        <v>23</v>
      </c>
      <c r="C14" s="43" t="s">
        <v>27</v>
      </c>
      <c r="D14" s="7"/>
      <c r="E14" s="77">
        <f t="shared" ref="E14:F15" si="4">E13</f>
        <v>28276.560000000001</v>
      </c>
      <c r="F14" s="81">
        <f t="shared" si="4"/>
        <v>1.00186</v>
      </c>
      <c r="G14" s="46">
        <f t="shared" si="3"/>
        <v>0</v>
      </c>
      <c r="H14" s="92">
        <v>54.38</v>
      </c>
      <c r="I14" s="70">
        <f t="shared" ref="I14:I15" si="5">H14*G14</f>
        <v>0</v>
      </c>
      <c r="J14" s="88"/>
      <c r="K14" s="88"/>
    </row>
    <row r="15" spans="1:12" s="1" customFormat="1">
      <c r="A15" s="20"/>
      <c r="B15" s="39" t="s">
        <v>24</v>
      </c>
      <c r="C15" s="43" t="s">
        <v>27</v>
      </c>
      <c r="D15" s="7"/>
      <c r="E15" s="77">
        <f t="shared" si="4"/>
        <v>28276.560000000001</v>
      </c>
      <c r="F15" s="81">
        <f t="shared" si="4"/>
        <v>1.00186</v>
      </c>
      <c r="G15" s="46">
        <f t="shared" si="3"/>
        <v>0</v>
      </c>
      <c r="H15" s="92">
        <v>65.260000000000005</v>
      </c>
      <c r="I15" s="70">
        <f t="shared" si="5"/>
        <v>0</v>
      </c>
      <c r="J15" s="88"/>
      <c r="K15" s="88"/>
    </row>
    <row r="16" spans="1:12" s="1" customFormat="1">
      <c r="A16" s="20"/>
      <c r="B16" s="7"/>
      <c r="C16" s="7"/>
      <c r="D16" s="7"/>
      <c r="E16" s="7"/>
      <c r="F16" s="9"/>
      <c r="G16" s="25"/>
      <c r="H16" s="8"/>
      <c r="I16" s="72">
        <f t="shared" ref="I16" si="6">F16*H16</f>
        <v>0</v>
      </c>
      <c r="J16" s="88"/>
      <c r="K16" s="88"/>
    </row>
    <row r="17" spans="1:19" s="1" customFormat="1" ht="15.75" thickBot="1">
      <c r="A17" s="21"/>
      <c r="B17" s="22"/>
      <c r="C17" s="24"/>
      <c r="D17" s="22"/>
      <c r="E17" s="22"/>
      <c r="F17" s="22"/>
      <c r="G17" s="35"/>
      <c r="H17" s="26"/>
      <c r="I17" s="71">
        <f>SUM(I12:I16)</f>
        <v>9.5982407548368229</v>
      </c>
      <c r="J17" s="87">
        <f>I17*28224</f>
        <v>270900.74706451449</v>
      </c>
      <c r="K17" s="88">
        <f>167000+103900</f>
        <v>270900</v>
      </c>
      <c r="L17" s="4">
        <f>K17-J17</f>
        <v>-0.74706451449310407</v>
      </c>
    </row>
    <row r="19" spans="1:19" ht="15.75">
      <c r="A19" s="44" t="s">
        <v>99</v>
      </c>
    </row>
    <row r="20" spans="1:19" ht="15.75">
      <c r="A20" s="44" t="s">
        <v>104</v>
      </c>
    </row>
    <row r="21" spans="1:19">
      <c r="A21" s="65" t="s">
        <v>100</v>
      </c>
    </row>
    <row r="23" spans="1:19" s="69" customFormat="1">
      <c r="A23" s="67" t="s">
        <v>88</v>
      </c>
      <c r="B23" s="68"/>
      <c r="C23" s="68"/>
      <c r="D23" s="68"/>
      <c r="E23" s="68"/>
      <c r="F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5" spans="1:19" ht="15" customHeight="1">
      <c r="A25" s="93" t="s">
        <v>19</v>
      </c>
      <c r="B25" s="93"/>
      <c r="C25" s="93"/>
      <c r="D25" s="93"/>
      <c r="E25" s="93"/>
      <c r="F25" s="93"/>
      <c r="G25" s="93"/>
      <c r="H25" s="93"/>
      <c r="I25" s="93"/>
    </row>
    <row r="26" spans="1:19" ht="15.75" thickBot="1"/>
    <row r="27" spans="1:19" ht="105">
      <c r="A27" s="28" t="s">
        <v>2</v>
      </c>
      <c r="B27" s="29" t="s">
        <v>20</v>
      </c>
      <c r="C27" s="29" t="s">
        <v>15</v>
      </c>
      <c r="D27" s="29" t="s">
        <v>17</v>
      </c>
      <c r="E27" s="29" t="s">
        <v>28</v>
      </c>
      <c r="F27" s="29" t="s">
        <v>82</v>
      </c>
      <c r="G27" s="29" t="s">
        <v>29</v>
      </c>
      <c r="H27" s="29" t="s">
        <v>30</v>
      </c>
      <c r="I27" s="30" t="s">
        <v>11</v>
      </c>
      <c r="J27" s="2" t="s">
        <v>33</v>
      </c>
      <c r="K27" s="2" t="s">
        <v>34</v>
      </c>
      <c r="L27" s="2"/>
    </row>
    <row r="28" spans="1:19" ht="25.5" thickBot="1">
      <c r="A28" s="31">
        <v>1</v>
      </c>
      <c r="B28" s="32">
        <v>2</v>
      </c>
      <c r="C28" s="32">
        <v>3</v>
      </c>
      <c r="D28" s="32">
        <v>4</v>
      </c>
      <c r="E28" s="32">
        <v>5</v>
      </c>
      <c r="F28" s="64" t="s">
        <v>81</v>
      </c>
      <c r="G28" s="32" t="s">
        <v>31</v>
      </c>
      <c r="H28" s="33">
        <v>8</v>
      </c>
      <c r="I28" s="34" t="s">
        <v>32</v>
      </c>
    </row>
    <row r="29" spans="1:19">
      <c r="A29" s="27" t="s">
        <v>83</v>
      </c>
      <c r="B29" s="14" t="s">
        <v>21</v>
      </c>
      <c r="C29" s="41" t="s">
        <v>25</v>
      </c>
      <c r="D29" s="14">
        <f>36800+90</f>
        <v>36890</v>
      </c>
      <c r="E29" s="77">
        <v>449.68</v>
      </c>
      <c r="F29" s="78">
        <v>1.0015099999999999</v>
      </c>
      <c r="G29" s="46">
        <f>D29/E29*F29</f>
        <v>82.159989103362392</v>
      </c>
      <c r="H29" s="90">
        <v>8.1377500000000005</v>
      </c>
      <c r="I29" s="70">
        <f>H29*G29</f>
        <v>668.59745132588739</v>
      </c>
    </row>
    <row r="30" spans="1:19">
      <c r="A30" s="20">
        <v>449</v>
      </c>
      <c r="B30" s="7" t="s">
        <v>22</v>
      </c>
      <c r="C30" s="42" t="s">
        <v>26</v>
      </c>
      <c r="D30" s="7"/>
      <c r="E30" s="77">
        <f>E29</f>
        <v>449.68</v>
      </c>
      <c r="F30" s="78">
        <f>F29</f>
        <v>1.0015099999999999</v>
      </c>
      <c r="G30" s="46">
        <f>D30/E30*F30</f>
        <v>0</v>
      </c>
      <c r="H30" s="8"/>
      <c r="I30" s="70">
        <f t="shared" ref="I30:I32" si="7">H30*G30</f>
        <v>0</v>
      </c>
    </row>
    <row r="31" spans="1:19">
      <c r="A31" s="38"/>
      <c r="B31" s="39" t="s">
        <v>23</v>
      </c>
      <c r="C31" s="43" t="s">
        <v>27</v>
      </c>
      <c r="D31" s="39"/>
      <c r="E31" s="77">
        <f t="shared" ref="E31:E32" si="8">E30</f>
        <v>449.68</v>
      </c>
      <c r="F31" s="78">
        <f t="shared" ref="F31:F32" si="9">F30</f>
        <v>1.0015099999999999</v>
      </c>
      <c r="G31" s="46">
        <f t="shared" ref="G31:G32" si="10">D31/E31*F31</f>
        <v>0</v>
      </c>
      <c r="H31" s="40"/>
      <c r="I31" s="70">
        <f t="shared" si="7"/>
        <v>0</v>
      </c>
    </row>
    <row r="32" spans="1:19">
      <c r="A32" s="38"/>
      <c r="B32" s="39" t="s">
        <v>24</v>
      </c>
      <c r="C32" s="43" t="s">
        <v>27</v>
      </c>
      <c r="D32" s="39"/>
      <c r="E32" s="77">
        <f t="shared" si="8"/>
        <v>449.68</v>
      </c>
      <c r="F32" s="78">
        <f t="shared" si="9"/>
        <v>1.0015099999999999</v>
      </c>
      <c r="G32" s="46">
        <f t="shared" si="10"/>
        <v>0</v>
      </c>
      <c r="H32" s="40"/>
      <c r="I32" s="70">
        <f t="shared" si="7"/>
        <v>0</v>
      </c>
    </row>
    <row r="33" spans="1:12" s="1" customFormat="1" ht="15.75" thickBot="1">
      <c r="A33" s="21"/>
      <c r="B33" s="22"/>
      <c r="C33" s="22"/>
      <c r="D33" s="22"/>
      <c r="E33" s="79"/>
      <c r="F33" s="80"/>
      <c r="G33" s="47"/>
      <c r="H33" s="26"/>
      <c r="I33" s="71">
        <f>SUM(I29:I32)</f>
        <v>668.59745132588739</v>
      </c>
      <c r="J33" s="88">
        <f>I33*449</f>
        <v>300200.25564532343</v>
      </c>
      <c r="K33" s="89">
        <v>300200</v>
      </c>
      <c r="L33" s="1">
        <f>K33-J33</f>
        <v>-0.25564532342832536</v>
      </c>
    </row>
    <row r="35" spans="1:12" ht="15.75">
      <c r="A35" s="44" t="s">
        <v>102</v>
      </c>
    </row>
    <row r="36" spans="1:12" ht="15.75">
      <c r="A36" s="44" t="s">
        <v>103</v>
      </c>
    </row>
    <row r="37" spans="1:12">
      <c r="A37" s="65" t="s">
        <v>101</v>
      </c>
    </row>
  </sheetData>
  <mergeCells count="2">
    <mergeCell ref="A3:I3"/>
    <mergeCell ref="A25:I25"/>
  </mergeCells>
  <pageMargins left="0.31496062992125984" right="0" top="0.35433070866141736" bottom="0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S65"/>
  <sheetViews>
    <sheetView workbookViewId="0">
      <selection activeCell="J32" sqref="J32"/>
    </sheetView>
  </sheetViews>
  <sheetFormatPr defaultRowHeight="15"/>
  <cols>
    <col min="1" max="1" width="8.85546875" customWidth="1"/>
    <col min="2" max="2" width="40.42578125" style="1" customWidth="1"/>
    <col min="3" max="3" width="11.140625" style="1" customWidth="1"/>
    <col min="4" max="4" width="8.28515625" style="1" customWidth="1"/>
    <col min="5" max="5" width="11.42578125" style="1" customWidth="1"/>
    <col min="6" max="6" width="13.5703125" style="1" customWidth="1"/>
    <col min="7" max="7" width="14.5703125" customWidth="1"/>
    <col min="8" max="8" width="10.85546875" style="1" customWidth="1"/>
    <col min="9" max="9" width="13.140625" style="1" customWidth="1"/>
    <col min="10" max="10" width="11.7109375" style="1" customWidth="1"/>
    <col min="11" max="11" width="9.42578125" style="1" bestFit="1" customWidth="1"/>
    <col min="12" max="18" width="9.140625" style="1"/>
  </cols>
  <sheetData>
    <row r="1" spans="1:11">
      <c r="A1" s="3" t="s">
        <v>3</v>
      </c>
    </row>
    <row r="3" spans="1:11" ht="18.75">
      <c r="A3" s="94" t="s">
        <v>35</v>
      </c>
      <c r="B3" s="94"/>
      <c r="C3" s="94"/>
      <c r="D3" s="94"/>
      <c r="E3" s="94"/>
      <c r="F3" s="94"/>
      <c r="G3" s="94"/>
      <c r="H3" s="94"/>
    </row>
    <row r="4" spans="1:11" ht="15.75" thickBot="1"/>
    <row r="5" spans="1:11" ht="105">
      <c r="A5" s="28" t="s">
        <v>2</v>
      </c>
      <c r="B5" s="29" t="s">
        <v>16</v>
      </c>
      <c r="C5" s="29" t="s">
        <v>15</v>
      </c>
      <c r="D5" s="29" t="s">
        <v>17</v>
      </c>
      <c r="E5" s="29" t="s">
        <v>28</v>
      </c>
      <c r="F5" s="29" t="s">
        <v>82</v>
      </c>
      <c r="G5" s="29" t="s">
        <v>29</v>
      </c>
      <c r="H5" s="29" t="s">
        <v>30</v>
      </c>
      <c r="I5" s="29" t="s">
        <v>11</v>
      </c>
      <c r="J5" s="2" t="s">
        <v>33</v>
      </c>
      <c r="K5" s="2" t="s">
        <v>34</v>
      </c>
    </row>
    <row r="6" spans="1:11" ht="15.75" thickBot="1">
      <c r="A6" s="48">
        <v>1</v>
      </c>
      <c r="B6" s="12">
        <v>2</v>
      </c>
      <c r="C6" s="12">
        <v>3</v>
      </c>
      <c r="D6" s="12">
        <v>4</v>
      </c>
      <c r="E6" s="32">
        <v>5</v>
      </c>
      <c r="F6" s="12">
        <v>6</v>
      </c>
      <c r="G6" s="12" t="s">
        <v>31</v>
      </c>
      <c r="H6" s="11">
        <v>8</v>
      </c>
      <c r="I6" s="49" t="s">
        <v>32</v>
      </c>
    </row>
    <row r="7" spans="1:11">
      <c r="A7" s="17" t="s">
        <v>83</v>
      </c>
      <c r="B7" s="18" t="s">
        <v>36</v>
      </c>
      <c r="C7" s="18" t="s">
        <v>18</v>
      </c>
      <c r="D7" s="18">
        <v>1</v>
      </c>
      <c r="E7" s="14">
        <f>ком.усл!E7</f>
        <v>66729.52</v>
      </c>
      <c r="F7" s="36">
        <f>E7/A8</f>
        <v>1.0014034455849692</v>
      </c>
      <c r="G7" s="58">
        <f>D7/E7*F7</f>
        <v>1.5006903175460714E-5</v>
      </c>
      <c r="H7" s="19">
        <v>29700</v>
      </c>
      <c r="I7" s="73">
        <f>H7*G7</f>
        <v>0.4457050243111832</v>
      </c>
    </row>
    <row r="8" spans="1:11" s="1" customFormat="1">
      <c r="A8" s="82">
        <v>66636</v>
      </c>
      <c r="B8" s="7" t="s">
        <v>37</v>
      </c>
      <c r="C8" s="7" t="s">
        <v>18</v>
      </c>
      <c r="D8" s="7">
        <v>1</v>
      </c>
      <c r="E8" s="14">
        <f>E7</f>
        <v>66729.52</v>
      </c>
      <c r="F8" s="36">
        <f>F7</f>
        <v>1.0014034455849692</v>
      </c>
      <c r="G8" s="59">
        <f>D8/E8*F8</f>
        <v>1.5006903175460714E-5</v>
      </c>
      <c r="H8" s="8">
        <v>6000</v>
      </c>
      <c r="I8" s="72">
        <f t="shared" ref="I8:I18" si="0">H8*G8</f>
        <v>9.0041419052764277E-2</v>
      </c>
    </row>
    <row r="9" spans="1:11" s="1" customFormat="1">
      <c r="A9" s="20"/>
      <c r="B9" s="7" t="s">
        <v>41</v>
      </c>
      <c r="C9" s="7" t="s">
        <v>18</v>
      </c>
      <c r="D9" s="7">
        <v>1</v>
      </c>
      <c r="E9" s="14">
        <f>E7</f>
        <v>66729.52</v>
      </c>
      <c r="F9" s="36">
        <f t="shared" ref="F9:F18" si="1">F8</f>
        <v>1.0014034455849692</v>
      </c>
      <c r="G9" s="59">
        <f>D9/E9*F9</f>
        <v>1.5006903175460714E-5</v>
      </c>
      <c r="H9" s="8">
        <v>12000</v>
      </c>
      <c r="I9" s="72">
        <f t="shared" ref="I9:I10" si="2">H9*G9</f>
        <v>0.18008283810552855</v>
      </c>
    </row>
    <row r="10" spans="1:11" s="1" customFormat="1">
      <c r="A10" s="20"/>
      <c r="B10" s="7" t="s">
        <v>80</v>
      </c>
      <c r="C10" s="7" t="s">
        <v>18</v>
      </c>
      <c r="D10" s="7">
        <v>1</v>
      </c>
      <c r="E10" s="14">
        <f>E7</f>
        <v>66729.52</v>
      </c>
      <c r="F10" s="36">
        <f t="shared" si="1"/>
        <v>1.0014034455849692</v>
      </c>
      <c r="G10" s="59">
        <f>D10/E10*F10</f>
        <v>1.5006903175460714E-5</v>
      </c>
      <c r="H10" s="8">
        <v>30000</v>
      </c>
      <c r="I10" s="72">
        <f t="shared" si="2"/>
        <v>0.45020709526382141</v>
      </c>
    </row>
    <row r="11" spans="1:11" s="1" customFormat="1">
      <c r="A11" s="20"/>
      <c r="B11" s="7" t="s">
        <v>38</v>
      </c>
      <c r="C11" s="7" t="s">
        <v>18</v>
      </c>
      <c r="D11" s="7">
        <v>1</v>
      </c>
      <c r="E11" s="14">
        <f>E7</f>
        <v>66729.52</v>
      </c>
      <c r="F11" s="36">
        <f t="shared" si="1"/>
        <v>1.0014034455849692</v>
      </c>
      <c r="G11" s="59">
        <f t="shared" ref="G11" si="3">D11/E11*F11</f>
        <v>1.5006903175460714E-5</v>
      </c>
      <c r="H11" s="8">
        <f>8751.36+20400</f>
        <v>29151.360000000001</v>
      </c>
      <c r="I11" s="72">
        <f t="shared" si="0"/>
        <v>0.43747163695299845</v>
      </c>
    </row>
    <row r="12" spans="1:11" s="1" customFormat="1">
      <c r="A12" s="20"/>
      <c r="B12" s="7" t="s">
        <v>90</v>
      </c>
      <c r="C12" s="7" t="s">
        <v>18</v>
      </c>
      <c r="D12" s="7">
        <v>1</v>
      </c>
      <c r="E12" s="14">
        <f>E7</f>
        <v>66729.52</v>
      </c>
      <c r="F12" s="36">
        <f t="shared" si="1"/>
        <v>1.0014034455849692</v>
      </c>
      <c r="G12" s="59">
        <f t="shared" ref="G12:G13" si="4">D12/E12*F12</f>
        <v>1.5006903175460714E-5</v>
      </c>
      <c r="H12" s="8">
        <f>9170.16+15620</f>
        <v>24790.16</v>
      </c>
      <c r="I12" s="72">
        <f t="shared" si="0"/>
        <v>0.37202353082417916</v>
      </c>
    </row>
    <row r="13" spans="1:11" s="1" customFormat="1" ht="14.25" customHeight="1">
      <c r="A13" s="20"/>
      <c r="B13" s="7" t="s">
        <v>85</v>
      </c>
      <c r="C13" s="7" t="s">
        <v>18</v>
      </c>
      <c r="D13" s="7">
        <v>1</v>
      </c>
      <c r="E13" s="14">
        <f>E8</f>
        <v>66729.52</v>
      </c>
      <c r="F13" s="36">
        <f t="shared" si="1"/>
        <v>1.0014034455849692</v>
      </c>
      <c r="G13" s="59">
        <f t="shared" si="4"/>
        <v>1.5006903175460714E-5</v>
      </c>
      <c r="H13" s="9">
        <v>3500</v>
      </c>
      <c r="I13" s="72">
        <f t="shared" ref="I13" si="5">H13*G13</f>
        <v>5.2524161114112497E-2</v>
      </c>
    </row>
    <row r="14" spans="1:11" s="1" customFormat="1" ht="14.25" customHeight="1">
      <c r="A14" s="20"/>
      <c r="B14" s="7" t="s">
        <v>39</v>
      </c>
      <c r="C14" s="7" t="s">
        <v>18</v>
      </c>
      <c r="D14" s="7">
        <v>1</v>
      </c>
      <c r="E14" s="14">
        <f>E7</f>
        <v>66729.52</v>
      </c>
      <c r="F14" s="36">
        <f t="shared" si="1"/>
        <v>1.0014034455849692</v>
      </c>
      <c r="G14" s="59">
        <f t="shared" ref="G14:G18" si="6">D14/E14*F14</f>
        <v>1.5006903175460714E-5</v>
      </c>
      <c r="H14" s="9">
        <v>5376</v>
      </c>
      <c r="I14" s="72">
        <f t="shared" si="0"/>
        <v>8.0677111471276791E-2</v>
      </c>
    </row>
    <row r="15" spans="1:11" s="1" customFormat="1">
      <c r="A15" s="20"/>
      <c r="B15" s="7" t="s">
        <v>43</v>
      </c>
      <c r="C15" s="7" t="s">
        <v>18</v>
      </c>
      <c r="D15" s="7">
        <v>1</v>
      </c>
      <c r="E15" s="14">
        <f>E7</f>
        <v>66729.52</v>
      </c>
      <c r="F15" s="36">
        <f t="shared" si="1"/>
        <v>1.0014034455849692</v>
      </c>
      <c r="G15" s="59">
        <f t="shared" ref="G15:G17" si="7">D15/E15*F15</f>
        <v>1.5006903175460714E-5</v>
      </c>
      <c r="H15" s="9">
        <v>7780</v>
      </c>
      <c r="I15" s="72">
        <f t="shared" si="0"/>
        <v>0.11675370670508435</v>
      </c>
    </row>
    <row r="16" spans="1:11" s="1" customFormat="1">
      <c r="A16" s="20"/>
      <c r="B16" s="7" t="s">
        <v>98</v>
      </c>
      <c r="C16" s="7" t="s">
        <v>18</v>
      </c>
      <c r="D16" s="7">
        <v>1</v>
      </c>
      <c r="E16" s="14">
        <f>E7</f>
        <v>66729.52</v>
      </c>
      <c r="F16" s="36">
        <f t="shared" si="1"/>
        <v>1.0014034455849692</v>
      </c>
      <c r="G16" s="59">
        <f t="shared" ref="G16" si="8">D16/E16*F16</f>
        <v>1.5006903175460714E-5</v>
      </c>
      <c r="H16" s="9">
        <v>18176.689999999999</v>
      </c>
      <c r="I16" s="72">
        <f t="shared" si="0"/>
        <v>0.272775826880365</v>
      </c>
    </row>
    <row r="17" spans="1:11" s="1" customFormat="1">
      <c r="A17" s="20"/>
      <c r="B17" s="7" t="s">
        <v>86</v>
      </c>
      <c r="C17" s="7" t="s">
        <v>18</v>
      </c>
      <c r="D17" s="7">
        <v>1</v>
      </c>
      <c r="E17" s="14">
        <f>E7</f>
        <v>66729.52</v>
      </c>
      <c r="F17" s="36">
        <f t="shared" si="1"/>
        <v>1.0014034455849692</v>
      </c>
      <c r="G17" s="59">
        <f t="shared" si="7"/>
        <v>1.5006903175460714E-5</v>
      </c>
      <c r="H17" s="9">
        <v>7480</v>
      </c>
      <c r="I17" s="72">
        <f t="shared" si="0"/>
        <v>0.11225163575244614</v>
      </c>
    </row>
    <row r="18" spans="1:11" s="1" customFormat="1" ht="30">
      <c r="A18" s="20"/>
      <c r="B18" s="45" t="s">
        <v>40</v>
      </c>
      <c r="C18" s="7" t="s">
        <v>18</v>
      </c>
      <c r="D18" s="7">
        <v>1</v>
      </c>
      <c r="E18" s="14">
        <f>E7</f>
        <v>66729.52</v>
      </c>
      <c r="F18" s="36">
        <f t="shared" si="1"/>
        <v>1.0014034455849692</v>
      </c>
      <c r="G18" s="59">
        <f t="shared" si="6"/>
        <v>1.5006903175460714E-5</v>
      </c>
      <c r="H18" s="9">
        <f>138300+241415.79</f>
        <v>379715.79000000004</v>
      </c>
      <c r="I18" s="72">
        <f t="shared" si="0"/>
        <v>5.6983580947235737</v>
      </c>
    </row>
    <row r="19" spans="1:11" s="1" customFormat="1" ht="15.75" thickBot="1">
      <c r="A19" s="21"/>
      <c r="B19" s="22"/>
      <c r="C19" s="22"/>
      <c r="D19" s="22"/>
      <c r="E19" s="22"/>
      <c r="F19" s="39"/>
      <c r="G19" s="26"/>
      <c r="H19" s="51"/>
      <c r="I19" s="71">
        <f>SUM(I7:I18)</f>
        <v>8.3088720811573324</v>
      </c>
      <c r="J19" s="87">
        <f>I19*A8</f>
        <v>553670</v>
      </c>
      <c r="K19" s="87">
        <v>553670</v>
      </c>
    </row>
    <row r="20" spans="1:11" s="1" customFormat="1">
      <c r="A20" s="17" t="s">
        <v>13</v>
      </c>
      <c r="B20" s="18" t="s">
        <v>36</v>
      </c>
      <c r="C20" s="18" t="s">
        <v>18</v>
      </c>
      <c r="D20" s="18">
        <v>1</v>
      </c>
      <c r="E20" s="18">
        <f>ком.усл!E12</f>
        <v>28276.560000000001</v>
      </c>
      <c r="F20" s="36">
        <f>E20/A21</f>
        <v>1.0018622448979593</v>
      </c>
      <c r="G20" s="58">
        <f>D20/E20*F20</f>
        <v>3.5430839002267575E-5</v>
      </c>
      <c r="H20" s="19">
        <v>36820</v>
      </c>
      <c r="I20" s="73">
        <f>H20*G20</f>
        <v>1.3045634920634921</v>
      </c>
    </row>
    <row r="21" spans="1:11" s="1" customFormat="1">
      <c r="A21" s="82">
        <v>28224</v>
      </c>
      <c r="B21" s="7" t="s">
        <v>37</v>
      </c>
      <c r="C21" s="7" t="s">
        <v>18</v>
      </c>
      <c r="D21" s="7">
        <v>1</v>
      </c>
      <c r="E21" s="7">
        <f>E20</f>
        <v>28276.560000000001</v>
      </c>
      <c r="F21" s="36">
        <f>F20</f>
        <v>1.0018622448979593</v>
      </c>
      <c r="G21" s="59">
        <f t="shared" ref="G21:G23" si="9">D21/E21*F21</f>
        <v>3.5430839002267575E-5</v>
      </c>
      <c r="H21" s="8">
        <v>24324</v>
      </c>
      <c r="I21" s="72">
        <f>H21*G21</f>
        <v>0.86181972789115646</v>
      </c>
    </row>
    <row r="22" spans="1:11" s="1" customFormat="1">
      <c r="A22" s="20"/>
      <c r="B22" s="7" t="s">
        <v>41</v>
      </c>
      <c r="C22" s="7" t="s">
        <v>18</v>
      </c>
      <c r="D22" s="7">
        <v>1</v>
      </c>
      <c r="E22" s="7">
        <f>E20</f>
        <v>28276.560000000001</v>
      </c>
      <c r="F22" s="36">
        <f t="shared" ref="F22:F31" si="10">F21</f>
        <v>1.0018622448979593</v>
      </c>
      <c r="G22" s="59">
        <f t="shared" si="9"/>
        <v>3.5430839002267575E-5</v>
      </c>
      <c r="H22" s="8">
        <v>11448</v>
      </c>
      <c r="I22" s="72">
        <f t="shared" ref="I22:I31" si="11">H22*G22</f>
        <v>0.40561224489795922</v>
      </c>
    </row>
    <row r="23" spans="1:11" s="1" customFormat="1">
      <c r="A23" s="20"/>
      <c r="B23" s="7" t="s">
        <v>38</v>
      </c>
      <c r="C23" s="7" t="s">
        <v>18</v>
      </c>
      <c r="D23" s="7">
        <v>1</v>
      </c>
      <c r="E23" s="7">
        <f>E20</f>
        <v>28276.560000000001</v>
      </c>
      <c r="F23" s="36">
        <f t="shared" si="10"/>
        <v>1.0018622448979593</v>
      </c>
      <c r="G23" s="59">
        <f t="shared" si="9"/>
        <v>3.5430839002267575E-5</v>
      </c>
      <c r="H23" s="8">
        <f>6804+13608</f>
        <v>20412</v>
      </c>
      <c r="I23" s="72">
        <f t="shared" si="11"/>
        <v>0.7232142857142857</v>
      </c>
    </row>
    <row r="24" spans="1:11" s="1" customFormat="1">
      <c r="A24" s="20"/>
      <c r="B24" s="7" t="s">
        <v>80</v>
      </c>
      <c r="C24" s="7" t="s">
        <v>18</v>
      </c>
      <c r="D24" s="7">
        <v>1</v>
      </c>
      <c r="E24" s="7">
        <f>E21</f>
        <v>28276.560000000001</v>
      </c>
      <c r="F24" s="36">
        <f t="shared" si="10"/>
        <v>1.0018622448979593</v>
      </c>
      <c r="G24" s="59">
        <f t="shared" ref="G24" si="12">D24/E24*F24</f>
        <v>3.5430839002267575E-5</v>
      </c>
      <c r="H24" s="8">
        <v>40836</v>
      </c>
      <c r="I24" s="72">
        <f t="shared" ref="I24" si="13">H24*G24</f>
        <v>1.4468537414965987</v>
      </c>
    </row>
    <row r="25" spans="1:11" s="1" customFormat="1">
      <c r="A25" s="20"/>
      <c r="B25" s="7" t="s">
        <v>98</v>
      </c>
      <c r="C25" s="7" t="s">
        <v>18</v>
      </c>
      <c r="D25" s="7">
        <v>1</v>
      </c>
      <c r="E25" s="7">
        <f>E22</f>
        <v>28276.560000000001</v>
      </c>
      <c r="F25" s="36">
        <f t="shared" si="10"/>
        <v>1.0018622448979593</v>
      </c>
      <c r="G25" s="59">
        <f t="shared" ref="G25" si="14">D25/E25*F25</f>
        <v>3.5430839002267575E-5</v>
      </c>
      <c r="H25" s="8"/>
      <c r="I25" s="72">
        <f t="shared" ref="I25" si="15">H25*G25</f>
        <v>0</v>
      </c>
    </row>
    <row r="26" spans="1:11" s="1" customFormat="1">
      <c r="A26" s="20"/>
      <c r="B26" s="7" t="s">
        <v>90</v>
      </c>
      <c r="C26" s="7" t="s">
        <v>18</v>
      </c>
      <c r="D26" s="7">
        <v>1</v>
      </c>
      <c r="E26" s="7">
        <f>E22</f>
        <v>28276.560000000001</v>
      </c>
      <c r="F26" s="36">
        <f t="shared" si="10"/>
        <v>1.0018622448979593</v>
      </c>
      <c r="G26" s="59">
        <f t="shared" ref="G26" si="16">D26/E26*F26</f>
        <v>3.5430839002267575E-5</v>
      </c>
      <c r="H26" s="8"/>
      <c r="I26" s="72">
        <f t="shared" ref="I26" si="17">H26*G26</f>
        <v>0</v>
      </c>
    </row>
    <row r="27" spans="1:11" s="1" customFormat="1">
      <c r="A27" s="20"/>
      <c r="B27" s="7" t="s">
        <v>39</v>
      </c>
      <c r="C27" s="7" t="s">
        <v>18</v>
      </c>
      <c r="D27" s="7">
        <v>1</v>
      </c>
      <c r="E27" s="7">
        <f>E20</f>
        <v>28276.560000000001</v>
      </c>
      <c r="F27" s="36">
        <f t="shared" si="10"/>
        <v>1.0018622448979593</v>
      </c>
      <c r="G27" s="59">
        <f t="shared" ref="G27:G31" si="18">D27/E27*F27</f>
        <v>3.5430839002267575E-5</v>
      </c>
      <c r="H27" s="9">
        <v>19138</v>
      </c>
      <c r="I27" s="72">
        <f t="shared" si="11"/>
        <v>0.67807539682539686</v>
      </c>
    </row>
    <row r="28" spans="1:11" s="1" customFormat="1">
      <c r="A28" s="20"/>
      <c r="B28" s="7" t="s">
        <v>86</v>
      </c>
      <c r="C28" s="7" t="s">
        <v>18</v>
      </c>
      <c r="D28" s="7">
        <v>1</v>
      </c>
      <c r="E28" s="7">
        <f>E20</f>
        <v>28276.560000000001</v>
      </c>
      <c r="F28" s="36">
        <f t="shared" si="10"/>
        <v>1.0018622448979593</v>
      </c>
      <c r="G28" s="59">
        <f t="shared" ref="G28:G29" si="19">D28/E28*F28</f>
        <v>3.5430839002267575E-5</v>
      </c>
      <c r="H28" s="9">
        <v>7480</v>
      </c>
      <c r="I28" s="72">
        <f t="shared" ref="I28:I29" si="20">H28*G28</f>
        <v>0.26502267573696148</v>
      </c>
    </row>
    <row r="29" spans="1:11" s="1" customFormat="1">
      <c r="A29" s="20"/>
      <c r="B29" s="7" t="s">
        <v>85</v>
      </c>
      <c r="C29" s="7" t="s">
        <v>18</v>
      </c>
      <c r="D29" s="7">
        <v>1</v>
      </c>
      <c r="E29" s="7">
        <f>E20</f>
        <v>28276.560000000001</v>
      </c>
      <c r="F29" s="36">
        <f t="shared" si="10"/>
        <v>1.0018622448979593</v>
      </c>
      <c r="G29" s="59">
        <f t="shared" si="19"/>
        <v>3.5430839002267575E-5</v>
      </c>
      <c r="H29" s="9">
        <f>39529+37420</f>
        <v>76949</v>
      </c>
      <c r="I29" s="72">
        <f t="shared" si="20"/>
        <v>2.7263676303854876</v>
      </c>
    </row>
    <row r="30" spans="1:11" s="1" customFormat="1">
      <c r="A30" s="20"/>
      <c r="B30" s="7" t="s">
        <v>42</v>
      </c>
      <c r="C30" s="7" t="s">
        <v>18</v>
      </c>
      <c r="D30" s="7">
        <v>1</v>
      </c>
      <c r="E30" s="7">
        <f>E20</f>
        <v>28276.560000000001</v>
      </c>
      <c r="F30" s="36">
        <f t="shared" si="10"/>
        <v>1.0018622448979593</v>
      </c>
      <c r="G30" s="59">
        <f t="shared" si="18"/>
        <v>3.5430839002267575E-5</v>
      </c>
      <c r="H30" s="9"/>
      <c r="I30" s="72">
        <f t="shared" si="11"/>
        <v>0</v>
      </c>
    </row>
    <row r="31" spans="1:11" s="1" customFormat="1">
      <c r="A31" s="20"/>
      <c r="B31" s="7" t="s">
        <v>43</v>
      </c>
      <c r="C31" s="7" t="s">
        <v>18</v>
      </c>
      <c r="D31" s="7">
        <v>1</v>
      </c>
      <c r="E31" s="7">
        <f>E20</f>
        <v>28276.560000000001</v>
      </c>
      <c r="F31" s="36">
        <f t="shared" si="10"/>
        <v>1.0018622448979593</v>
      </c>
      <c r="G31" s="59">
        <f t="shared" si="18"/>
        <v>3.5430839002267575E-5</v>
      </c>
      <c r="H31" s="9">
        <v>6200</v>
      </c>
      <c r="I31" s="72">
        <f t="shared" si="11"/>
        <v>0.21967120181405897</v>
      </c>
    </row>
    <row r="32" spans="1:11" s="1" customFormat="1" ht="15.75" thickBot="1">
      <c r="A32" s="21"/>
      <c r="B32" s="22"/>
      <c r="C32" s="24"/>
      <c r="D32" s="22"/>
      <c r="E32" s="22"/>
      <c r="F32" s="22"/>
      <c r="G32" s="26"/>
      <c r="H32" s="51"/>
      <c r="I32" s="71">
        <f>SUM(I20:I31)</f>
        <v>8.6312003968253972</v>
      </c>
      <c r="J32" s="89">
        <f>I32*A21</f>
        <v>243607</v>
      </c>
      <c r="K32" s="89">
        <v>243607</v>
      </c>
    </row>
    <row r="48" spans="1:7" s="1" customFormat="1">
      <c r="A48"/>
      <c r="G48"/>
    </row>
    <row r="49" spans="1:19" s="69" customFormat="1">
      <c r="A49" s="67" t="s">
        <v>88</v>
      </c>
      <c r="B49" s="68"/>
      <c r="C49" s="68"/>
      <c r="D49" s="68"/>
      <c r="E49" s="68"/>
      <c r="F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1" spans="1:19" ht="18.75">
      <c r="A51" s="94" t="s">
        <v>35</v>
      </c>
      <c r="B51" s="94"/>
      <c r="C51" s="94"/>
      <c r="D51" s="94"/>
      <c r="E51" s="94"/>
      <c r="F51" s="94"/>
      <c r="G51" s="94"/>
      <c r="H51" s="94"/>
    </row>
    <row r="52" spans="1:19" ht="15.75" thickBot="1"/>
    <row r="53" spans="1:19" ht="105">
      <c r="A53" s="28" t="s">
        <v>2</v>
      </c>
      <c r="B53" s="29" t="s">
        <v>16</v>
      </c>
      <c r="C53" s="29" t="s">
        <v>15</v>
      </c>
      <c r="D53" s="29" t="s">
        <v>17</v>
      </c>
      <c r="E53" s="29" t="s">
        <v>28</v>
      </c>
      <c r="F53" s="29" t="s">
        <v>82</v>
      </c>
      <c r="G53" s="29" t="s">
        <v>29</v>
      </c>
      <c r="H53" s="29" t="s">
        <v>30</v>
      </c>
      <c r="I53" s="29" t="s">
        <v>11</v>
      </c>
      <c r="J53" s="2" t="s">
        <v>33</v>
      </c>
      <c r="K53" s="2" t="s">
        <v>34</v>
      </c>
    </row>
    <row r="54" spans="1:19" ht="15.75" thickBot="1">
      <c r="A54" s="48">
        <v>1</v>
      </c>
      <c r="B54" s="12">
        <v>2</v>
      </c>
      <c r="C54" s="12">
        <v>3</v>
      </c>
      <c r="D54" s="12">
        <v>4</v>
      </c>
      <c r="E54" s="32">
        <v>5</v>
      </c>
      <c r="F54" s="12">
        <v>6</v>
      </c>
      <c r="G54" s="12" t="s">
        <v>31</v>
      </c>
      <c r="H54" s="11">
        <v>8</v>
      </c>
      <c r="I54" s="49" t="s">
        <v>32</v>
      </c>
    </row>
    <row r="55" spans="1:19">
      <c r="A55" s="17" t="s">
        <v>83</v>
      </c>
      <c r="B55" s="7" t="s">
        <v>95</v>
      </c>
      <c r="C55" s="18" t="s">
        <v>18</v>
      </c>
      <c r="D55" s="18">
        <v>1</v>
      </c>
      <c r="E55" s="14">
        <f>ком.усл!E29</f>
        <v>449.68</v>
      </c>
      <c r="F55" s="36">
        <f>E55/449</f>
        <v>1.0015144766146993</v>
      </c>
      <c r="G55" s="58">
        <f>D55/E55*F55</f>
        <v>2.2271714922048997E-3</v>
      </c>
      <c r="H55" s="19">
        <v>12000</v>
      </c>
      <c r="I55" s="73">
        <f>H55*G55</f>
        <v>26.726057906458795</v>
      </c>
      <c r="J55" s="88">
        <f>I55*449</f>
        <v>11999.999999999998</v>
      </c>
      <c r="K55" s="88">
        <v>12000</v>
      </c>
      <c r="L55" s="88"/>
    </row>
    <row r="56" spans="1:19" s="1" customFormat="1">
      <c r="A56" s="20" t="s">
        <v>89</v>
      </c>
      <c r="B56" s="7" t="s">
        <v>37</v>
      </c>
      <c r="C56" s="7" t="s">
        <v>18</v>
      </c>
      <c r="D56" s="7">
        <v>1</v>
      </c>
      <c r="E56" s="14">
        <f>E55</f>
        <v>449.68</v>
      </c>
      <c r="F56" s="36">
        <f t="shared" ref="F56:F64" si="21">E56/449</f>
        <v>1.0015144766146993</v>
      </c>
      <c r="G56" s="59">
        <f>D56/E56*F56</f>
        <v>2.2271714922048997E-3</v>
      </c>
      <c r="H56" s="8">
        <v>48000</v>
      </c>
      <c r="I56" s="72">
        <f t="shared" ref="I56:I64" si="22">H56*G56</f>
        <v>106.90423162583518</v>
      </c>
      <c r="J56" s="88">
        <f t="shared" ref="J56:J65" si="23">I56*449</f>
        <v>47999.999999999993</v>
      </c>
      <c r="K56" s="88">
        <v>48000</v>
      </c>
      <c r="L56" s="88"/>
    </row>
    <row r="57" spans="1:19" s="1" customFormat="1">
      <c r="A57" s="20"/>
      <c r="B57" s="7" t="s">
        <v>98</v>
      </c>
      <c r="C57" s="7" t="s">
        <v>18</v>
      </c>
      <c r="D57" s="7">
        <v>1</v>
      </c>
      <c r="E57" s="14">
        <f t="shared" ref="E57:E61" si="24">E56</f>
        <v>449.68</v>
      </c>
      <c r="F57" s="36">
        <f t="shared" si="21"/>
        <v>1.0015144766146993</v>
      </c>
      <c r="G57" s="59">
        <f t="shared" ref="G57:G63" si="25">D57/E57*F57</f>
        <v>2.2271714922048997E-3</v>
      </c>
      <c r="H57" s="8">
        <v>12000</v>
      </c>
      <c r="I57" s="72">
        <f t="shared" ref="I57:I63" si="26">H57*G57</f>
        <v>26.726057906458795</v>
      </c>
      <c r="J57" s="88">
        <f t="shared" si="23"/>
        <v>11999.999999999998</v>
      </c>
      <c r="K57" s="88">
        <v>12000</v>
      </c>
      <c r="L57" s="88"/>
    </row>
    <row r="58" spans="1:19" s="1" customFormat="1">
      <c r="A58" s="20"/>
      <c r="B58" s="7" t="s">
        <v>107</v>
      </c>
      <c r="C58" s="7" t="s">
        <v>18</v>
      </c>
      <c r="D58" s="7">
        <v>1</v>
      </c>
      <c r="E58" s="14">
        <f t="shared" si="24"/>
        <v>449.68</v>
      </c>
      <c r="F58" s="36">
        <f t="shared" ref="F58:F61" si="27">E58/449</f>
        <v>1.0015144766146993</v>
      </c>
      <c r="G58" s="59">
        <f t="shared" ref="G58:G61" si="28">D58/E58*F58</f>
        <v>2.2271714922048997E-3</v>
      </c>
      <c r="H58" s="8">
        <v>18000</v>
      </c>
      <c r="I58" s="72">
        <f t="shared" ref="I58:I61" si="29">H58*G58</f>
        <v>40.089086859688194</v>
      </c>
      <c r="J58" s="88">
        <f t="shared" si="23"/>
        <v>18000</v>
      </c>
      <c r="K58" s="88">
        <v>18000</v>
      </c>
      <c r="L58" s="88"/>
    </row>
    <row r="59" spans="1:19" s="1" customFormat="1">
      <c r="A59" s="20"/>
      <c r="B59" s="7" t="s">
        <v>108</v>
      </c>
      <c r="C59" s="7" t="s">
        <v>18</v>
      </c>
      <c r="D59" s="7">
        <v>1</v>
      </c>
      <c r="E59" s="14">
        <f t="shared" si="24"/>
        <v>449.68</v>
      </c>
      <c r="F59" s="36">
        <f t="shared" si="27"/>
        <v>1.0015144766146993</v>
      </c>
      <c r="G59" s="59">
        <f t="shared" si="28"/>
        <v>2.2271714922048997E-3</v>
      </c>
      <c r="H59" s="8">
        <v>15870</v>
      </c>
      <c r="I59" s="72">
        <f t="shared" si="29"/>
        <v>35.345211581291757</v>
      </c>
      <c r="J59" s="88">
        <f t="shared" si="23"/>
        <v>15869.999999999998</v>
      </c>
      <c r="K59" s="88">
        <v>15870</v>
      </c>
      <c r="L59" s="88"/>
    </row>
    <row r="60" spans="1:19" s="1" customFormat="1">
      <c r="A60" s="20"/>
      <c r="B60" s="7" t="s">
        <v>109</v>
      </c>
      <c r="C60" s="7" t="s">
        <v>18</v>
      </c>
      <c r="D60" s="7">
        <v>1</v>
      </c>
      <c r="E60" s="14">
        <f t="shared" si="24"/>
        <v>449.68</v>
      </c>
      <c r="F60" s="36">
        <f t="shared" si="27"/>
        <v>1.0015144766146993</v>
      </c>
      <c r="G60" s="59">
        <f t="shared" si="28"/>
        <v>2.2271714922048997E-3</v>
      </c>
      <c r="H60" s="8">
        <f>36000+399995</f>
        <v>435995</v>
      </c>
      <c r="I60" s="72">
        <f t="shared" si="29"/>
        <v>971.03563474387522</v>
      </c>
      <c r="J60" s="88">
        <f t="shared" si="23"/>
        <v>435995</v>
      </c>
      <c r="K60" s="88">
        <v>435995</v>
      </c>
      <c r="L60" s="88"/>
    </row>
    <row r="61" spans="1:19" s="1" customFormat="1">
      <c r="A61" s="20"/>
      <c r="B61" s="7" t="s">
        <v>110</v>
      </c>
      <c r="C61" s="7" t="s">
        <v>18</v>
      </c>
      <c r="D61" s="7">
        <v>1</v>
      </c>
      <c r="E61" s="14">
        <f t="shared" si="24"/>
        <v>449.68</v>
      </c>
      <c r="F61" s="36">
        <f t="shared" si="27"/>
        <v>1.0015144766146993</v>
      </c>
      <c r="G61" s="59">
        <f t="shared" si="28"/>
        <v>2.2271714922048997E-3</v>
      </c>
      <c r="H61" s="8">
        <v>9000</v>
      </c>
      <c r="I61" s="72">
        <f t="shared" si="29"/>
        <v>20.044543429844097</v>
      </c>
      <c r="J61" s="88">
        <f t="shared" si="23"/>
        <v>9000</v>
      </c>
      <c r="K61" s="88">
        <v>9000</v>
      </c>
      <c r="L61" s="88"/>
    </row>
    <row r="62" spans="1:19" s="1" customFormat="1">
      <c r="A62" s="20"/>
      <c r="B62" s="7" t="s">
        <v>106</v>
      </c>
      <c r="C62" s="7" t="s">
        <v>18</v>
      </c>
      <c r="D62" s="7">
        <v>1</v>
      </c>
      <c r="E62" s="14">
        <f>E56</f>
        <v>449.68</v>
      </c>
      <c r="F62" s="36">
        <f t="shared" si="21"/>
        <v>1.0015144766146993</v>
      </c>
      <c r="G62" s="59">
        <f t="shared" ref="G62" si="30">D62/E62*F62</f>
        <v>2.2271714922048997E-3</v>
      </c>
      <c r="H62" s="8">
        <v>7000</v>
      </c>
      <c r="I62" s="72">
        <f t="shared" ref="I62" si="31">H62*G62</f>
        <v>15.590200445434299</v>
      </c>
      <c r="J62" s="88">
        <f t="shared" si="23"/>
        <v>7000</v>
      </c>
      <c r="K62" s="88">
        <v>7000</v>
      </c>
      <c r="L62" s="88"/>
    </row>
    <row r="63" spans="1:19" s="1" customFormat="1">
      <c r="A63" s="20"/>
      <c r="B63" s="7" t="s">
        <v>90</v>
      </c>
      <c r="C63" s="7" t="s">
        <v>18</v>
      </c>
      <c r="D63" s="7">
        <v>1</v>
      </c>
      <c r="E63" s="14">
        <f>E57</f>
        <v>449.68</v>
      </c>
      <c r="F63" s="36">
        <f t="shared" si="21"/>
        <v>1.0015144766146993</v>
      </c>
      <c r="G63" s="59">
        <f t="shared" si="25"/>
        <v>2.2271714922048997E-3</v>
      </c>
      <c r="H63" s="8">
        <v>51911.24</v>
      </c>
      <c r="I63" s="72">
        <f t="shared" si="26"/>
        <v>115.61523385300667</v>
      </c>
      <c r="J63" s="88">
        <f t="shared" si="23"/>
        <v>51911.24</v>
      </c>
      <c r="K63" s="88">
        <f>40450.24+11461</f>
        <v>51911.24</v>
      </c>
      <c r="L63" s="88"/>
    </row>
    <row r="64" spans="1:19" s="1" customFormat="1">
      <c r="A64" s="20"/>
      <c r="B64" s="7" t="s">
        <v>80</v>
      </c>
      <c r="C64" s="7" t="s">
        <v>18</v>
      </c>
      <c r="D64" s="7">
        <v>1</v>
      </c>
      <c r="E64" s="14">
        <f>E55</f>
        <v>449.68</v>
      </c>
      <c r="F64" s="36">
        <f t="shared" si="21"/>
        <v>1.0015144766146993</v>
      </c>
      <c r="G64" s="59">
        <f>D64/E64*F64</f>
        <v>2.2271714922048997E-3</v>
      </c>
      <c r="H64" s="8">
        <v>36000</v>
      </c>
      <c r="I64" s="72">
        <f t="shared" si="22"/>
        <v>80.178173719376389</v>
      </c>
      <c r="J64" s="88">
        <f t="shared" si="23"/>
        <v>36000</v>
      </c>
      <c r="K64" s="88">
        <f>36000</f>
        <v>36000</v>
      </c>
      <c r="L64" s="88"/>
    </row>
    <row r="65" spans="1:12" s="1" customFormat="1" ht="15.75" thickBot="1">
      <c r="A65" s="21"/>
      <c r="B65" s="22"/>
      <c r="C65" s="22"/>
      <c r="D65" s="22"/>
      <c r="E65" s="22"/>
      <c r="F65" s="39"/>
      <c r="G65" s="26"/>
      <c r="H65" s="51"/>
      <c r="I65" s="71">
        <f>SUM(I55:I64)</f>
        <v>1438.2544320712693</v>
      </c>
      <c r="J65" s="88">
        <f t="shared" si="23"/>
        <v>645776.23999999987</v>
      </c>
      <c r="K65" s="87">
        <f>SUM(K55:K64)</f>
        <v>645776.24</v>
      </c>
      <c r="L65" s="88"/>
    </row>
  </sheetData>
  <mergeCells count="2">
    <mergeCell ref="A3:H3"/>
    <mergeCell ref="A51:H51"/>
  </mergeCells>
  <pageMargins left="0.51181102362204722" right="0" top="0.15748031496062992" bottom="0" header="0.31496062992125984" footer="0.31496062992125984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R44"/>
  <sheetViews>
    <sheetView topLeftCell="A4" workbookViewId="0">
      <selection activeCell="H23" sqref="H23"/>
    </sheetView>
  </sheetViews>
  <sheetFormatPr defaultRowHeight="15"/>
  <cols>
    <col min="1" max="1" width="8.85546875" customWidth="1"/>
    <col min="2" max="2" width="20.85546875" style="1" customWidth="1"/>
    <col min="3" max="3" width="14.7109375" style="1" customWidth="1"/>
    <col min="4" max="4" width="8.28515625" style="1" customWidth="1"/>
    <col min="5" max="5" width="12.42578125" style="1" customWidth="1"/>
    <col min="6" max="6" width="12.5703125" style="1" customWidth="1"/>
    <col min="7" max="7" width="12.28515625" customWidth="1"/>
    <col min="8" max="9" width="10.85546875" style="1" customWidth="1"/>
    <col min="10" max="10" width="11.140625" style="1" customWidth="1"/>
    <col min="11" max="11" width="8.85546875" style="1" customWidth="1"/>
    <col min="12" max="12" width="8.7109375" style="1" customWidth="1"/>
    <col min="13" max="13" width="5.5703125" style="1" customWidth="1"/>
    <col min="14" max="17" width="9.140625" style="1"/>
  </cols>
  <sheetData>
    <row r="1" spans="1:12">
      <c r="A1" s="3" t="s">
        <v>3</v>
      </c>
    </row>
    <row r="3" spans="1:12" ht="18.75">
      <c r="A3" s="94" t="s">
        <v>44</v>
      </c>
      <c r="B3" s="94"/>
      <c r="C3" s="94"/>
      <c r="D3" s="94"/>
      <c r="E3" s="94"/>
      <c r="F3" s="94"/>
      <c r="G3" s="94"/>
      <c r="H3" s="94"/>
    </row>
    <row r="4" spans="1:12" ht="15.75" thickBot="1"/>
    <row r="5" spans="1:12" ht="95.25" customHeight="1">
      <c r="A5" s="28" t="s">
        <v>2</v>
      </c>
      <c r="B5" s="29" t="s">
        <v>16</v>
      </c>
      <c r="C5" s="29" t="s">
        <v>15</v>
      </c>
      <c r="D5" s="29" t="s">
        <v>17</v>
      </c>
      <c r="E5" s="29" t="s">
        <v>28</v>
      </c>
      <c r="F5" s="29" t="s">
        <v>82</v>
      </c>
      <c r="G5" s="29" t="s">
        <v>29</v>
      </c>
      <c r="H5" s="29" t="s">
        <v>30</v>
      </c>
      <c r="I5" s="29" t="s">
        <v>11</v>
      </c>
      <c r="J5" s="2" t="s">
        <v>75</v>
      </c>
      <c r="K5" s="2" t="s">
        <v>76</v>
      </c>
    </row>
    <row r="6" spans="1:12" ht="15.75" thickBot="1">
      <c r="A6" s="48">
        <v>1</v>
      </c>
      <c r="B6" s="12">
        <v>2</v>
      </c>
      <c r="C6" s="12">
        <v>3</v>
      </c>
      <c r="D6" s="12">
        <v>4</v>
      </c>
      <c r="E6" s="32">
        <v>5</v>
      </c>
      <c r="F6" s="12">
        <v>6</v>
      </c>
      <c r="G6" s="12" t="s">
        <v>31</v>
      </c>
      <c r="H6" s="11">
        <v>8</v>
      </c>
      <c r="I6" s="49" t="s">
        <v>32</v>
      </c>
    </row>
    <row r="7" spans="1:12" ht="30">
      <c r="A7" s="17" t="s">
        <v>83</v>
      </c>
      <c r="B7" s="18" t="s">
        <v>45</v>
      </c>
      <c r="C7" s="53" t="s">
        <v>46</v>
      </c>
      <c r="D7" s="18">
        <v>3</v>
      </c>
      <c r="E7" s="14">
        <f>ком.усл!E7</f>
        <v>66729.52</v>
      </c>
      <c r="F7" s="36">
        <f>E7/A8</f>
        <v>1.0014034455849692</v>
      </c>
      <c r="G7" s="58">
        <f>D7/E7*F7</f>
        <v>4.5020709526382139E-5</v>
      </c>
      <c r="H7" s="19">
        <v>9000</v>
      </c>
      <c r="I7" s="73">
        <f>H7*G7</f>
        <v>0.40518638573743926</v>
      </c>
      <c r="J7" s="87">
        <f>I7*66636</f>
        <v>27000.000000000004</v>
      </c>
      <c r="K7" s="88">
        <v>27000</v>
      </c>
    </row>
    <row r="8" spans="1:12">
      <c r="A8" s="83">
        <v>66636</v>
      </c>
      <c r="B8" s="39" t="s">
        <v>78</v>
      </c>
      <c r="C8" s="7" t="s">
        <v>18</v>
      </c>
      <c r="D8" s="7">
        <v>1</v>
      </c>
      <c r="E8" s="14">
        <f>ком.усл!E8</f>
        <v>66729.52</v>
      </c>
      <c r="F8" s="36">
        <f>F7</f>
        <v>1.0014034455849692</v>
      </c>
      <c r="G8" s="59">
        <f>D8/E8*F8</f>
        <v>1.5006903175460714E-5</v>
      </c>
      <c r="H8" s="8"/>
      <c r="I8" s="72">
        <f t="shared" ref="I8" si="0">H8*G8</f>
        <v>0</v>
      </c>
      <c r="J8" s="87">
        <f t="shared" ref="J8:J10" si="1">I8*66636</f>
        <v>0</v>
      </c>
      <c r="K8" s="88"/>
    </row>
    <row r="9" spans="1:12" s="1" customFormat="1">
      <c r="A9" s="20"/>
      <c r="B9" s="14" t="s">
        <v>79</v>
      </c>
      <c r="C9" s="7" t="s">
        <v>18</v>
      </c>
      <c r="D9" s="7">
        <v>1</v>
      </c>
      <c r="E9" s="14">
        <f>E7</f>
        <v>66729.52</v>
      </c>
      <c r="F9" s="36">
        <f>F8</f>
        <v>1.0014034455849692</v>
      </c>
      <c r="G9" s="59">
        <f>D9/E9*F9</f>
        <v>1.5006903175460714E-5</v>
      </c>
      <c r="H9" s="8"/>
      <c r="I9" s="72">
        <f t="shared" ref="I9" si="2">H9*G9</f>
        <v>0</v>
      </c>
      <c r="J9" s="87">
        <f t="shared" si="1"/>
        <v>0</v>
      </c>
      <c r="K9" s="88"/>
    </row>
    <row r="10" spans="1:12" s="1" customFormat="1" ht="15.75" thickBot="1">
      <c r="A10" s="38"/>
      <c r="B10" s="39"/>
      <c r="C10" s="39"/>
      <c r="D10" s="39"/>
      <c r="E10" s="39"/>
      <c r="F10" s="39"/>
      <c r="G10" s="55"/>
      <c r="H10" s="56"/>
      <c r="I10" s="74">
        <f>SUM(I7:I9)</f>
        <v>0.40518638573743926</v>
      </c>
      <c r="J10" s="87">
        <f t="shared" si="1"/>
        <v>27000.000000000004</v>
      </c>
      <c r="K10" s="87">
        <f>K9+K8+K7</f>
        <v>27000</v>
      </c>
    </row>
    <row r="11" spans="1:12" s="1" customFormat="1" ht="30">
      <c r="A11" s="17" t="s">
        <v>13</v>
      </c>
      <c r="B11" s="18" t="s">
        <v>45</v>
      </c>
      <c r="C11" s="57" t="s">
        <v>46</v>
      </c>
      <c r="D11" s="18">
        <v>3</v>
      </c>
      <c r="E11" s="62">
        <f>ком.усл!E12</f>
        <v>28276.560000000001</v>
      </c>
      <c r="F11" s="36">
        <f>E11/A12</f>
        <v>1.0018622448979593</v>
      </c>
      <c r="G11" s="52">
        <f>D11/E11*F11</f>
        <v>1.0629251700680273E-4</v>
      </c>
      <c r="H11" s="19">
        <f>6800+106.7</f>
        <v>6906.7</v>
      </c>
      <c r="I11" s="73">
        <f>H11*G11</f>
        <v>0.73413052721088445</v>
      </c>
      <c r="J11" s="87">
        <f>I11*28224</f>
        <v>20720.100000000002</v>
      </c>
      <c r="K11" s="88">
        <v>20720</v>
      </c>
      <c r="L11" s="4">
        <f>K11-J11</f>
        <v>-0.10000000000218279</v>
      </c>
    </row>
    <row r="12" spans="1:12" s="1" customFormat="1" ht="15" customHeight="1">
      <c r="A12" s="83">
        <v>28224</v>
      </c>
      <c r="B12" s="14" t="s">
        <v>79</v>
      </c>
      <c r="C12" s="7" t="s">
        <v>18</v>
      </c>
      <c r="D12" s="14">
        <v>1</v>
      </c>
      <c r="E12" s="7">
        <f>E11</f>
        <v>28276.560000000001</v>
      </c>
      <c r="F12" s="36">
        <f>F11</f>
        <v>1.0018622448979593</v>
      </c>
      <c r="G12" s="50">
        <f>D12/E12*F12</f>
        <v>3.5430839002267575E-5</v>
      </c>
      <c r="H12" s="15"/>
      <c r="I12" s="72">
        <f>H12*G12</f>
        <v>0</v>
      </c>
      <c r="J12" s="87">
        <f t="shared" ref="J12:J18" si="3">I12*28224</f>
        <v>0</v>
      </c>
      <c r="K12" s="88"/>
    </row>
    <row r="13" spans="1:12" s="1" customFormat="1" ht="29.25" customHeight="1">
      <c r="A13" s="20"/>
      <c r="B13" s="45" t="s">
        <v>74</v>
      </c>
      <c r="C13" s="7" t="s">
        <v>18</v>
      </c>
      <c r="D13" s="7">
        <v>1</v>
      </c>
      <c r="E13" s="7">
        <f>E12</f>
        <v>28276.560000000001</v>
      </c>
      <c r="F13" s="36">
        <f t="shared" ref="F13:F17" si="4">F12</f>
        <v>1.0018622448979593</v>
      </c>
      <c r="G13" s="50">
        <f>D13/E13*F13</f>
        <v>3.5430839002267575E-5</v>
      </c>
      <c r="H13" s="8">
        <v>2276</v>
      </c>
      <c r="I13" s="72">
        <f t="shared" ref="I13:I17" si="5">H13*G13</f>
        <v>8.0640589569160995E-2</v>
      </c>
      <c r="J13" s="87">
        <f t="shared" si="3"/>
        <v>2276</v>
      </c>
      <c r="K13" s="88">
        <v>2276</v>
      </c>
    </row>
    <row r="14" spans="1:12" s="1" customFormat="1" ht="18.75" customHeight="1">
      <c r="A14" s="20"/>
      <c r="B14" s="7" t="s">
        <v>93</v>
      </c>
      <c r="C14" s="7" t="s">
        <v>18</v>
      </c>
      <c r="D14" s="7">
        <v>1</v>
      </c>
      <c r="E14" s="7">
        <f>E13</f>
        <v>28276.560000000001</v>
      </c>
      <c r="F14" s="36">
        <f t="shared" si="4"/>
        <v>1.0018622448979593</v>
      </c>
      <c r="G14" s="50">
        <f>D14/E14*F14</f>
        <v>3.5430839002267575E-5</v>
      </c>
      <c r="H14" s="8">
        <v>246144</v>
      </c>
      <c r="I14" s="72">
        <f t="shared" ref="I14" si="6">H14*G14</f>
        <v>8.7210884353741491</v>
      </c>
      <c r="J14" s="87">
        <f t="shared" si="3"/>
        <v>246143.99999999997</v>
      </c>
      <c r="K14" s="88">
        <v>246144</v>
      </c>
    </row>
    <row r="15" spans="1:12" s="1" customFormat="1" ht="18.399999999999999" customHeight="1">
      <c r="A15" s="20"/>
      <c r="B15" s="7" t="s">
        <v>77</v>
      </c>
      <c r="C15" s="7" t="s">
        <v>18</v>
      </c>
      <c r="D15" s="7">
        <v>1</v>
      </c>
      <c r="E15" s="7">
        <f>E13</f>
        <v>28276.560000000001</v>
      </c>
      <c r="F15" s="36">
        <f t="shared" si="4"/>
        <v>1.0018622448979593</v>
      </c>
      <c r="G15" s="50">
        <f>D15/E15*F15</f>
        <v>3.5430839002267575E-5</v>
      </c>
      <c r="H15" s="8">
        <v>12480</v>
      </c>
      <c r="I15" s="72">
        <f t="shared" si="5"/>
        <v>0.44217687074829931</v>
      </c>
      <c r="J15" s="87">
        <f t="shared" si="3"/>
        <v>12480</v>
      </c>
      <c r="K15" s="88">
        <v>12480</v>
      </c>
    </row>
    <row r="16" spans="1:12" s="1" customFormat="1">
      <c r="A16" s="20"/>
      <c r="B16" s="7" t="s">
        <v>47</v>
      </c>
      <c r="C16" s="7" t="s">
        <v>18</v>
      </c>
      <c r="D16" s="7">
        <v>1</v>
      </c>
      <c r="E16" s="7">
        <f>E15</f>
        <v>28276.560000000001</v>
      </c>
      <c r="F16" s="36">
        <f t="shared" si="4"/>
        <v>1.0018622448979593</v>
      </c>
      <c r="G16" s="50">
        <f t="shared" ref="G16" si="7">D16/E16*F16</f>
        <v>3.5430839002267575E-5</v>
      </c>
      <c r="H16" s="8">
        <v>2440</v>
      </c>
      <c r="I16" s="72">
        <f t="shared" si="5"/>
        <v>8.6451247165532888E-2</v>
      </c>
      <c r="J16" s="87">
        <f t="shared" si="3"/>
        <v>2440.0000000000005</v>
      </c>
      <c r="K16" s="88">
        <v>2440</v>
      </c>
    </row>
    <row r="17" spans="1:18" s="1" customFormat="1">
      <c r="A17" s="38"/>
      <c r="B17" s="39" t="s">
        <v>78</v>
      </c>
      <c r="C17" s="39" t="s">
        <v>18</v>
      </c>
      <c r="D17" s="39">
        <v>1</v>
      </c>
      <c r="E17" s="7">
        <f>E16</f>
        <v>28276.560000000001</v>
      </c>
      <c r="F17" s="36">
        <f t="shared" si="4"/>
        <v>1.0018622448979593</v>
      </c>
      <c r="G17" s="50">
        <f t="shared" ref="G17" si="8">D17/E17*F17</f>
        <v>3.5430839002267575E-5</v>
      </c>
      <c r="H17" s="8">
        <v>116947</v>
      </c>
      <c r="I17" s="72">
        <f t="shared" si="5"/>
        <v>4.1435303287981862</v>
      </c>
      <c r="J17" s="87">
        <f t="shared" si="3"/>
        <v>116947</v>
      </c>
      <c r="K17" s="88">
        <v>116947</v>
      </c>
    </row>
    <row r="18" spans="1:18" s="1" customFormat="1" ht="15.75" thickBot="1">
      <c r="A18" s="21"/>
      <c r="B18" s="22"/>
      <c r="C18" s="24"/>
      <c r="D18" s="22"/>
      <c r="E18" s="22"/>
      <c r="F18" s="22"/>
      <c r="G18" s="26"/>
      <c r="H18" s="51"/>
      <c r="I18" s="71">
        <f>SUM(I11:I17)</f>
        <v>14.208017998866215</v>
      </c>
      <c r="J18" s="87">
        <f t="shared" si="3"/>
        <v>401007.10000000003</v>
      </c>
      <c r="K18" s="88">
        <f>SUM(K11:K17)</f>
        <v>401007</v>
      </c>
    </row>
    <row r="19" spans="1:18" ht="15.75" thickBot="1"/>
    <row r="20" spans="1:18" ht="94.35" customHeight="1">
      <c r="A20" s="28" t="s">
        <v>2</v>
      </c>
      <c r="B20" s="29" t="s">
        <v>16</v>
      </c>
      <c r="C20" s="29" t="s">
        <v>15</v>
      </c>
      <c r="D20" s="29" t="s">
        <v>17</v>
      </c>
      <c r="E20" s="29" t="s">
        <v>28</v>
      </c>
      <c r="F20" s="29" t="s">
        <v>82</v>
      </c>
      <c r="G20" s="29" t="s">
        <v>29</v>
      </c>
      <c r="H20" s="29" t="s">
        <v>30</v>
      </c>
      <c r="I20" s="29" t="s">
        <v>50</v>
      </c>
      <c r="J20" s="29" t="s">
        <v>11</v>
      </c>
      <c r="K20" s="2"/>
    </row>
    <row r="21" spans="1:18" ht="15.75" thickBot="1">
      <c r="A21" s="31">
        <v>1</v>
      </c>
      <c r="B21" s="32">
        <v>2</v>
      </c>
      <c r="C21" s="32">
        <v>3</v>
      </c>
      <c r="D21" s="32">
        <v>4</v>
      </c>
      <c r="E21" s="32">
        <v>5</v>
      </c>
      <c r="F21" s="32">
        <v>6</v>
      </c>
      <c r="G21" s="32" t="s">
        <v>31</v>
      </c>
      <c r="H21" s="33">
        <v>8</v>
      </c>
      <c r="I21" s="34">
        <v>9</v>
      </c>
      <c r="J21" s="34" t="s">
        <v>51</v>
      </c>
    </row>
    <row r="22" spans="1:18" ht="15.75" customHeight="1">
      <c r="A22" s="13" t="s">
        <v>83</v>
      </c>
      <c r="B22" s="14" t="s">
        <v>48</v>
      </c>
      <c r="C22" s="60" t="s">
        <v>49</v>
      </c>
      <c r="D22" s="14">
        <v>2</v>
      </c>
      <c r="E22" s="14">
        <f>E7</f>
        <v>66729.52</v>
      </c>
      <c r="F22" s="37">
        <f>F7</f>
        <v>1.0014034455849692</v>
      </c>
      <c r="G22" s="61">
        <f>D22/E22*F22</f>
        <v>3.0013806350921427E-5</v>
      </c>
      <c r="H22" s="15">
        <f>1010+273.33</f>
        <v>1283.33</v>
      </c>
      <c r="I22" s="16">
        <v>12</v>
      </c>
      <c r="J22" s="75">
        <f>I22*H22*G22</f>
        <v>0.46221141725193593</v>
      </c>
      <c r="K22" s="87">
        <f>J22*A8</f>
        <v>30799.920000000002</v>
      </c>
      <c r="L22" s="87">
        <f>30800</f>
        <v>30800</v>
      </c>
      <c r="M22" s="87">
        <f>L22-K22</f>
        <v>7.9999999998108251E-2</v>
      </c>
    </row>
    <row r="23" spans="1:18" s="1" customFormat="1" ht="14.25" customHeight="1">
      <c r="A23" s="6" t="s">
        <v>13</v>
      </c>
      <c r="B23" s="7" t="s">
        <v>48</v>
      </c>
      <c r="C23" s="45" t="s">
        <v>49</v>
      </c>
      <c r="D23" s="7">
        <v>2</v>
      </c>
      <c r="E23" s="7">
        <f>E17</f>
        <v>28276.560000000001</v>
      </c>
      <c r="F23" s="36">
        <f>F11</f>
        <v>1.0018622448979593</v>
      </c>
      <c r="G23" s="59">
        <f>D23/E23*F23</f>
        <v>7.0861678004535149E-5</v>
      </c>
      <c r="H23" s="63">
        <f>900</f>
        <v>900</v>
      </c>
      <c r="I23" s="9">
        <v>12</v>
      </c>
      <c r="J23" s="76">
        <f>I23*H23*G23</f>
        <v>0.76530612244897966</v>
      </c>
      <c r="K23" s="88">
        <f>J23*A12</f>
        <v>21600.000000000004</v>
      </c>
      <c r="L23" s="89">
        <v>21600</v>
      </c>
      <c r="M23" s="87">
        <f>L23-K23</f>
        <v>0</v>
      </c>
    </row>
    <row r="27" spans="1:18" s="69" customFormat="1">
      <c r="A27" s="67" t="s">
        <v>88</v>
      </c>
      <c r="B27" s="68"/>
      <c r="C27" s="68"/>
      <c r="D27" s="68"/>
      <c r="E27" s="68"/>
      <c r="F27" s="68"/>
      <c r="I27" s="68"/>
      <c r="J27" s="68"/>
      <c r="K27" s="68"/>
      <c r="L27" s="68"/>
      <c r="M27" s="68"/>
      <c r="N27" s="68"/>
      <c r="O27" s="68"/>
      <c r="P27" s="68"/>
      <c r="Q27" s="68"/>
      <c r="R27" s="68"/>
    </row>
    <row r="29" spans="1:18" ht="18.75">
      <c r="A29" s="94" t="s">
        <v>44</v>
      </c>
      <c r="B29" s="94"/>
      <c r="C29" s="94"/>
      <c r="D29" s="94"/>
      <c r="E29" s="94"/>
      <c r="F29" s="94"/>
      <c r="G29" s="94"/>
      <c r="H29" s="94"/>
    </row>
    <row r="30" spans="1:18" ht="15.75" thickBot="1"/>
    <row r="31" spans="1:18" ht="105">
      <c r="A31" s="28" t="s">
        <v>2</v>
      </c>
      <c r="B31" s="29" t="s">
        <v>16</v>
      </c>
      <c r="C31" s="29" t="s">
        <v>15</v>
      </c>
      <c r="D31" s="29" t="s">
        <v>17</v>
      </c>
      <c r="E31" s="29" t="s">
        <v>28</v>
      </c>
      <c r="F31" s="29" t="s">
        <v>82</v>
      </c>
      <c r="G31" s="29" t="s">
        <v>29</v>
      </c>
      <c r="H31" s="29" t="s">
        <v>30</v>
      </c>
      <c r="I31" s="29" t="s">
        <v>11</v>
      </c>
      <c r="J31" s="2" t="s">
        <v>75</v>
      </c>
      <c r="K31" s="2" t="s">
        <v>76</v>
      </c>
    </row>
    <row r="32" spans="1:18" ht="15.75" thickBot="1">
      <c r="A32" s="48">
        <v>1</v>
      </c>
      <c r="B32" s="12">
        <v>2</v>
      </c>
      <c r="C32" s="12">
        <v>3</v>
      </c>
      <c r="D32" s="12">
        <v>4</v>
      </c>
      <c r="E32" s="32">
        <v>5</v>
      </c>
      <c r="F32" s="12">
        <v>6</v>
      </c>
      <c r="G32" s="12" t="s">
        <v>31</v>
      </c>
      <c r="H32" s="11">
        <v>8</v>
      </c>
      <c r="I32" s="49" t="s">
        <v>32</v>
      </c>
    </row>
    <row r="33" spans="1:13" ht="45">
      <c r="A33" s="17" t="s">
        <v>83</v>
      </c>
      <c r="B33" s="45" t="s">
        <v>74</v>
      </c>
      <c r="C33" s="7" t="s">
        <v>18</v>
      </c>
      <c r="D33" s="7">
        <v>1</v>
      </c>
      <c r="E33" s="7">
        <f>ком.усл!E29</f>
        <v>449.68</v>
      </c>
      <c r="F33" s="36">
        <f>E33/449</f>
        <v>1.0015144766146993</v>
      </c>
      <c r="G33" s="50">
        <f>D33/E33*F33</f>
        <v>2.2271714922048997E-3</v>
      </c>
      <c r="H33" s="8">
        <v>3904</v>
      </c>
      <c r="I33" s="72">
        <f t="shared" ref="I33:I37" si="9">H33*G33</f>
        <v>8.6948775055679288</v>
      </c>
      <c r="J33" s="87">
        <f>I33*449</f>
        <v>3904</v>
      </c>
      <c r="K33" s="88">
        <v>3904</v>
      </c>
    </row>
    <row r="34" spans="1:13">
      <c r="A34" s="27" t="s">
        <v>91</v>
      </c>
      <c r="B34" s="7" t="s">
        <v>92</v>
      </c>
      <c r="C34" s="7" t="s">
        <v>18</v>
      </c>
      <c r="D34" s="7">
        <v>1</v>
      </c>
      <c r="E34" s="7">
        <f>E33</f>
        <v>449.68</v>
      </c>
      <c r="F34" s="36">
        <f t="shared" ref="F34:F37" si="10">E34/449</f>
        <v>1.0015144766146993</v>
      </c>
      <c r="G34" s="50">
        <f>D34/E34*F34</f>
        <v>2.2271714922048997E-3</v>
      </c>
      <c r="H34" s="8"/>
      <c r="I34" s="72">
        <f t="shared" si="9"/>
        <v>0</v>
      </c>
      <c r="J34" s="87">
        <f t="shared" ref="J34:J39" si="11">I34*449</f>
        <v>0</v>
      </c>
      <c r="K34" s="88"/>
    </row>
    <row r="35" spans="1:13">
      <c r="A35" s="27"/>
      <c r="B35" s="7" t="s">
        <v>93</v>
      </c>
      <c r="C35" s="7" t="s">
        <v>18</v>
      </c>
      <c r="D35" s="7">
        <v>1</v>
      </c>
      <c r="E35" s="7">
        <f t="shared" ref="E35:E36" si="12">E34</f>
        <v>449.68</v>
      </c>
      <c r="F35" s="36">
        <f t="shared" si="10"/>
        <v>1.0015144766146993</v>
      </c>
      <c r="G35" s="50">
        <f t="shared" ref="G35:G36" si="13">D35/E35*F35</f>
        <v>2.2271714922048997E-3</v>
      </c>
      <c r="H35" s="8">
        <v>203230</v>
      </c>
      <c r="I35" s="72">
        <f t="shared" ref="I35:I36" si="14">H35*G35</f>
        <v>452.62806236080178</v>
      </c>
      <c r="J35" s="87">
        <f t="shared" si="11"/>
        <v>203230</v>
      </c>
      <c r="K35" s="88">
        <v>203230</v>
      </c>
    </row>
    <row r="36" spans="1:13">
      <c r="A36" s="27"/>
      <c r="B36" s="7" t="s">
        <v>94</v>
      </c>
      <c r="C36" s="7" t="s">
        <v>18</v>
      </c>
      <c r="D36" s="7">
        <v>1</v>
      </c>
      <c r="E36" s="7">
        <f t="shared" si="12"/>
        <v>449.68</v>
      </c>
      <c r="F36" s="36">
        <f t="shared" si="10"/>
        <v>1.0015144766146993</v>
      </c>
      <c r="G36" s="50">
        <f t="shared" si="13"/>
        <v>2.2271714922048997E-3</v>
      </c>
      <c r="H36" s="8"/>
      <c r="I36" s="72">
        <f t="shared" si="14"/>
        <v>0</v>
      </c>
      <c r="J36" s="87">
        <f t="shared" si="11"/>
        <v>0</v>
      </c>
      <c r="K36" s="88"/>
    </row>
    <row r="37" spans="1:13">
      <c r="A37" s="20"/>
      <c r="B37" s="7" t="s">
        <v>47</v>
      </c>
      <c r="C37" s="7" t="s">
        <v>18</v>
      </c>
      <c r="D37" s="7">
        <v>1</v>
      </c>
      <c r="E37" s="7">
        <f>E34</f>
        <v>449.68</v>
      </c>
      <c r="F37" s="36">
        <f t="shared" si="10"/>
        <v>1.0015144766146993</v>
      </c>
      <c r="G37" s="50">
        <f t="shared" ref="G37" si="15">D37/E37*F37</f>
        <v>2.2271714922048997E-3</v>
      </c>
      <c r="H37" s="8">
        <v>5730</v>
      </c>
      <c r="I37" s="72">
        <f t="shared" si="9"/>
        <v>12.761692650334075</v>
      </c>
      <c r="J37" s="87">
        <f t="shared" si="11"/>
        <v>5729.9999999999991</v>
      </c>
      <c r="K37" s="88">
        <v>5730</v>
      </c>
    </row>
    <row r="38" spans="1:13">
      <c r="A38" s="38"/>
      <c r="B38" s="39"/>
      <c r="C38" s="39"/>
      <c r="D38" s="39"/>
      <c r="E38" s="7"/>
      <c r="F38" s="36"/>
      <c r="G38" s="50"/>
      <c r="H38" s="8"/>
      <c r="I38" s="72"/>
      <c r="J38" s="87">
        <f t="shared" si="11"/>
        <v>0</v>
      </c>
      <c r="K38" s="88"/>
    </row>
    <row r="39" spans="1:13" ht="15.75" thickBot="1">
      <c r="A39" s="21"/>
      <c r="B39" s="22"/>
      <c r="C39" s="24"/>
      <c r="D39" s="22"/>
      <c r="E39" s="22"/>
      <c r="F39" s="22"/>
      <c r="G39" s="26"/>
      <c r="H39" s="51"/>
      <c r="I39" s="71">
        <f>SUM(I33:I38)</f>
        <v>474.08463251670378</v>
      </c>
      <c r="J39" s="87">
        <f t="shared" si="11"/>
        <v>212864</v>
      </c>
      <c r="K39" s="88">
        <f>SUM(K33:K38)</f>
        <v>212864</v>
      </c>
    </row>
    <row r="40" spans="1:13" ht="15.75" thickBot="1"/>
    <row r="41" spans="1:13" ht="105">
      <c r="A41" s="28" t="s">
        <v>2</v>
      </c>
      <c r="B41" s="29" t="s">
        <v>16</v>
      </c>
      <c r="C41" s="29" t="s">
        <v>15</v>
      </c>
      <c r="D41" s="29" t="s">
        <v>17</v>
      </c>
      <c r="E41" s="29" t="s">
        <v>28</v>
      </c>
      <c r="F41" s="29" t="s">
        <v>82</v>
      </c>
      <c r="G41" s="29" t="s">
        <v>29</v>
      </c>
      <c r="H41" s="29" t="s">
        <v>30</v>
      </c>
      <c r="I41" s="29" t="s">
        <v>50</v>
      </c>
      <c r="J41" s="29" t="s">
        <v>11</v>
      </c>
      <c r="K41" s="2"/>
    </row>
    <row r="42" spans="1:13" ht="15.75" thickBot="1">
      <c r="A42" s="31">
        <v>1</v>
      </c>
      <c r="B42" s="32">
        <v>2</v>
      </c>
      <c r="C42" s="32">
        <v>3</v>
      </c>
      <c r="D42" s="32">
        <v>4</v>
      </c>
      <c r="E42" s="32">
        <v>5</v>
      </c>
      <c r="F42" s="32">
        <v>6</v>
      </c>
      <c r="G42" s="32" t="s">
        <v>31</v>
      </c>
      <c r="H42" s="33">
        <v>8</v>
      </c>
      <c r="I42" s="34">
        <v>9</v>
      </c>
      <c r="J42" s="34" t="s">
        <v>51</v>
      </c>
    </row>
    <row r="43" spans="1:13" ht="30">
      <c r="A43" s="13" t="s">
        <v>83</v>
      </c>
      <c r="B43" s="14" t="s">
        <v>48</v>
      </c>
      <c r="C43" s="60" t="s">
        <v>49</v>
      </c>
      <c r="D43" s="14">
        <v>1</v>
      </c>
      <c r="E43" s="14">
        <f>ком.усл!E29</f>
        <v>449.68</v>
      </c>
      <c r="F43" s="37">
        <f>E43/449</f>
        <v>1.0015144766146993</v>
      </c>
      <c r="G43" s="61">
        <f>D43/E43*F43</f>
        <v>2.2271714922048997E-3</v>
      </c>
      <c r="H43" s="15">
        <v>250</v>
      </c>
      <c r="I43" s="16">
        <v>12</v>
      </c>
      <c r="J43" s="75">
        <f>I43*H43*G43</f>
        <v>6.6815144766146988</v>
      </c>
      <c r="K43" s="87">
        <f>J43*449</f>
        <v>2999.9999999999995</v>
      </c>
      <c r="L43" s="87">
        <v>3000</v>
      </c>
      <c r="M43" s="87">
        <f>L43-K43</f>
        <v>0</v>
      </c>
    </row>
    <row r="44" spans="1:13">
      <c r="A44" s="6"/>
      <c r="B44" s="7"/>
      <c r="C44" s="45"/>
      <c r="D44" s="7"/>
      <c r="E44" s="7"/>
      <c r="F44" s="36"/>
      <c r="G44" s="59"/>
      <c r="H44" s="63"/>
      <c r="I44" s="9"/>
      <c r="J44" s="66"/>
      <c r="L44" s="54"/>
      <c r="M44" s="4"/>
    </row>
  </sheetData>
  <mergeCells count="2">
    <mergeCell ref="A3:H3"/>
    <mergeCell ref="A29:H29"/>
  </mergeCells>
  <pageMargins left="0.51181102362204722" right="0" top="0.35433070866141736" bottom="0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T34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17" sqref="K17"/>
    </sheetView>
  </sheetViews>
  <sheetFormatPr defaultRowHeight="15" outlineLevelRow="1"/>
  <cols>
    <col min="1" max="1" width="7.85546875" customWidth="1"/>
    <col min="2" max="2" width="46.85546875" style="1" customWidth="1"/>
    <col min="3" max="3" width="7.85546875" style="1" customWidth="1"/>
    <col min="4" max="4" width="11.140625" style="1" customWidth="1"/>
    <col min="5" max="5" width="11.42578125" style="1" customWidth="1"/>
    <col min="6" max="6" width="10" style="1" customWidth="1"/>
    <col min="7" max="7" width="12.5703125" customWidth="1"/>
    <col min="8" max="8" width="12" customWidth="1"/>
    <col min="9" max="10" width="10.85546875" style="1" customWidth="1"/>
    <col min="11" max="11" width="10.42578125" style="1" customWidth="1"/>
    <col min="12" max="12" width="11.140625" style="1" customWidth="1"/>
    <col min="13" max="13" width="6" style="1" customWidth="1"/>
    <col min="14" max="20" width="9.140625" style="1"/>
  </cols>
  <sheetData>
    <row r="1" spans="1:13">
      <c r="A1" s="3" t="s">
        <v>3</v>
      </c>
    </row>
    <row r="3" spans="1:13" ht="18.75">
      <c r="A3" s="94" t="s">
        <v>52</v>
      </c>
      <c r="B3" s="94"/>
      <c r="C3" s="94"/>
      <c r="D3" s="94"/>
      <c r="E3" s="94"/>
      <c r="F3" s="94"/>
      <c r="G3" s="94"/>
      <c r="H3" s="94"/>
      <c r="I3" s="94"/>
      <c r="J3" s="94"/>
    </row>
    <row r="5" spans="1:13" ht="105">
      <c r="A5" s="5" t="s">
        <v>2</v>
      </c>
      <c r="B5" s="5" t="s">
        <v>4</v>
      </c>
      <c r="C5" s="5" t="s">
        <v>0</v>
      </c>
      <c r="D5" s="5" t="s">
        <v>14</v>
      </c>
      <c r="E5" s="5" t="s">
        <v>84</v>
      </c>
      <c r="F5" s="5" t="s">
        <v>1</v>
      </c>
      <c r="G5" s="5" t="s">
        <v>5</v>
      </c>
      <c r="H5" s="5" t="s">
        <v>7</v>
      </c>
      <c r="I5" s="5" t="s">
        <v>9</v>
      </c>
      <c r="J5" s="5" t="s">
        <v>11</v>
      </c>
      <c r="K5" s="2" t="s">
        <v>75</v>
      </c>
      <c r="L5" s="2" t="s">
        <v>76</v>
      </c>
      <c r="M5" s="2"/>
    </row>
    <row r="6" spans="1:13" ht="15.75" thickBot="1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6</v>
      </c>
      <c r="H6" s="11" t="s">
        <v>8</v>
      </c>
      <c r="I6" s="12" t="s">
        <v>10</v>
      </c>
      <c r="J6" s="12" t="s">
        <v>12</v>
      </c>
    </row>
    <row r="7" spans="1:13">
      <c r="A7" s="17" t="s">
        <v>83</v>
      </c>
      <c r="B7" s="18" t="s">
        <v>53</v>
      </c>
      <c r="C7" s="85">
        <v>1</v>
      </c>
      <c r="D7" s="18">
        <v>46000</v>
      </c>
      <c r="E7" s="84">
        <v>66636</v>
      </c>
      <c r="F7" s="7">
        <v>1973</v>
      </c>
      <c r="G7" s="19">
        <f>C7*F7</f>
        <v>1973</v>
      </c>
      <c r="H7" s="19">
        <f>G7/E7</f>
        <v>2.9608619965183984E-2</v>
      </c>
      <c r="I7" s="86">
        <f>D7*12*1.302/1973</f>
        <v>364.26964014191589</v>
      </c>
      <c r="J7" s="73">
        <f>I7*H7</f>
        <v>10.785521339816317</v>
      </c>
    </row>
    <row r="8" spans="1:13">
      <c r="A8" s="20"/>
      <c r="B8" s="7" t="s">
        <v>54</v>
      </c>
      <c r="C8" s="84">
        <v>2.5</v>
      </c>
      <c r="D8" s="7">
        <f>40000+463.78</f>
        <v>40463.78</v>
      </c>
      <c r="E8" s="84">
        <v>66636</v>
      </c>
      <c r="F8" s="7">
        <v>1973</v>
      </c>
      <c r="G8" s="8">
        <f t="shared" ref="G8:G9" si="0">C8*F8</f>
        <v>4932.5</v>
      </c>
      <c r="H8" s="8">
        <f>G8/E8</f>
        <v>7.4021549912959964E-2</v>
      </c>
      <c r="I8" s="86">
        <f t="shared" ref="I8:I16" si="1">D8*12*1.302/1973</f>
        <v>320.42883868220986</v>
      </c>
      <c r="J8" s="72">
        <f t="shared" ref="J8:J9" si="2">I8*H8</f>
        <v>23.718639276066995</v>
      </c>
    </row>
    <row r="9" spans="1:13">
      <c r="A9" s="20"/>
      <c r="B9" s="7" t="s">
        <v>55</v>
      </c>
      <c r="C9" s="84"/>
      <c r="D9" s="7"/>
      <c r="E9" s="84">
        <v>66636</v>
      </c>
      <c r="F9" s="7">
        <v>1973</v>
      </c>
      <c r="G9" s="8">
        <f t="shared" si="0"/>
        <v>0</v>
      </c>
      <c r="H9" s="8">
        <f t="shared" ref="H9" si="3">G9/E9</f>
        <v>0</v>
      </c>
      <c r="I9" s="86">
        <f t="shared" si="1"/>
        <v>0</v>
      </c>
      <c r="J9" s="72">
        <f t="shared" si="2"/>
        <v>0</v>
      </c>
    </row>
    <row r="10" spans="1:13">
      <c r="A10" s="20"/>
      <c r="B10" s="7" t="s">
        <v>56</v>
      </c>
      <c r="C10" s="84"/>
      <c r="D10" s="7"/>
      <c r="E10" s="84">
        <v>66636</v>
      </c>
      <c r="F10" s="7">
        <v>1973</v>
      </c>
      <c r="G10" s="8">
        <f>C10*F10</f>
        <v>0</v>
      </c>
      <c r="H10" s="8">
        <f t="shared" ref="H10:H16" si="4">G10/E10</f>
        <v>0</v>
      </c>
      <c r="I10" s="86">
        <f t="shared" si="1"/>
        <v>0</v>
      </c>
      <c r="J10" s="72">
        <f t="shared" ref="J10:J16" si="5">I10*H10</f>
        <v>0</v>
      </c>
    </row>
    <row r="11" spans="1:13">
      <c r="A11" s="20"/>
      <c r="B11" s="7" t="s">
        <v>57</v>
      </c>
      <c r="C11" s="84">
        <v>1</v>
      </c>
      <c r="D11" s="7">
        <v>28000</v>
      </c>
      <c r="E11" s="84">
        <v>66636</v>
      </c>
      <c r="F11" s="7">
        <v>1973</v>
      </c>
      <c r="G11" s="8">
        <f t="shared" ref="G11:G16" si="6">C11*F11</f>
        <v>1973</v>
      </c>
      <c r="H11" s="8">
        <f t="shared" si="4"/>
        <v>2.9608619965183984E-2</v>
      </c>
      <c r="I11" s="86">
        <f t="shared" si="1"/>
        <v>221.7293461733401</v>
      </c>
      <c r="J11" s="72">
        <f t="shared" si="5"/>
        <v>6.5650999459751489</v>
      </c>
    </row>
    <row r="12" spans="1:13">
      <c r="A12" s="20"/>
      <c r="B12" s="7" t="s">
        <v>58</v>
      </c>
      <c r="C12" s="84">
        <v>0.75</v>
      </c>
      <c r="D12" s="7">
        <v>15351</v>
      </c>
      <c r="E12" s="84">
        <v>66636</v>
      </c>
      <c r="F12" s="7">
        <v>1973</v>
      </c>
      <c r="G12" s="8">
        <f t="shared" si="6"/>
        <v>1479.75</v>
      </c>
      <c r="H12" s="8">
        <f t="shared" si="4"/>
        <v>2.220646497388799E-2</v>
      </c>
      <c r="I12" s="86">
        <f t="shared" si="1"/>
        <v>121.5631140395337</v>
      </c>
      <c r="J12" s="72">
        <f t="shared" si="5"/>
        <v>2.6994870340356565</v>
      </c>
    </row>
    <row r="13" spans="1:13">
      <c r="A13" s="20"/>
      <c r="B13" s="7" t="s">
        <v>59</v>
      </c>
      <c r="C13" s="84">
        <v>2</v>
      </c>
      <c r="D13" s="7">
        <v>20468</v>
      </c>
      <c r="E13" s="84">
        <v>66636</v>
      </c>
      <c r="F13" s="7">
        <v>1973</v>
      </c>
      <c r="G13" s="8">
        <f t="shared" si="6"/>
        <v>3946</v>
      </c>
      <c r="H13" s="8">
        <f t="shared" si="4"/>
        <v>5.9217239930367968E-2</v>
      </c>
      <c r="I13" s="86">
        <f t="shared" si="1"/>
        <v>162.0841520527116</v>
      </c>
      <c r="J13" s="72">
        <f t="shared" si="5"/>
        <v>9.5981761210156673</v>
      </c>
    </row>
    <row r="14" spans="1:13">
      <c r="A14" s="20"/>
      <c r="B14" s="7" t="s">
        <v>105</v>
      </c>
      <c r="C14" s="84">
        <v>0.5</v>
      </c>
      <c r="D14" s="7">
        <v>11200</v>
      </c>
      <c r="E14" s="84">
        <v>66636</v>
      </c>
      <c r="F14" s="7">
        <v>1973</v>
      </c>
      <c r="G14" s="8">
        <f t="shared" si="6"/>
        <v>986.5</v>
      </c>
      <c r="H14" s="8">
        <f t="shared" si="4"/>
        <v>1.4804309982591992E-2</v>
      </c>
      <c r="I14" s="86">
        <f t="shared" si="1"/>
        <v>88.691738469336045</v>
      </c>
      <c r="J14" s="72">
        <f t="shared" si="5"/>
        <v>1.3130199891950298</v>
      </c>
    </row>
    <row r="15" spans="1:13">
      <c r="A15" s="20"/>
      <c r="B15" s="7" t="s">
        <v>60</v>
      </c>
      <c r="C15" s="84">
        <v>3</v>
      </c>
      <c r="D15" s="7">
        <v>23000</v>
      </c>
      <c r="E15" s="84">
        <v>66636</v>
      </c>
      <c r="F15" s="7">
        <v>1973</v>
      </c>
      <c r="G15" s="8">
        <f t="shared" si="6"/>
        <v>5919</v>
      </c>
      <c r="H15" s="8">
        <f t="shared" si="4"/>
        <v>8.8825859895551959E-2</v>
      </c>
      <c r="I15" s="86">
        <f t="shared" si="1"/>
        <v>182.13482007095794</v>
      </c>
      <c r="J15" s="72">
        <f t="shared" si="5"/>
        <v>16.178282009724477</v>
      </c>
    </row>
    <row r="16" spans="1:13">
      <c r="A16" s="20"/>
      <c r="B16" s="7" t="s">
        <v>61</v>
      </c>
      <c r="C16" s="84">
        <v>0.5</v>
      </c>
      <c r="D16" s="7">
        <v>11200</v>
      </c>
      <c r="E16" s="84">
        <v>66636</v>
      </c>
      <c r="F16" s="7">
        <v>1973</v>
      </c>
      <c r="G16" s="8">
        <f t="shared" si="6"/>
        <v>986.5</v>
      </c>
      <c r="H16" s="8">
        <f t="shared" si="4"/>
        <v>1.4804309982591992E-2</v>
      </c>
      <c r="I16" s="86">
        <f t="shared" si="1"/>
        <v>88.691738469336045</v>
      </c>
      <c r="J16" s="72">
        <f t="shared" si="5"/>
        <v>1.3130199891950298</v>
      </c>
    </row>
    <row r="17" spans="1:13" ht="15.75" thickBot="1">
      <c r="A17" s="21"/>
      <c r="B17" s="22"/>
      <c r="C17" s="22">
        <f>SUM(C7:C16)</f>
        <v>11.25</v>
      </c>
      <c r="D17" s="22"/>
      <c r="E17" s="22"/>
      <c r="F17" s="22"/>
      <c r="G17" s="23"/>
      <c r="H17" s="23"/>
      <c r="I17" s="24"/>
      <c r="J17" s="71">
        <f>SUM(J7:J16)</f>
        <v>72.171245705024319</v>
      </c>
      <c r="K17" s="87">
        <f>J17*E16</f>
        <v>4809203.1288000001</v>
      </c>
      <c r="L17" s="87">
        <f>7437900+2246250+2770280+836630-1236400-7245456.83</f>
        <v>4809203.17</v>
      </c>
      <c r="M17" s="54">
        <f>L17-K17</f>
        <v>4.1199999861419201E-2</v>
      </c>
    </row>
    <row r="18" spans="1:13" hidden="1" outlineLevel="1">
      <c r="A18" s="13"/>
      <c r="B18" s="14"/>
      <c r="C18" s="14"/>
      <c r="D18" s="14">
        <f>D7*12+D8*12+D9*12+D10*C10*12+D11*12+D12*12+D13*C13*12+D14*C14*12+D15*C15*12+D16*12</f>
        <v>3078609.36</v>
      </c>
      <c r="E18" s="14"/>
      <c r="F18" s="14"/>
      <c r="G18" s="15"/>
      <c r="H18" s="15"/>
      <c r="I18" s="16"/>
      <c r="J18" s="37"/>
    </row>
    <row r="19" spans="1:13" hidden="1" outlineLevel="1">
      <c r="A19" s="13"/>
      <c r="B19" s="14"/>
      <c r="C19" s="14"/>
      <c r="D19" s="14">
        <v>2248123</v>
      </c>
      <c r="E19" s="14"/>
      <c r="F19" s="14"/>
      <c r="G19" s="15"/>
      <c r="H19" s="15"/>
      <c r="I19" s="16"/>
      <c r="J19" s="37"/>
    </row>
    <row r="20" spans="1:13" ht="15.75" hidden="1" outlineLevel="1" thickBot="1">
      <c r="A20" s="6"/>
      <c r="B20" s="7"/>
      <c r="C20" s="7"/>
      <c r="D20" s="7">
        <f>D19-D18</f>
        <v>-830486.35999999987</v>
      </c>
      <c r="E20" s="7"/>
      <c r="F20" s="7"/>
      <c r="G20" s="6"/>
      <c r="H20" s="8"/>
      <c r="I20" s="10"/>
      <c r="J20" s="36"/>
    </row>
    <row r="21" spans="1:13" collapsed="1">
      <c r="A21" s="6" t="s">
        <v>13</v>
      </c>
      <c r="B21" s="18" t="s">
        <v>53</v>
      </c>
      <c r="C21" s="84">
        <v>1</v>
      </c>
      <c r="D21" s="7">
        <v>46000</v>
      </c>
      <c r="E21" s="84">
        <v>28224</v>
      </c>
      <c r="F21" s="7">
        <v>1973</v>
      </c>
      <c r="G21" s="8">
        <f t="shared" ref="G21:G22" si="7">C21*F21</f>
        <v>1973</v>
      </c>
      <c r="H21" s="8">
        <f>G21/E21</f>
        <v>6.9905045351473918E-2</v>
      </c>
      <c r="I21" s="86">
        <f>D21*12*1.302/1973</f>
        <v>364.26964014191589</v>
      </c>
      <c r="J21" s="36">
        <f t="shared" ref="J21:J22" si="8">I21*H21</f>
        <v>25.464285714285715</v>
      </c>
    </row>
    <row r="22" spans="1:13">
      <c r="A22" s="6"/>
      <c r="B22" s="7" t="s">
        <v>54</v>
      </c>
      <c r="C22" s="84">
        <v>2</v>
      </c>
      <c r="D22" s="7">
        <f>39000+1000+152.16</f>
        <v>40152.160000000003</v>
      </c>
      <c r="E22" s="84">
        <v>28224</v>
      </c>
      <c r="F22" s="7">
        <v>1973</v>
      </c>
      <c r="G22" s="8">
        <f t="shared" si="7"/>
        <v>3946</v>
      </c>
      <c r="H22" s="8">
        <f t="shared" ref="H22" si="9">G22/E22</f>
        <v>0.13981009070294784</v>
      </c>
      <c r="I22" s="86">
        <f>D22*12*1.302/1973</f>
        <v>317.96114943740497</v>
      </c>
      <c r="J22" s="36">
        <f t="shared" si="8"/>
        <v>44.454177142857141</v>
      </c>
    </row>
    <row r="23" spans="1:13">
      <c r="A23" s="6"/>
      <c r="B23" s="7" t="s">
        <v>62</v>
      </c>
      <c r="C23" s="84">
        <v>0.375</v>
      </c>
      <c r="D23" s="7">
        <v>8930.5</v>
      </c>
      <c r="E23" s="84">
        <v>28224</v>
      </c>
      <c r="F23" s="7">
        <v>1973</v>
      </c>
      <c r="G23" s="8">
        <f t="shared" ref="G23:G29" si="10">C23*F23</f>
        <v>739.875</v>
      </c>
      <c r="H23" s="8">
        <f t="shared" ref="H23:H29" si="11">G23/E23</f>
        <v>2.6214392006802721E-2</v>
      </c>
      <c r="I23" s="86">
        <f t="shared" ref="I23:I29" si="12">D23*12*1.302/1973</f>
        <v>70.719783071464775</v>
      </c>
      <c r="J23" s="36">
        <f t="shared" ref="J23:J29" si="13">I23*H23</f>
        <v>1.8538761160714285</v>
      </c>
    </row>
    <row r="24" spans="1:13">
      <c r="A24" s="6"/>
      <c r="B24" s="7" t="s">
        <v>57</v>
      </c>
      <c r="C24" s="84">
        <v>1</v>
      </c>
      <c r="D24" s="7">
        <v>28000</v>
      </c>
      <c r="E24" s="84">
        <v>28224</v>
      </c>
      <c r="F24" s="7">
        <v>1973</v>
      </c>
      <c r="G24" s="8">
        <f t="shared" si="10"/>
        <v>1973</v>
      </c>
      <c r="H24" s="8">
        <f t="shared" si="11"/>
        <v>6.9905045351473918E-2</v>
      </c>
      <c r="I24" s="86">
        <f t="shared" si="12"/>
        <v>221.7293461733401</v>
      </c>
      <c r="J24" s="36">
        <f t="shared" si="13"/>
        <v>15.5</v>
      </c>
    </row>
    <row r="25" spans="1:13">
      <c r="A25" s="6"/>
      <c r="B25" s="7" t="s">
        <v>63</v>
      </c>
      <c r="C25" s="84">
        <v>0.45500000000000002</v>
      </c>
      <c r="D25" s="7">
        <v>12280</v>
      </c>
      <c r="E25" s="84">
        <v>28224</v>
      </c>
      <c r="F25" s="7">
        <v>1973</v>
      </c>
      <c r="G25" s="8">
        <f t="shared" si="10"/>
        <v>897.71500000000003</v>
      </c>
      <c r="H25" s="8">
        <f t="shared" si="11"/>
        <v>3.1806795634920636E-2</v>
      </c>
      <c r="I25" s="86">
        <f t="shared" si="12"/>
        <v>97.244156107450578</v>
      </c>
      <c r="J25" s="36">
        <f t="shared" si="13"/>
        <v>3.0930249999999999</v>
      </c>
    </row>
    <row r="26" spans="1:13">
      <c r="A26" s="6"/>
      <c r="B26" s="7" t="s">
        <v>59</v>
      </c>
      <c r="C26" s="84">
        <v>1.125</v>
      </c>
      <c r="D26" s="7">
        <v>26200</v>
      </c>
      <c r="E26" s="84">
        <v>28224</v>
      </c>
      <c r="F26" s="7">
        <v>1973</v>
      </c>
      <c r="G26" s="8">
        <f t="shared" si="10"/>
        <v>2219.625</v>
      </c>
      <c r="H26" s="8">
        <f t="shared" si="11"/>
        <v>7.8643176020408156E-2</v>
      </c>
      <c r="I26" s="86">
        <f t="shared" si="12"/>
        <v>207.47531677648252</v>
      </c>
      <c r="J26" s="36">
        <f t="shared" si="13"/>
        <v>16.316517857142856</v>
      </c>
    </row>
    <row r="27" spans="1:13">
      <c r="A27" s="6"/>
      <c r="B27" s="7" t="s">
        <v>87</v>
      </c>
      <c r="C27" s="84">
        <v>0.625</v>
      </c>
      <c r="D27" s="7">
        <v>12280</v>
      </c>
      <c r="E27" s="84">
        <v>28224</v>
      </c>
      <c r="F27" s="7">
        <v>1973</v>
      </c>
      <c r="G27" s="8">
        <f t="shared" ref="G27" si="14">C27*F27</f>
        <v>1233.125</v>
      </c>
      <c r="H27" s="8">
        <f t="shared" ref="H27" si="15">G27/E27</f>
        <v>4.3690653344671204E-2</v>
      </c>
      <c r="I27" s="86">
        <f t="shared" si="12"/>
        <v>97.244156107450578</v>
      </c>
      <c r="J27" s="36">
        <f t="shared" ref="J27" si="16">I27*H27</f>
        <v>4.2486607142857142</v>
      </c>
    </row>
    <row r="28" spans="1:13">
      <c r="A28" s="6"/>
      <c r="B28" s="7" t="s">
        <v>64</v>
      </c>
      <c r="C28" s="84">
        <v>0.875</v>
      </c>
      <c r="D28" s="7">
        <v>20468</v>
      </c>
      <c r="E28" s="84">
        <v>28224</v>
      </c>
      <c r="F28" s="7">
        <v>1973</v>
      </c>
      <c r="G28" s="8">
        <f t="shared" si="10"/>
        <v>1726.375</v>
      </c>
      <c r="H28" s="8">
        <f t="shared" si="11"/>
        <v>6.116691468253968E-2</v>
      </c>
      <c r="I28" s="86">
        <f t="shared" si="12"/>
        <v>162.0841520527116</v>
      </c>
      <c r="J28" s="36">
        <f t="shared" si="13"/>
        <v>9.9141874999999988</v>
      </c>
    </row>
    <row r="29" spans="1:13">
      <c r="A29" s="6"/>
      <c r="B29" s="7" t="s">
        <v>65</v>
      </c>
      <c r="C29" s="84">
        <v>0.92500000000000004</v>
      </c>
      <c r="D29" s="7">
        <v>20468</v>
      </c>
      <c r="E29" s="84">
        <v>28224</v>
      </c>
      <c r="F29" s="7">
        <v>1973</v>
      </c>
      <c r="G29" s="8">
        <f t="shared" si="10"/>
        <v>1825.0250000000001</v>
      </c>
      <c r="H29" s="8">
        <f t="shared" si="11"/>
        <v>6.4662166950113384E-2</v>
      </c>
      <c r="I29" s="86">
        <f t="shared" si="12"/>
        <v>162.0841520527116</v>
      </c>
      <c r="J29" s="36">
        <f t="shared" si="13"/>
        <v>10.480712500000001</v>
      </c>
    </row>
    <row r="30" spans="1:13">
      <c r="A30" s="6"/>
      <c r="B30" s="7"/>
      <c r="C30" s="10">
        <f>SUM(C21:C29)</f>
        <v>8.3800000000000008</v>
      </c>
      <c r="D30" s="7"/>
      <c r="E30" s="7"/>
      <c r="F30" s="7">
        <v>1973</v>
      </c>
      <c r="G30" s="6"/>
      <c r="H30" s="8"/>
      <c r="I30" s="10"/>
      <c r="J30" s="76">
        <f>SUM(J21:J29)</f>
        <v>131.32544254464287</v>
      </c>
      <c r="K30" s="88">
        <f>J30*E29</f>
        <v>3706529.2903800001</v>
      </c>
      <c r="L30" s="87">
        <f>3278250+990030+3779650+1141440-5482840.48</f>
        <v>3706529.5199999996</v>
      </c>
      <c r="M30" s="54">
        <f>L30-K30</f>
        <v>0.2296199994161725</v>
      </c>
    </row>
    <row r="31" spans="1:13" hidden="1" outlineLevel="1">
      <c r="D31" s="1">
        <v>1521803.1</v>
      </c>
    </row>
    <row r="32" spans="1:13" hidden="1" outlineLevel="1">
      <c r="D32" s="4">
        <f>D21*12+D22*C22*12+D23*12+D24*12+D25*C25*12+D26*C26*12+D28*C28*12+D29*12</f>
        <v>2840096.64</v>
      </c>
    </row>
    <row r="33" spans="4:4" hidden="1" outlineLevel="1">
      <c r="D33" s="4">
        <f>D31-D32</f>
        <v>-1318293.54</v>
      </c>
    </row>
    <row r="34" spans="4:4" collapsed="1"/>
  </sheetData>
  <mergeCells count="1">
    <mergeCell ref="A3:J3"/>
  </mergeCells>
  <pageMargins left="0.11811023622047245" right="0" top="0.55118110236220474" bottom="0" header="0.31496062992125984" footer="0.31496062992125984"/>
  <pageSetup paperSize="9" scale="8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S32"/>
  <sheetViews>
    <sheetView tabSelected="1" topLeftCell="A4" workbookViewId="0">
      <selection activeCell="K11" sqref="K11"/>
    </sheetView>
  </sheetViews>
  <sheetFormatPr defaultRowHeight="15"/>
  <cols>
    <col min="1" max="1" width="8.85546875" customWidth="1"/>
    <col min="2" max="2" width="35.7109375" style="1" customWidth="1"/>
    <col min="3" max="3" width="9.42578125" style="1" customWidth="1"/>
    <col min="4" max="4" width="8.28515625" style="1" customWidth="1"/>
    <col min="5" max="5" width="11.42578125" style="1" customWidth="1"/>
    <col min="6" max="6" width="11" style="1" customWidth="1"/>
    <col min="7" max="7" width="10.28515625" customWidth="1"/>
    <col min="8" max="9" width="10.85546875" style="1" customWidth="1"/>
    <col min="10" max="10" width="10.5703125" style="1" customWidth="1"/>
    <col min="11" max="11" width="10.42578125" style="1" customWidth="1"/>
    <col min="12" max="12" width="6" style="1" customWidth="1"/>
    <col min="13" max="18" width="9.140625" style="1"/>
  </cols>
  <sheetData>
    <row r="1" spans="1:12">
      <c r="A1" s="3" t="s">
        <v>3</v>
      </c>
    </row>
    <row r="3" spans="1:12" ht="18.75">
      <c r="A3" s="94" t="s">
        <v>66</v>
      </c>
      <c r="B3" s="94"/>
      <c r="C3" s="94"/>
      <c r="D3" s="94"/>
      <c r="E3" s="94"/>
      <c r="F3" s="94"/>
      <c r="G3" s="94"/>
      <c r="H3" s="94"/>
    </row>
    <row r="4" spans="1:12" ht="15.75" thickBot="1"/>
    <row r="5" spans="1:12" ht="105">
      <c r="A5" s="28" t="s">
        <v>2</v>
      </c>
      <c r="B5" s="29" t="s">
        <v>67</v>
      </c>
      <c r="C5" s="29" t="s">
        <v>15</v>
      </c>
      <c r="D5" s="29" t="s">
        <v>17</v>
      </c>
      <c r="E5" s="29" t="s">
        <v>28</v>
      </c>
      <c r="F5" s="29" t="s">
        <v>82</v>
      </c>
      <c r="G5" s="29" t="s">
        <v>68</v>
      </c>
      <c r="H5" s="29" t="s">
        <v>71</v>
      </c>
      <c r="I5" s="29" t="s">
        <v>11</v>
      </c>
      <c r="J5" s="2" t="s">
        <v>75</v>
      </c>
      <c r="K5" s="2" t="s">
        <v>76</v>
      </c>
    </row>
    <row r="6" spans="1:12" ht="15.75" thickBot="1">
      <c r="A6" s="48">
        <v>1</v>
      </c>
      <c r="B6" s="12">
        <v>2</v>
      </c>
      <c r="C6" s="12">
        <v>3</v>
      </c>
      <c r="D6" s="12">
        <v>4</v>
      </c>
      <c r="E6" s="32">
        <v>5</v>
      </c>
      <c r="F6" s="32">
        <v>6</v>
      </c>
      <c r="G6" s="32" t="s">
        <v>31</v>
      </c>
      <c r="H6" s="33">
        <v>8</v>
      </c>
      <c r="I6" s="49" t="s">
        <v>32</v>
      </c>
    </row>
    <row r="7" spans="1:12">
      <c r="A7" s="17" t="s">
        <v>83</v>
      </c>
      <c r="B7" s="18" t="s">
        <v>69</v>
      </c>
      <c r="C7" s="7" t="s">
        <v>18</v>
      </c>
      <c r="D7" s="7">
        <v>1</v>
      </c>
      <c r="E7" s="14">
        <f>ком.усл!E7</f>
        <v>66729.52</v>
      </c>
      <c r="F7" s="37">
        <f>E7/A8</f>
        <v>1.0014034455849692</v>
      </c>
      <c r="G7" s="61">
        <f>D7/E7*F7</f>
        <v>1.5006903175460714E-5</v>
      </c>
      <c r="H7" s="15">
        <v>15000</v>
      </c>
      <c r="I7" s="73">
        <f>H7*G7</f>
        <v>0.22510354763191071</v>
      </c>
      <c r="J7" s="87">
        <f>I7*66636</f>
        <v>15000.000000000002</v>
      </c>
      <c r="K7" s="88">
        <v>15000</v>
      </c>
      <c r="L7" s="87">
        <f>K7-J7</f>
        <v>0</v>
      </c>
    </row>
    <row r="8" spans="1:12" s="1" customFormat="1" ht="30" customHeight="1">
      <c r="A8" s="82">
        <v>66636</v>
      </c>
      <c r="B8" s="45" t="s">
        <v>70</v>
      </c>
      <c r="C8" s="7" t="s">
        <v>18</v>
      </c>
      <c r="D8" s="7">
        <v>1</v>
      </c>
      <c r="E8" s="14">
        <f>E7</f>
        <v>66729.52</v>
      </c>
      <c r="F8" s="37">
        <f>F7</f>
        <v>1.0014034455849692</v>
      </c>
      <c r="G8" s="59">
        <f>D8/E8*F8</f>
        <v>1.5006903175460714E-5</v>
      </c>
      <c r="H8" s="8">
        <v>5000</v>
      </c>
      <c r="I8" s="72">
        <f t="shared" ref="I8:I10" si="0">H8*G8</f>
        <v>7.5034515877303573E-2</v>
      </c>
      <c r="J8" s="87">
        <f t="shared" ref="J8:J11" si="1">I8*66636</f>
        <v>5000.0000000000009</v>
      </c>
      <c r="K8" s="88">
        <v>5000</v>
      </c>
      <c r="L8" s="87">
        <f t="shared" ref="L8:L16" si="2">K8-J8</f>
        <v>0</v>
      </c>
    </row>
    <row r="9" spans="1:12" s="1" customFormat="1">
      <c r="A9" s="20"/>
      <c r="B9" s="45" t="s">
        <v>73</v>
      </c>
      <c r="C9" s="7" t="s">
        <v>18</v>
      </c>
      <c r="D9" s="7">
        <v>1</v>
      </c>
      <c r="E9" s="14">
        <f>E8</f>
        <v>66729.52</v>
      </c>
      <c r="F9" s="37">
        <f t="shared" ref="F9:F10" si="3">F8</f>
        <v>1.0014034455849692</v>
      </c>
      <c r="G9" s="59">
        <f>D9/E9*F9</f>
        <v>1.5006903175460714E-5</v>
      </c>
      <c r="H9" s="8">
        <v>41050</v>
      </c>
      <c r="I9" s="72">
        <f t="shared" si="0"/>
        <v>0.61603337535266234</v>
      </c>
      <c r="J9" s="87">
        <f t="shared" si="1"/>
        <v>41050.000000000007</v>
      </c>
      <c r="K9" s="88">
        <v>41050</v>
      </c>
      <c r="L9" s="87">
        <f t="shared" si="2"/>
        <v>0</v>
      </c>
    </row>
    <row r="10" spans="1:12" s="1" customFormat="1">
      <c r="A10" s="20"/>
      <c r="B10" s="7" t="s">
        <v>72</v>
      </c>
      <c r="C10" s="7" t="s">
        <v>18</v>
      </c>
      <c r="D10" s="7">
        <v>1</v>
      </c>
      <c r="E10" s="14">
        <f>E9</f>
        <v>66729.52</v>
      </c>
      <c r="F10" s="37">
        <f t="shared" si="3"/>
        <v>1.0014034455849692</v>
      </c>
      <c r="G10" s="59">
        <f>D10/E10*F10</f>
        <v>1.5006903175460714E-5</v>
      </c>
      <c r="H10" s="8">
        <f>7000+5530</f>
        <v>12530</v>
      </c>
      <c r="I10" s="72">
        <f t="shared" si="0"/>
        <v>0.18803649678852274</v>
      </c>
      <c r="J10" s="87">
        <f t="shared" si="1"/>
        <v>12530.000000000002</v>
      </c>
      <c r="K10" s="88">
        <f>7000+5530</f>
        <v>12530</v>
      </c>
      <c r="L10" s="87">
        <f t="shared" si="2"/>
        <v>0</v>
      </c>
    </row>
    <row r="11" spans="1:12" s="1" customFormat="1" ht="15.75" thickBot="1">
      <c r="A11" s="21"/>
      <c r="B11" s="22"/>
      <c r="C11" s="22"/>
      <c r="D11" s="22"/>
      <c r="E11" s="22"/>
      <c r="F11" s="22"/>
      <c r="G11" s="26"/>
      <c r="H11" s="51"/>
      <c r="I11" s="71">
        <f>SUM(I7:I10)</f>
        <v>1.1042079356503995</v>
      </c>
      <c r="J11" s="87">
        <f t="shared" si="1"/>
        <v>73580.000000000029</v>
      </c>
      <c r="K11" s="87">
        <f>SUM(K7:K10)</f>
        <v>73580</v>
      </c>
      <c r="L11" s="87">
        <f t="shared" si="2"/>
        <v>0</v>
      </c>
    </row>
    <row r="12" spans="1:12" s="1" customFormat="1">
      <c r="A12" s="17" t="s">
        <v>13</v>
      </c>
      <c r="B12" s="18" t="s">
        <v>69</v>
      </c>
      <c r="C12" s="7" t="s">
        <v>18</v>
      </c>
      <c r="D12" s="7">
        <v>1</v>
      </c>
      <c r="E12" s="7">
        <f>ком.усл!E12</f>
        <v>28276.560000000001</v>
      </c>
      <c r="F12" s="36">
        <f>E12/A13</f>
        <v>1.0018622448979593</v>
      </c>
      <c r="G12" s="52">
        <f>D12/E12*F12</f>
        <v>3.5430839002267575E-5</v>
      </c>
      <c r="H12" s="19">
        <v>15000</v>
      </c>
      <c r="I12" s="73">
        <f>H12*G12</f>
        <v>0.53146258503401367</v>
      </c>
      <c r="J12" s="87">
        <f>I12*28224</f>
        <v>15000.000000000002</v>
      </c>
      <c r="K12" s="89">
        <v>15000</v>
      </c>
      <c r="L12" s="87">
        <f t="shared" si="2"/>
        <v>0</v>
      </c>
    </row>
    <row r="13" spans="1:12" s="1" customFormat="1" ht="17.25" customHeight="1">
      <c r="A13" s="82">
        <v>28224</v>
      </c>
      <c r="B13" s="45" t="s">
        <v>97</v>
      </c>
      <c r="C13" s="7" t="s">
        <v>18</v>
      </c>
      <c r="D13" s="7">
        <v>1</v>
      </c>
      <c r="E13" s="7">
        <f>E12</f>
        <v>28276.560000000001</v>
      </c>
      <c r="F13" s="36">
        <f>F12</f>
        <v>1.0018622448979593</v>
      </c>
      <c r="G13" s="50">
        <f t="shared" ref="G13:G15" si="4">D13/E13*F13</f>
        <v>3.5430839002267575E-5</v>
      </c>
      <c r="H13" s="8">
        <v>9960</v>
      </c>
      <c r="I13" s="72">
        <f>H13*G13</f>
        <v>0.35289115646258506</v>
      </c>
      <c r="J13" s="87">
        <f t="shared" ref="J13:J16" si="5">I13*28224</f>
        <v>9960</v>
      </c>
      <c r="K13" s="88">
        <v>9960</v>
      </c>
      <c r="L13" s="87">
        <f t="shared" si="2"/>
        <v>0</v>
      </c>
    </row>
    <row r="14" spans="1:12" s="1" customFormat="1">
      <c r="A14" s="20"/>
      <c r="B14" s="45" t="s">
        <v>73</v>
      </c>
      <c r="C14" s="7" t="s">
        <v>18</v>
      </c>
      <c r="D14" s="7">
        <v>1</v>
      </c>
      <c r="E14" s="7">
        <f>E13</f>
        <v>28276.560000000001</v>
      </c>
      <c r="F14" s="36">
        <f t="shared" ref="F14:F15" si="6">F13</f>
        <v>1.0018622448979593</v>
      </c>
      <c r="G14" s="50">
        <f t="shared" ref="G14" si="7">D14/E14*F14</f>
        <v>3.5430839002267575E-5</v>
      </c>
      <c r="H14" s="8">
        <v>35700</v>
      </c>
      <c r="I14" s="72">
        <f>H14*G14</f>
        <v>1.2648809523809523</v>
      </c>
      <c r="J14" s="87">
        <f t="shared" si="5"/>
        <v>35700</v>
      </c>
      <c r="K14" s="88">
        <f>18000+10800+6900</f>
        <v>35700</v>
      </c>
      <c r="L14" s="87">
        <f t="shared" si="2"/>
        <v>0</v>
      </c>
    </row>
    <row r="15" spans="1:12" s="1" customFormat="1">
      <c r="A15" s="20"/>
      <c r="B15" s="7" t="s">
        <v>72</v>
      </c>
      <c r="C15" s="7" t="s">
        <v>18</v>
      </c>
      <c r="D15" s="7">
        <v>1</v>
      </c>
      <c r="E15" s="7">
        <f>E14</f>
        <v>28276.560000000001</v>
      </c>
      <c r="F15" s="36">
        <f t="shared" si="6"/>
        <v>1.0018622448979593</v>
      </c>
      <c r="G15" s="50">
        <f t="shared" si="4"/>
        <v>3.5430839002267575E-5</v>
      </c>
      <c r="H15" s="8">
        <f>55000</f>
        <v>55000</v>
      </c>
      <c r="I15" s="72">
        <f t="shared" ref="I15" si="8">H15*G15</f>
        <v>1.9486961451247167</v>
      </c>
      <c r="J15" s="87">
        <f t="shared" si="5"/>
        <v>55000</v>
      </c>
      <c r="K15" s="88">
        <f>27000+15000+13000</f>
        <v>55000</v>
      </c>
      <c r="L15" s="87">
        <f t="shared" si="2"/>
        <v>0</v>
      </c>
    </row>
    <row r="16" spans="1:12" s="1" customFormat="1" ht="15.75" thickBot="1">
      <c r="A16" s="21"/>
      <c r="B16" s="22"/>
      <c r="C16" s="24"/>
      <c r="D16" s="22"/>
      <c r="E16" s="22"/>
      <c r="F16" s="22"/>
      <c r="G16" s="26"/>
      <c r="H16" s="51"/>
      <c r="I16" s="71">
        <f>SUM(I12:I15)</f>
        <v>4.0979308390022675</v>
      </c>
      <c r="J16" s="87">
        <f t="shared" si="5"/>
        <v>115660</v>
      </c>
      <c r="K16" s="89">
        <f>SUM(K12:K15)</f>
        <v>115660</v>
      </c>
      <c r="L16" s="87">
        <f t="shared" si="2"/>
        <v>0</v>
      </c>
    </row>
    <row r="18" spans="1:19" s="1" customFormat="1">
      <c r="A18"/>
      <c r="G18"/>
    </row>
    <row r="19" spans="1:19" s="69" customFormat="1">
      <c r="A19" s="67" t="s">
        <v>88</v>
      </c>
      <c r="B19" s="68"/>
      <c r="C19" s="68"/>
      <c r="D19" s="68"/>
      <c r="E19" s="68"/>
      <c r="F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</row>
    <row r="21" spans="1:19" ht="18.75">
      <c r="A21" s="94" t="s">
        <v>66</v>
      </c>
      <c r="B21" s="94"/>
      <c r="C21" s="94"/>
      <c r="D21" s="94"/>
      <c r="E21" s="94"/>
      <c r="F21" s="94"/>
      <c r="G21" s="94"/>
      <c r="H21" s="94"/>
    </row>
    <row r="22" spans="1:19" ht="15.75" thickBot="1"/>
    <row r="23" spans="1:19" ht="105">
      <c r="A23" s="28" t="s">
        <v>2</v>
      </c>
      <c r="B23" s="29" t="s">
        <v>67</v>
      </c>
      <c r="C23" s="29" t="s">
        <v>15</v>
      </c>
      <c r="D23" s="29" t="s">
        <v>17</v>
      </c>
      <c r="E23" s="29" t="s">
        <v>28</v>
      </c>
      <c r="F23" s="29" t="s">
        <v>82</v>
      </c>
      <c r="G23" s="29" t="s">
        <v>68</v>
      </c>
      <c r="H23" s="29" t="s">
        <v>71</v>
      </c>
      <c r="I23" s="29" t="s">
        <v>11</v>
      </c>
      <c r="J23" s="2"/>
      <c r="K23" s="2"/>
    </row>
    <row r="24" spans="1:19" ht="15.75" thickBot="1">
      <c r="A24" s="48">
        <v>1</v>
      </c>
      <c r="B24" s="12">
        <v>2</v>
      </c>
      <c r="C24" s="12">
        <v>3</v>
      </c>
      <c r="D24" s="12">
        <v>4</v>
      </c>
      <c r="E24" s="32">
        <v>5</v>
      </c>
      <c r="F24" s="32">
        <v>6</v>
      </c>
      <c r="G24" s="32" t="s">
        <v>31</v>
      </c>
      <c r="H24" s="33">
        <v>8</v>
      </c>
      <c r="I24" s="49" t="s">
        <v>32</v>
      </c>
    </row>
    <row r="25" spans="1:19">
      <c r="A25" s="17" t="s">
        <v>83</v>
      </c>
      <c r="B25" s="18" t="s">
        <v>96</v>
      </c>
      <c r="C25" s="7" t="s">
        <v>18</v>
      </c>
      <c r="D25" s="7">
        <v>1</v>
      </c>
      <c r="E25" s="14">
        <f>ком.усл!E29</f>
        <v>449.68</v>
      </c>
      <c r="F25" s="37">
        <f>E25/449</f>
        <v>1.0015144766146993</v>
      </c>
      <c r="G25" s="61">
        <f>D25/E25*F25</f>
        <v>2.2271714922048997E-3</v>
      </c>
      <c r="H25" s="15">
        <v>93500</v>
      </c>
      <c r="I25" s="73">
        <f>H25*G25</f>
        <v>208.24053452115811</v>
      </c>
      <c r="J25" s="87">
        <f>I25*449</f>
        <v>93499.999999999985</v>
      </c>
      <c r="K25" s="88">
        <v>93500</v>
      </c>
    </row>
    <row r="26" spans="1:19" ht="18.75" customHeight="1">
      <c r="A26" s="20" t="s">
        <v>91</v>
      </c>
      <c r="B26" s="45" t="s">
        <v>97</v>
      </c>
      <c r="C26" s="7" t="s">
        <v>18</v>
      </c>
      <c r="D26" s="7">
        <v>1</v>
      </c>
      <c r="E26" s="14">
        <f>E25</f>
        <v>449.68</v>
      </c>
      <c r="F26" s="37">
        <f t="shared" ref="F26:F28" si="9">E26/449</f>
        <v>1.0015144766146993</v>
      </c>
      <c r="G26" s="59">
        <f>D26/E26*F26</f>
        <v>2.2271714922048997E-3</v>
      </c>
      <c r="H26" s="8">
        <v>19760</v>
      </c>
      <c r="I26" s="72">
        <f t="shared" ref="I26:I28" si="10">H26*G26</f>
        <v>44.008908685968819</v>
      </c>
      <c r="J26" s="87">
        <f t="shared" ref="J26:J29" si="11">I26*449</f>
        <v>19760</v>
      </c>
      <c r="K26" s="88">
        <v>19760</v>
      </c>
    </row>
    <row r="27" spans="1:19">
      <c r="A27" s="20"/>
      <c r="B27" s="45" t="s">
        <v>73</v>
      </c>
      <c r="C27" s="7" t="s">
        <v>18</v>
      </c>
      <c r="D27" s="7">
        <v>1</v>
      </c>
      <c r="E27" s="14">
        <f>E26</f>
        <v>449.68</v>
      </c>
      <c r="F27" s="37">
        <f t="shared" si="9"/>
        <v>1.0015144766146993</v>
      </c>
      <c r="G27" s="59">
        <f>D27/E27*F27</f>
        <v>2.2271714922048997E-3</v>
      </c>
      <c r="H27" s="8">
        <v>15630</v>
      </c>
      <c r="I27" s="72">
        <f t="shared" si="10"/>
        <v>34.810690423162583</v>
      </c>
      <c r="J27" s="87">
        <f t="shared" si="11"/>
        <v>15630</v>
      </c>
      <c r="K27" s="88">
        <f>3150+12480</f>
        <v>15630</v>
      </c>
    </row>
    <row r="28" spans="1:19">
      <c r="A28" s="20"/>
      <c r="B28" s="7" t="s">
        <v>72</v>
      </c>
      <c r="C28" s="7" t="s">
        <v>18</v>
      </c>
      <c r="D28" s="7">
        <v>1</v>
      </c>
      <c r="E28" s="14">
        <f>E27</f>
        <v>449.68</v>
      </c>
      <c r="F28" s="37">
        <f t="shared" si="9"/>
        <v>1.0015144766146993</v>
      </c>
      <c r="G28" s="59">
        <f>D28/E28*F28</f>
        <v>2.2271714922048997E-3</v>
      </c>
      <c r="H28" s="8">
        <v>72190</v>
      </c>
      <c r="I28" s="72">
        <f t="shared" si="10"/>
        <v>160.77951002227169</v>
      </c>
      <c r="J28" s="87">
        <f t="shared" si="11"/>
        <v>72189.999999999985</v>
      </c>
      <c r="K28" s="88">
        <v>72190</v>
      </c>
    </row>
    <row r="29" spans="1:19" ht="15.75" thickBot="1">
      <c r="A29" s="21"/>
      <c r="B29" s="22"/>
      <c r="C29" s="22"/>
      <c r="D29" s="22"/>
      <c r="E29" s="22"/>
      <c r="F29" s="22"/>
      <c r="G29" s="26"/>
      <c r="H29" s="51"/>
      <c r="I29" s="71">
        <f>SUM(I25:I28)</f>
        <v>447.83964365256122</v>
      </c>
      <c r="J29" s="87">
        <f t="shared" si="11"/>
        <v>201080</v>
      </c>
      <c r="K29" s="87">
        <f>SUM(K25:K28)</f>
        <v>201080</v>
      </c>
    </row>
    <row r="32" spans="1:19">
      <c r="H32" s="1" t="s">
        <v>83</v>
      </c>
    </row>
  </sheetData>
  <mergeCells count="2">
    <mergeCell ref="A3:H3"/>
    <mergeCell ref="A21:H21"/>
  </mergeCells>
  <pageMargins left="0.11811023622047245" right="0" top="0.15748031496062992" bottom="0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ком.усл</vt:lpstr>
      <vt:lpstr>сод.недв.им.</vt:lpstr>
      <vt:lpstr>сод.ОЦДИ</vt:lpstr>
      <vt:lpstr>з.пл.</vt:lpstr>
      <vt:lpstr>прочие общ.х.н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2021-12-09T09:08:24Z</dcterms:modified>
</cp:coreProperties>
</file>