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10755"/>
  </bookViews>
  <sheets>
    <sheet name="Услуга №1" sheetId="13" r:id="rId1"/>
    <sheet name="Услуга №2" sheetId="14" r:id="rId2"/>
    <sheet name="Работа №1" sheetId="19" r:id="rId3"/>
    <sheet name="Работа №2" sheetId="20" r:id="rId4"/>
    <sheet name="Работа №3" sheetId="21" r:id="rId5"/>
    <sheet name="Работа №4" sheetId="22" r:id="rId6"/>
    <sheet name="ВСЕГО" sheetId="25" r:id="rId7"/>
  </sheets>
  <definedNames>
    <definedName name="_xlnm.Print_Area" localSheetId="2">'Работа №1'!$A$1:$N$180</definedName>
    <definedName name="_xlnm.Print_Area" localSheetId="3">'Работа №2'!$A$1:$N$180</definedName>
    <definedName name="_xlnm.Print_Area" localSheetId="4">'Работа №3'!$A$1:$N$179</definedName>
    <definedName name="_xlnm.Print_Area" localSheetId="5">'Работа №4'!$A$1:$N$180</definedName>
    <definedName name="_xlnm.Print_Area" localSheetId="0">'Услуга №1'!$A$1:$N$180</definedName>
    <definedName name="_xlnm.Print_Area" localSheetId="1">'Услуга №2'!$A$1:$N$180</definedName>
  </definedNames>
  <calcPr calcId="162913"/>
</workbook>
</file>

<file path=xl/calcChain.xml><?xml version="1.0" encoding="utf-8"?>
<calcChain xmlns="http://schemas.openxmlformats.org/spreadsheetml/2006/main">
  <c r="F64" i="13" l="1"/>
  <c r="N172" i="22" l="1"/>
  <c r="J174" i="22"/>
  <c r="H165" i="22"/>
  <c r="H164" i="22"/>
  <c r="H166" i="22" s="1"/>
  <c r="N172" i="21"/>
  <c r="H164" i="21"/>
  <c r="H165" i="21"/>
  <c r="M172" i="22"/>
  <c r="J207" i="22"/>
  <c r="R170" i="22"/>
  <c r="J165" i="22"/>
  <c r="J164" i="22"/>
  <c r="J166" i="22" s="1"/>
  <c r="O172" i="22" s="1"/>
  <c r="H160" i="22"/>
  <c r="J160" i="22" s="1"/>
  <c r="H159" i="22"/>
  <c r="H161" i="22" s="1"/>
  <c r="F155" i="22"/>
  <c r="F156" i="22" s="1"/>
  <c r="Q148" i="22"/>
  <c r="H148" i="22"/>
  <c r="N147" i="22"/>
  <c r="J147" i="22"/>
  <c r="N146" i="22"/>
  <c r="N145" i="22"/>
  <c r="J144" i="22"/>
  <c r="H144" i="22"/>
  <c r="I144" i="22" s="1"/>
  <c r="N144" i="22" s="1"/>
  <c r="J143" i="22"/>
  <c r="H143" i="22"/>
  <c r="I143" i="22" s="1"/>
  <c r="N143" i="22" s="1"/>
  <c r="J142" i="22"/>
  <c r="H142" i="22"/>
  <c r="I142" i="22" s="1"/>
  <c r="N142" i="22" s="1"/>
  <c r="J141" i="22"/>
  <c r="H141" i="22"/>
  <c r="I141" i="22" s="1"/>
  <c r="N141" i="22" s="1"/>
  <c r="J140" i="22"/>
  <c r="H140" i="22"/>
  <c r="I140" i="22" s="1"/>
  <c r="N140" i="22" s="1"/>
  <c r="J139" i="22"/>
  <c r="H139" i="22"/>
  <c r="I139" i="22" s="1"/>
  <c r="N139" i="22" s="1"/>
  <c r="N138" i="22"/>
  <c r="J138" i="22"/>
  <c r="I138" i="22"/>
  <c r="H138" i="22"/>
  <c r="N137" i="22"/>
  <c r="J137" i="22"/>
  <c r="I137" i="22"/>
  <c r="H137" i="22"/>
  <c r="N136" i="22"/>
  <c r="J136" i="22"/>
  <c r="I136" i="22"/>
  <c r="H136" i="22"/>
  <c r="N135" i="22"/>
  <c r="J135" i="22"/>
  <c r="I135" i="22"/>
  <c r="H135" i="22"/>
  <c r="N134" i="22"/>
  <c r="J134" i="22"/>
  <c r="I134" i="22"/>
  <c r="H134" i="22"/>
  <c r="N133" i="22"/>
  <c r="J133" i="22"/>
  <c r="I133" i="22"/>
  <c r="H133" i="22"/>
  <c r="N132" i="22"/>
  <c r="J132" i="22"/>
  <c r="I132" i="22"/>
  <c r="H132" i="22"/>
  <c r="N131" i="22"/>
  <c r="J131" i="22"/>
  <c r="I131" i="22"/>
  <c r="H131" i="22"/>
  <c r="N130" i="22"/>
  <c r="J130" i="22"/>
  <c r="I130" i="22"/>
  <c r="H130" i="22"/>
  <c r="N129" i="22"/>
  <c r="J129" i="22"/>
  <c r="I129" i="22"/>
  <c r="H129" i="22"/>
  <c r="N128" i="22"/>
  <c r="J128" i="22"/>
  <c r="I128" i="22"/>
  <c r="H128" i="22"/>
  <c r="N127" i="22"/>
  <c r="J127" i="22"/>
  <c r="I127" i="22"/>
  <c r="H127" i="22"/>
  <c r="N126" i="22"/>
  <c r="J126" i="22"/>
  <c r="I126" i="22"/>
  <c r="H126" i="22"/>
  <c r="N125" i="22"/>
  <c r="J125" i="22"/>
  <c r="I125" i="22"/>
  <c r="H125" i="22"/>
  <c r="J124" i="22"/>
  <c r="H124" i="22"/>
  <c r="K124" i="22" s="1"/>
  <c r="J123" i="22"/>
  <c r="H123" i="22"/>
  <c r="I123" i="22" s="1"/>
  <c r="N123" i="22" s="1"/>
  <c r="Q122" i="22"/>
  <c r="O122" i="22"/>
  <c r="K122" i="22"/>
  <c r="J122" i="22"/>
  <c r="J148" i="22" s="1"/>
  <c r="K172" i="22" s="1"/>
  <c r="E122" i="22"/>
  <c r="Q121" i="22"/>
  <c r="O121" i="22"/>
  <c r="F116" i="22"/>
  <c r="H116" i="22" s="1"/>
  <c r="H115" i="22"/>
  <c r="F115" i="22"/>
  <c r="F114" i="22"/>
  <c r="H114" i="22" s="1"/>
  <c r="H113" i="22"/>
  <c r="F113" i="22"/>
  <c r="F108" i="22"/>
  <c r="F109" i="22" s="1"/>
  <c r="H103" i="22"/>
  <c r="F103" i="22"/>
  <c r="F102" i="22"/>
  <c r="H102" i="22" s="1"/>
  <c r="H101" i="22"/>
  <c r="F101" i="22"/>
  <c r="F96" i="22"/>
  <c r="F97" i="22" s="1"/>
  <c r="I91" i="22"/>
  <c r="G91" i="22"/>
  <c r="G90" i="22"/>
  <c r="I90" i="22" s="1"/>
  <c r="I89" i="22"/>
  <c r="G89" i="22"/>
  <c r="G88" i="22"/>
  <c r="I88" i="22" s="1"/>
  <c r="I87" i="22"/>
  <c r="G87" i="22"/>
  <c r="G86" i="22"/>
  <c r="I86" i="22" s="1"/>
  <c r="I85" i="22"/>
  <c r="G85" i="22"/>
  <c r="G84" i="22"/>
  <c r="G92" i="22" s="1"/>
  <c r="I79" i="22"/>
  <c r="G79" i="22"/>
  <c r="G78" i="22"/>
  <c r="I78" i="22" s="1"/>
  <c r="I77" i="22"/>
  <c r="G77" i="22"/>
  <c r="G76" i="22"/>
  <c r="I76" i="22" s="1"/>
  <c r="I75" i="22"/>
  <c r="G75" i="22"/>
  <c r="G74" i="22"/>
  <c r="G80" i="22" s="1"/>
  <c r="I73" i="22"/>
  <c r="G73" i="22"/>
  <c r="H68" i="22"/>
  <c r="J68" i="22" s="1"/>
  <c r="J67" i="22"/>
  <c r="H67" i="22"/>
  <c r="Q66" i="22"/>
  <c r="P66" i="22"/>
  <c r="Q67" i="22" s="1"/>
  <c r="J66" i="22"/>
  <c r="H66" i="22"/>
  <c r="H65" i="22"/>
  <c r="F65" i="22" s="1"/>
  <c r="U64" i="22"/>
  <c r="H64" i="22"/>
  <c r="H69" i="22" s="1"/>
  <c r="U63" i="22"/>
  <c r="S62" i="22"/>
  <c r="H58" i="22"/>
  <c r="J58" i="22" s="1"/>
  <c r="F58" i="22"/>
  <c r="H57" i="22"/>
  <c r="H59" i="22" s="1"/>
  <c r="F57" i="22"/>
  <c r="H51" i="22"/>
  <c r="K50" i="22"/>
  <c r="J50" i="22"/>
  <c r="J51" i="22" s="1"/>
  <c r="A172" i="22" s="1"/>
  <c r="E50" i="22"/>
  <c r="M44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F18" i="22"/>
  <c r="F44" i="22" s="1"/>
  <c r="L17" i="22"/>
  <c r="F17" i="22"/>
  <c r="G57" i="22" l="1"/>
  <c r="G58" i="22"/>
  <c r="I74" i="22"/>
  <c r="I80" i="22" s="1"/>
  <c r="F172" i="22" s="1"/>
  <c r="I84" i="22"/>
  <c r="I92" i="22" s="1"/>
  <c r="G172" i="22" s="1"/>
  <c r="H96" i="22"/>
  <c r="H97" i="22" s="1"/>
  <c r="H172" i="22" s="1"/>
  <c r="H108" i="22"/>
  <c r="H109" i="22" s="1"/>
  <c r="L44" i="22"/>
  <c r="O43" i="22" s="1"/>
  <c r="O44" i="22" s="1"/>
  <c r="J57" i="22"/>
  <c r="J59" i="22" s="1"/>
  <c r="D172" i="22" s="1"/>
  <c r="F104" i="22"/>
  <c r="F117" i="22"/>
  <c r="H104" i="22"/>
  <c r="J172" i="22" s="1"/>
  <c r="H117" i="22"/>
  <c r="I172" i="22" s="1"/>
  <c r="J64" i="22"/>
  <c r="J65" i="22"/>
  <c r="I124" i="22"/>
  <c r="N124" i="22" s="1"/>
  <c r="H155" i="22"/>
  <c r="H156" i="22" s="1"/>
  <c r="J159" i="22"/>
  <c r="J161" i="22" s="1"/>
  <c r="F64" i="22"/>
  <c r="H166" i="21"/>
  <c r="J174" i="21" s="1"/>
  <c r="J159" i="21"/>
  <c r="R170" i="21"/>
  <c r="J165" i="21"/>
  <c r="H160" i="21"/>
  <c r="J160" i="21" s="1"/>
  <c r="H159" i="21"/>
  <c r="F155" i="21"/>
  <c r="F156" i="21" s="1"/>
  <c r="H148" i="21"/>
  <c r="Q148" i="21" s="1"/>
  <c r="J147" i="21"/>
  <c r="N147" i="21" s="1"/>
  <c r="N146" i="21"/>
  <c r="N145" i="21"/>
  <c r="J144" i="21"/>
  <c r="I144" i="21"/>
  <c r="N144" i="21" s="1"/>
  <c r="H144" i="21"/>
  <c r="J143" i="21"/>
  <c r="I143" i="21"/>
  <c r="N143" i="21" s="1"/>
  <c r="H143" i="21"/>
  <c r="J142" i="21"/>
  <c r="I142" i="21"/>
  <c r="N142" i="21" s="1"/>
  <c r="H142" i="21"/>
  <c r="J141" i="21"/>
  <c r="I141" i="21"/>
  <c r="N141" i="21" s="1"/>
  <c r="H141" i="21"/>
  <c r="J140" i="21"/>
  <c r="I140" i="21"/>
  <c r="N140" i="21" s="1"/>
  <c r="H140" i="21"/>
  <c r="J139" i="21"/>
  <c r="I139" i="21"/>
  <c r="N139" i="21" s="1"/>
  <c r="H139" i="21"/>
  <c r="J138" i="21"/>
  <c r="I138" i="21"/>
  <c r="N138" i="21" s="1"/>
  <c r="H138" i="21"/>
  <c r="J137" i="21"/>
  <c r="I137" i="21"/>
  <c r="N137" i="21" s="1"/>
  <c r="H137" i="21"/>
  <c r="J136" i="21"/>
  <c r="I136" i="21"/>
  <c r="N136" i="21" s="1"/>
  <c r="H136" i="21"/>
  <c r="J135" i="21"/>
  <c r="I135" i="21"/>
  <c r="N135" i="21" s="1"/>
  <c r="H135" i="21"/>
  <c r="J134" i="21"/>
  <c r="I134" i="21"/>
  <c r="N134" i="21" s="1"/>
  <c r="H134" i="21"/>
  <c r="J133" i="21"/>
  <c r="I133" i="21"/>
  <c r="N133" i="21" s="1"/>
  <c r="H133" i="21"/>
  <c r="J132" i="21"/>
  <c r="I132" i="21"/>
  <c r="N132" i="21" s="1"/>
  <c r="H132" i="21"/>
  <c r="J131" i="21"/>
  <c r="I131" i="21"/>
  <c r="N131" i="21" s="1"/>
  <c r="H131" i="21"/>
  <c r="J130" i="21"/>
  <c r="I130" i="21"/>
  <c r="N130" i="21" s="1"/>
  <c r="H130" i="21"/>
  <c r="J129" i="21"/>
  <c r="I129" i="21"/>
  <c r="N129" i="21" s="1"/>
  <c r="H129" i="21"/>
  <c r="J128" i="21"/>
  <c r="I128" i="21"/>
  <c r="N128" i="21" s="1"/>
  <c r="H128" i="21"/>
  <c r="J127" i="21"/>
  <c r="I127" i="21"/>
  <c r="N127" i="21" s="1"/>
  <c r="H127" i="21"/>
  <c r="J126" i="21"/>
  <c r="I126" i="21"/>
  <c r="N126" i="21" s="1"/>
  <c r="H126" i="21"/>
  <c r="J125" i="21"/>
  <c r="I125" i="21"/>
  <c r="N125" i="21" s="1"/>
  <c r="H125" i="21"/>
  <c r="K124" i="21"/>
  <c r="J124" i="21"/>
  <c r="H124" i="21"/>
  <c r="I124" i="21" s="1"/>
  <c r="N124" i="21" s="1"/>
  <c r="J123" i="21"/>
  <c r="H123" i="21"/>
  <c r="I123" i="21" s="1"/>
  <c r="N123" i="21" s="1"/>
  <c r="Q122" i="21"/>
  <c r="O122" i="21"/>
  <c r="K122" i="21"/>
  <c r="J122" i="21"/>
  <c r="J148" i="21" s="1"/>
  <c r="K172" i="21" s="1"/>
  <c r="E122" i="21"/>
  <c r="Q121" i="21"/>
  <c r="O121" i="21"/>
  <c r="F116" i="21"/>
  <c r="H116" i="21" s="1"/>
  <c r="F115" i="21"/>
  <c r="H115" i="21" s="1"/>
  <c r="F114" i="21"/>
  <c r="H114" i="21" s="1"/>
  <c r="F113" i="21"/>
  <c r="F108" i="21"/>
  <c r="F109" i="21" s="1"/>
  <c r="F103" i="21"/>
  <c r="H103" i="21" s="1"/>
  <c r="F102" i="21"/>
  <c r="H102" i="21" s="1"/>
  <c r="F101" i="21"/>
  <c r="F104" i="21" s="1"/>
  <c r="F96" i="21"/>
  <c r="F97" i="21" s="1"/>
  <c r="G91" i="21"/>
  <c r="I91" i="21" s="1"/>
  <c r="G90" i="21"/>
  <c r="I90" i="21" s="1"/>
  <c r="G89" i="21"/>
  <c r="I89" i="21" s="1"/>
  <c r="G88" i="21"/>
  <c r="I88" i="21" s="1"/>
  <c r="G87" i="21"/>
  <c r="I87" i="21" s="1"/>
  <c r="I86" i="21"/>
  <c r="G86" i="21"/>
  <c r="G85" i="21"/>
  <c r="I85" i="21" s="1"/>
  <c r="I84" i="21"/>
  <c r="G84" i="21"/>
  <c r="G79" i="21"/>
  <c r="I79" i="21" s="1"/>
  <c r="G78" i="21"/>
  <c r="I78" i="21" s="1"/>
  <c r="I77" i="21"/>
  <c r="G77" i="21"/>
  <c r="G76" i="21"/>
  <c r="I76" i="21" s="1"/>
  <c r="I75" i="21"/>
  <c r="G75" i="21"/>
  <c r="G74" i="21"/>
  <c r="I74" i="21" s="1"/>
  <c r="G73" i="21"/>
  <c r="I73" i="21" s="1"/>
  <c r="H68" i="21"/>
  <c r="J68" i="21" s="1"/>
  <c r="J67" i="21"/>
  <c r="H67" i="21"/>
  <c r="Q66" i="21"/>
  <c r="P66" i="21"/>
  <c r="Q67" i="21" s="1"/>
  <c r="J66" i="21"/>
  <c r="H66" i="21"/>
  <c r="H65" i="21"/>
  <c r="J65" i="21" s="1"/>
  <c r="F65" i="21"/>
  <c r="U64" i="21"/>
  <c r="H64" i="21"/>
  <c r="J64" i="21" s="1"/>
  <c r="U63" i="21"/>
  <c r="S62" i="21"/>
  <c r="H59" i="21"/>
  <c r="H58" i="21"/>
  <c r="J58" i="21" s="1"/>
  <c r="F58" i="21"/>
  <c r="G58" i="21" s="1"/>
  <c r="J57" i="21"/>
  <c r="H57" i="21"/>
  <c r="F57" i="21"/>
  <c r="G57" i="21" s="1"/>
  <c r="H51" i="21"/>
  <c r="K50" i="21"/>
  <c r="J50" i="21"/>
  <c r="J51" i="21" s="1"/>
  <c r="A172" i="21" s="1"/>
  <c r="E50" i="21"/>
  <c r="M44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F18" i="21"/>
  <c r="F44" i="21" s="1"/>
  <c r="L17" i="21"/>
  <c r="F17" i="21"/>
  <c r="Q173" i="20"/>
  <c r="H164" i="20"/>
  <c r="R170" i="20"/>
  <c r="H165" i="20"/>
  <c r="J165" i="20" s="1"/>
  <c r="H166" i="20"/>
  <c r="H160" i="20"/>
  <c r="J160" i="20" s="1"/>
  <c r="H159" i="20"/>
  <c r="H161" i="20" s="1"/>
  <c r="F155" i="20"/>
  <c r="F156" i="20" s="1"/>
  <c r="H148" i="20"/>
  <c r="Q148" i="20" s="1"/>
  <c r="J147" i="20"/>
  <c r="N147" i="20" s="1"/>
  <c r="N146" i="20"/>
  <c r="N145" i="20"/>
  <c r="J144" i="20"/>
  <c r="H144" i="20"/>
  <c r="I144" i="20" s="1"/>
  <c r="J143" i="20"/>
  <c r="H143" i="20"/>
  <c r="I143" i="20" s="1"/>
  <c r="N143" i="20" s="1"/>
  <c r="J142" i="20"/>
  <c r="H142" i="20"/>
  <c r="I142" i="20" s="1"/>
  <c r="J141" i="20"/>
  <c r="H141" i="20"/>
  <c r="I141" i="20" s="1"/>
  <c r="N141" i="20" s="1"/>
  <c r="J140" i="20"/>
  <c r="H140" i="20"/>
  <c r="I140" i="20" s="1"/>
  <c r="J139" i="20"/>
  <c r="H139" i="20"/>
  <c r="I139" i="20" s="1"/>
  <c r="N139" i="20" s="1"/>
  <c r="J138" i="20"/>
  <c r="H138" i="20"/>
  <c r="I138" i="20" s="1"/>
  <c r="J137" i="20"/>
  <c r="H137" i="20"/>
  <c r="I137" i="20" s="1"/>
  <c r="N137" i="20" s="1"/>
  <c r="J136" i="20"/>
  <c r="H136" i="20"/>
  <c r="I136" i="20" s="1"/>
  <c r="J135" i="20"/>
  <c r="H135" i="20"/>
  <c r="I135" i="20" s="1"/>
  <c r="N135" i="20" s="1"/>
  <c r="J134" i="20"/>
  <c r="H134" i="20"/>
  <c r="I134" i="20" s="1"/>
  <c r="J133" i="20"/>
  <c r="H133" i="20"/>
  <c r="I133" i="20" s="1"/>
  <c r="N133" i="20" s="1"/>
  <c r="J132" i="20"/>
  <c r="H132" i="20"/>
  <c r="I132" i="20" s="1"/>
  <c r="J131" i="20"/>
  <c r="H131" i="20"/>
  <c r="I131" i="20" s="1"/>
  <c r="N131" i="20" s="1"/>
  <c r="J130" i="20"/>
  <c r="H130" i="20"/>
  <c r="I130" i="20" s="1"/>
  <c r="J129" i="20"/>
  <c r="H129" i="20"/>
  <c r="I129" i="20" s="1"/>
  <c r="N129" i="20" s="1"/>
  <c r="J128" i="20"/>
  <c r="H128" i="20"/>
  <c r="I128" i="20" s="1"/>
  <c r="J127" i="20"/>
  <c r="H127" i="20"/>
  <c r="I127" i="20" s="1"/>
  <c r="N127" i="20" s="1"/>
  <c r="J126" i="20"/>
  <c r="H126" i="20"/>
  <c r="I126" i="20" s="1"/>
  <c r="J125" i="20"/>
  <c r="H125" i="20"/>
  <c r="I125" i="20" s="1"/>
  <c r="N125" i="20" s="1"/>
  <c r="K124" i="20"/>
  <c r="J124" i="20"/>
  <c r="H124" i="20"/>
  <c r="I124" i="20" s="1"/>
  <c r="N124" i="20" s="1"/>
  <c r="N123" i="20"/>
  <c r="J123" i="20"/>
  <c r="H123" i="20"/>
  <c r="I123" i="20" s="1"/>
  <c r="K122" i="20"/>
  <c r="J122" i="20"/>
  <c r="J148" i="20" s="1"/>
  <c r="K172" i="20" s="1"/>
  <c r="E122" i="20"/>
  <c r="O121" i="20"/>
  <c r="O122" i="20" s="1"/>
  <c r="Q122" i="20" s="1"/>
  <c r="F116" i="20"/>
  <c r="H116" i="20" s="1"/>
  <c r="F115" i="20"/>
  <c r="H115" i="20" s="1"/>
  <c r="F114" i="20"/>
  <c r="H114" i="20" s="1"/>
  <c r="F113" i="20"/>
  <c r="H113" i="20" s="1"/>
  <c r="F108" i="20"/>
  <c r="F103" i="20"/>
  <c r="H103" i="20" s="1"/>
  <c r="F102" i="20"/>
  <c r="H102" i="20" s="1"/>
  <c r="F101" i="20"/>
  <c r="F96" i="20"/>
  <c r="G91" i="20"/>
  <c r="I91" i="20" s="1"/>
  <c r="G90" i="20"/>
  <c r="I90" i="20" s="1"/>
  <c r="G89" i="20"/>
  <c r="I89" i="20" s="1"/>
  <c r="G88" i="20"/>
  <c r="I88" i="20" s="1"/>
  <c r="G87" i="20"/>
  <c r="I87" i="20" s="1"/>
  <c r="G86" i="20"/>
  <c r="I86" i="20" s="1"/>
  <c r="G85" i="20"/>
  <c r="I85" i="20" s="1"/>
  <c r="G84" i="20"/>
  <c r="I84" i="20" s="1"/>
  <c r="G79" i="20"/>
  <c r="I79" i="20" s="1"/>
  <c r="G78" i="20"/>
  <c r="I78" i="20" s="1"/>
  <c r="G77" i="20"/>
  <c r="I77" i="20" s="1"/>
  <c r="G76" i="20"/>
  <c r="I76" i="20" s="1"/>
  <c r="G75" i="20"/>
  <c r="I75" i="20" s="1"/>
  <c r="G74" i="20"/>
  <c r="G73" i="20"/>
  <c r="I73" i="20" s="1"/>
  <c r="H68" i="20"/>
  <c r="J68" i="20" s="1"/>
  <c r="H67" i="20"/>
  <c r="J67" i="20" s="1"/>
  <c r="Q66" i="20"/>
  <c r="P66" i="20"/>
  <c r="Q67" i="20" s="1"/>
  <c r="H66" i="20"/>
  <c r="J66" i="20" s="1"/>
  <c r="H65" i="20"/>
  <c r="J65" i="20" s="1"/>
  <c r="F65" i="20"/>
  <c r="H64" i="20"/>
  <c r="J64" i="20" s="1"/>
  <c r="S62" i="20"/>
  <c r="U64" i="20" s="1"/>
  <c r="H58" i="20"/>
  <c r="J58" i="20" s="1"/>
  <c r="F58" i="20"/>
  <c r="H57" i="20"/>
  <c r="J57" i="20" s="1"/>
  <c r="F57" i="20"/>
  <c r="H51" i="20"/>
  <c r="K50" i="20"/>
  <c r="J50" i="20"/>
  <c r="J51" i="20" s="1"/>
  <c r="A172" i="20" s="1"/>
  <c r="E50" i="20"/>
  <c r="M44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F18" i="20"/>
  <c r="L17" i="20"/>
  <c r="L44" i="20" s="1"/>
  <c r="P43" i="20" s="1"/>
  <c r="F17" i="20"/>
  <c r="F44" i="20" s="1"/>
  <c r="O172" i="19"/>
  <c r="H164" i="19"/>
  <c r="R170" i="19"/>
  <c r="H165" i="19"/>
  <c r="J165" i="19" s="1"/>
  <c r="H166" i="19"/>
  <c r="H160" i="19"/>
  <c r="J160" i="19" s="1"/>
  <c r="H159" i="19"/>
  <c r="J159" i="19" s="1"/>
  <c r="F155" i="19"/>
  <c r="F156" i="19" s="1"/>
  <c r="H148" i="19"/>
  <c r="Q148" i="19" s="1"/>
  <c r="J147" i="19"/>
  <c r="N147" i="19" s="1"/>
  <c r="N146" i="19"/>
  <c r="N145" i="19"/>
  <c r="J144" i="19"/>
  <c r="I144" i="19"/>
  <c r="N144" i="19" s="1"/>
  <c r="H144" i="19"/>
  <c r="J143" i="19"/>
  <c r="I143" i="19"/>
  <c r="N143" i="19" s="1"/>
  <c r="H143" i="19"/>
  <c r="J142" i="19"/>
  <c r="I142" i="19"/>
  <c r="N142" i="19" s="1"/>
  <c r="H142" i="19"/>
  <c r="J141" i="19"/>
  <c r="I141" i="19"/>
  <c r="N141" i="19" s="1"/>
  <c r="H141" i="19"/>
  <c r="J140" i="19"/>
  <c r="I140" i="19"/>
  <c r="N140" i="19" s="1"/>
  <c r="H140" i="19"/>
  <c r="J139" i="19"/>
  <c r="I139" i="19"/>
  <c r="N139" i="19" s="1"/>
  <c r="H139" i="19"/>
  <c r="J138" i="19"/>
  <c r="I138" i="19"/>
  <c r="N138" i="19" s="1"/>
  <c r="H138" i="19"/>
  <c r="J137" i="19"/>
  <c r="I137" i="19"/>
  <c r="N137" i="19" s="1"/>
  <c r="H137" i="19"/>
  <c r="J136" i="19"/>
  <c r="I136" i="19"/>
  <c r="N136" i="19" s="1"/>
  <c r="H136" i="19"/>
  <c r="J135" i="19"/>
  <c r="I135" i="19"/>
  <c r="N135" i="19" s="1"/>
  <c r="H135" i="19"/>
  <c r="J134" i="19"/>
  <c r="I134" i="19"/>
  <c r="N134" i="19" s="1"/>
  <c r="H134" i="19"/>
  <c r="J133" i="19"/>
  <c r="I133" i="19"/>
  <c r="N133" i="19" s="1"/>
  <c r="H133" i="19"/>
  <c r="J132" i="19"/>
  <c r="I132" i="19"/>
  <c r="N132" i="19" s="1"/>
  <c r="H132" i="19"/>
  <c r="J131" i="19"/>
  <c r="I131" i="19"/>
  <c r="N131" i="19" s="1"/>
  <c r="H131" i="19"/>
  <c r="J130" i="19"/>
  <c r="I130" i="19"/>
  <c r="N130" i="19" s="1"/>
  <c r="H130" i="19"/>
  <c r="J129" i="19"/>
  <c r="I129" i="19"/>
  <c r="N129" i="19" s="1"/>
  <c r="H129" i="19"/>
  <c r="J128" i="19"/>
  <c r="I128" i="19"/>
  <c r="N128" i="19" s="1"/>
  <c r="H128" i="19"/>
  <c r="J127" i="19"/>
  <c r="I127" i="19"/>
  <c r="N127" i="19" s="1"/>
  <c r="H127" i="19"/>
  <c r="J126" i="19"/>
  <c r="I126" i="19"/>
  <c r="N126" i="19" s="1"/>
  <c r="H126" i="19"/>
  <c r="J125" i="19"/>
  <c r="I125" i="19"/>
  <c r="N125" i="19" s="1"/>
  <c r="H125" i="19"/>
  <c r="K124" i="19"/>
  <c r="J124" i="19"/>
  <c r="H124" i="19"/>
  <c r="I124" i="19" s="1"/>
  <c r="N124" i="19" s="1"/>
  <c r="J123" i="19"/>
  <c r="H123" i="19"/>
  <c r="I123" i="19" s="1"/>
  <c r="N123" i="19" s="1"/>
  <c r="Q122" i="19"/>
  <c r="O122" i="19"/>
  <c r="K122" i="19"/>
  <c r="J122" i="19"/>
  <c r="J148" i="19" s="1"/>
  <c r="K172" i="19" s="1"/>
  <c r="E122" i="19"/>
  <c r="Q121" i="19"/>
  <c r="O121" i="19"/>
  <c r="F116" i="19"/>
  <c r="H116" i="19" s="1"/>
  <c r="F115" i="19"/>
  <c r="H115" i="19" s="1"/>
  <c r="F114" i="19"/>
  <c r="H114" i="19" s="1"/>
  <c r="F113" i="19"/>
  <c r="F108" i="19"/>
  <c r="F109" i="19" s="1"/>
  <c r="F103" i="19"/>
  <c r="H103" i="19" s="1"/>
  <c r="F102" i="19"/>
  <c r="H102" i="19" s="1"/>
  <c r="F101" i="19"/>
  <c r="F104" i="19" s="1"/>
  <c r="F96" i="19"/>
  <c r="F97" i="19" s="1"/>
  <c r="G91" i="19"/>
  <c r="I91" i="19" s="1"/>
  <c r="G90" i="19"/>
  <c r="I90" i="19" s="1"/>
  <c r="G89" i="19"/>
  <c r="I89" i="19" s="1"/>
  <c r="G88" i="19"/>
  <c r="I88" i="19" s="1"/>
  <c r="G87" i="19"/>
  <c r="I87" i="19" s="1"/>
  <c r="G86" i="19"/>
  <c r="I86" i="19" s="1"/>
  <c r="G85" i="19"/>
  <c r="I85" i="19" s="1"/>
  <c r="I84" i="19"/>
  <c r="G84" i="19"/>
  <c r="G79" i="19"/>
  <c r="I79" i="19" s="1"/>
  <c r="G78" i="19"/>
  <c r="I78" i="19" s="1"/>
  <c r="G77" i="19"/>
  <c r="I77" i="19" s="1"/>
  <c r="G76" i="19"/>
  <c r="I76" i="19" s="1"/>
  <c r="I75" i="19"/>
  <c r="G75" i="19"/>
  <c r="G74" i="19"/>
  <c r="G73" i="19"/>
  <c r="I73" i="19" s="1"/>
  <c r="J68" i="19"/>
  <c r="H68" i="19"/>
  <c r="J67" i="19"/>
  <c r="H67" i="19"/>
  <c r="Q66" i="19"/>
  <c r="P66" i="19"/>
  <c r="Q67" i="19" s="1"/>
  <c r="J66" i="19"/>
  <c r="H66" i="19"/>
  <c r="H65" i="19"/>
  <c r="J65" i="19" s="1"/>
  <c r="U64" i="19"/>
  <c r="H64" i="19"/>
  <c r="J64" i="19" s="1"/>
  <c r="F64" i="19"/>
  <c r="U63" i="19"/>
  <c r="S62" i="19"/>
  <c r="J58" i="19"/>
  <c r="H58" i="19"/>
  <c r="G58" i="19" s="1"/>
  <c r="F58" i="19"/>
  <c r="H57" i="19"/>
  <c r="G57" i="19" s="1"/>
  <c r="F57" i="19"/>
  <c r="H51" i="19"/>
  <c r="K50" i="19"/>
  <c r="J50" i="19"/>
  <c r="J51" i="19" s="1"/>
  <c r="A172" i="19" s="1"/>
  <c r="E50" i="19"/>
  <c r="M44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F18" i="19"/>
  <c r="F44" i="19" s="1"/>
  <c r="L17" i="19"/>
  <c r="F17" i="19"/>
  <c r="H164" i="14"/>
  <c r="J164" i="14" s="1"/>
  <c r="I73" i="14"/>
  <c r="I74" i="14"/>
  <c r="I77" i="14"/>
  <c r="I78" i="14"/>
  <c r="R170" i="14"/>
  <c r="H165" i="14"/>
  <c r="J165" i="14" s="1"/>
  <c r="H160" i="14"/>
  <c r="H159" i="14"/>
  <c r="J159" i="14" s="1"/>
  <c r="F155" i="14"/>
  <c r="H155" i="14" s="1"/>
  <c r="H156" i="14" s="1"/>
  <c r="H148" i="14"/>
  <c r="Q148" i="14" s="1"/>
  <c r="J147" i="14"/>
  <c r="N147" i="14" s="1"/>
  <c r="N146" i="14"/>
  <c r="N145" i="14"/>
  <c r="J144" i="14"/>
  <c r="H144" i="14"/>
  <c r="I144" i="14" s="1"/>
  <c r="N144" i="14" s="1"/>
  <c r="J143" i="14"/>
  <c r="H143" i="14"/>
  <c r="I143" i="14" s="1"/>
  <c r="N143" i="14" s="1"/>
  <c r="J142" i="14"/>
  <c r="H142" i="14"/>
  <c r="I142" i="14" s="1"/>
  <c r="N142" i="14" s="1"/>
  <c r="J141" i="14"/>
  <c r="I141" i="14"/>
  <c r="H141" i="14"/>
  <c r="J140" i="14"/>
  <c r="H140" i="14"/>
  <c r="I140" i="14" s="1"/>
  <c r="N140" i="14" s="1"/>
  <c r="J139" i="14"/>
  <c r="H139" i="14"/>
  <c r="I139" i="14" s="1"/>
  <c r="N139" i="14" s="1"/>
  <c r="J138" i="14"/>
  <c r="H138" i="14"/>
  <c r="I138" i="14" s="1"/>
  <c r="N138" i="14" s="1"/>
  <c r="J137" i="14"/>
  <c r="I137" i="14"/>
  <c r="H137" i="14"/>
  <c r="J136" i="14"/>
  <c r="H136" i="14"/>
  <c r="I136" i="14" s="1"/>
  <c r="N136" i="14" s="1"/>
  <c r="J135" i="14"/>
  <c r="H135" i="14"/>
  <c r="I135" i="14" s="1"/>
  <c r="N135" i="14" s="1"/>
  <c r="J134" i="14"/>
  <c r="H134" i="14"/>
  <c r="I134" i="14" s="1"/>
  <c r="N134" i="14" s="1"/>
  <c r="J133" i="14"/>
  <c r="I133" i="14"/>
  <c r="H133" i="14"/>
  <c r="J132" i="14"/>
  <c r="H132" i="14"/>
  <c r="I132" i="14" s="1"/>
  <c r="N132" i="14" s="1"/>
  <c r="J131" i="14"/>
  <c r="H131" i="14"/>
  <c r="I131" i="14" s="1"/>
  <c r="N131" i="14" s="1"/>
  <c r="J130" i="14"/>
  <c r="H130" i="14"/>
  <c r="I130" i="14" s="1"/>
  <c r="N130" i="14" s="1"/>
  <c r="J129" i="14"/>
  <c r="I129" i="14"/>
  <c r="H129" i="14"/>
  <c r="J128" i="14"/>
  <c r="H128" i="14"/>
  <c r="I128" i="14" s="1"/>
  <c r="N128" i="14" s="1"/>
  <c r="J127" i="14"/>
  <c r="H127" i="14"/>
  <c r="I127" i="14" s="1"/>
  <c r="N127" i="14" s="1"/>
  <c r="J126" i="14"/>
  <c r="H126" i="14"/>
  <c r="I126" i="14" s="1"/>
  <c r="N126" i="14" s="1"/>
  <c r="J125" i="14"/>
  <c r="I125" i="14"/>
  <c r="H125" i="14"/>
  <c r="J124" i="14"/>
  <c r="H124" i="14"/>
  <c r="I124" i="14" s="1"/>
  <c r="J123" i="14"/>
  <c r="H123" i="14"/>
  <c r="I123" i="14" s="1"/>
  <c r="N123" i="14" s="1"/>
  <c r="K122" i="14"/>
  <c r="J122" i="14"/>
  <c r="J148" i="14" s="1"/>
  <c r="K172" i="14" s="1"/>
  <c r="E122" i="14"/>
  <c r="O121" i="14"/>
  <c r="O122" i="14" s="1"/>
  <c r="Q122" i="14" s="1"/>
  <c r="F116" i="14"/>
  <c r="H116" i="14" s="1"/>
  <c r="F115" i="14"/>
  <c r="H115" i="14" s="1"/>
  <c r="F114" i="14"/>
  <c r="H114" i="14" s="1"/>
  <c r="F113" i="14"/>
  <c r="F108" i="14"/>
  <c r="F109" i="14" s="1"/>
  <c r="F103" i="14"/>
  <c r="H103" i="14" s="1"/>
  <c r="F102" i="14"/>
  <c r="H102" i="14" s="1"/>
  <c r="H101" i="14"/>
  <c r="F101" i="14"/>
  <c r="F96" i="14"/>
  <c r="F97" i="14" s="1"/>
  <c r="G91" i="14"/>
  <c r="I91" i="14" s="1"/>
  <c r="G90" i="14"/>
  <c r="I90" i="14" s="1"/>
  <c r="G89" i="14"/>
  <c r="I89" i="14" s="1"/>
  <c r="G88" i="14"/>
  <c r="I88" i="14" s="1"/>
  <c r="G87" i="14"/>
  <c r="I87" i="14" s="1"/>
  <c r="G86" i="14"/>
  <c r="I86" i="14" s="1"/>
  <c r="G85" i="14"/>
  <c r="I85" i="14" s="1"/>
  <c r="G84" i="14"/>
  <c r="I84" i="14" s="1"/>
  <c r="G79" i="14"/>
  <c r="I79" i="14" s="1"/>
  <c r="G78" i="14"/>
  <c r="G77" i="14"/>
  <c r="G76" i="14"/>
  <c r="I76" i="14" s="1"/>
  <c r="G75" i="14"/>
  <c r="I75" i="14" s="1"/>
  <c r="G74" i="14"/>
  <c r="G73" i="14"/>
  <c r="H68" i="14"/>
  <c r="Q67" i="14"/>
  <c r="H67" i="14"/>
  <c r="Q66" i="14"/>
  <c r="P66" i="14"/>
  <c r="H66" i="14"/>
  <c r="H65" i="14"/>
  <c r="F65" i="14" s="1"/>
  <c r="H64" i="14"/>
  <c r="J64" i="14" s="1"/>
  <c r="H58" i="14"/>
  <c r="J58" i="14" s="1"/>
  <c r="F58" i="14"/>
  <c r="H57" i="14"/>
  <c r="J57" i="14" s="1"/>
  <c r="F57" i="14"/>
  <c r="G57" i="14" s="1"/>
  <c r="H51" i="14"/>
  <c r="K50" i="14"/>
  <c r="J50" i="14"/>
  <c r="J51" i="14" s="1"/>
  <c r="A172" i="14" s="1"/>
  <c r="E50" i="14"/>
  <c r="M44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F18" i="14"/>
  <c r="L17" i="14"/>
  <c r="F17" i="14"/>
  <c r="J181" i="13"/>
  <c r="J174" i="13"/>
  <c r="O172" i="13"/>
  <c r="L172" i="13"/>
  <c r="H165" i="13"/>
  <c r="H164" i="13"/>
  <c r="F102" i="13"/>
  <c r="H102" i="13" s="1"/>
  <c r="H160" i="13"/>
  <c r="H159" i="13"/>
  <c r="F155" i="13"/>
  <c r="F116" i="13"/>
  <c r="F115" i="13"/>
  <c r="F114" i="13"/>
  <c r="F113" i="13"/>
  <c r="F108" i="13"/>
  <c r="F103" i="13"/>
  <c r="F101" i="13"/>
  <c r="G90" i="13"/>
  <c r="I90" i="13" s="1"/>
  <c r="G88" i="13"/>
  <c r="G87" i="13"/>
  <c r="G86" i="13"/>
  <c r="G85" i="13"/>
  <c r="G84" i="13"/>
  <c r="G79" i="13"/>
  <c r="H67" i="13"/>
  <c r="J67" i="13" s="1"/>
  <c r="H66" i="13"/>
  <c r="H68" i="13"/>
  <c r="K68" i="13" s="1"/>
  <c r="H65" i="13"/>
  <c r="K65" i="13" s="1"/>
  <c r="H64" i="13"/>
  <c r="K66" i="13"/>
  <c r="K64" i="13"/>
  <c r="H57" i="13"/>
  <c r="K57" i="13" s="1"/>
  <c r="K122" i="13"/>
  <c r="P43" i="22" l="1"/>
  <c r="L172" i="22"/>
  <c r="Q173" i="22" s="1"/>
  <c r="J69" i="22"/>
  <c r="E172" i="22" s="1"/>
  <c r="J181" i="22"/>
  <c r="J182" i="22" s="1"/>
  <c r="Q175" i="22"/>
  <c r="F117" i="21"/>
  <c r="J161" i="21"/>
  <c r="J164" i="21"/>
  <c r="J166" i="21" s="1"/>
  <c r="I92" i="21"/>
  <c r="G172" i="21" s="1"/>
  <c r="F64" i="21"/>
  <c r="L44" i="21"/>
  <c r="P43" i="21" s="1"/>
  <c r="J59" i="21"/>
  <c r="D172" i="21" s="1"/>
  <c r="H69" i="21"/>
  <c r="G92" i="21"/>
  <c r="I80" i="21"/>
  <c r="F172" i="21" s="1"/>
  <c r="O43" i="21"/>
  <c r="O44" i="21" s="1"/>
  <c r="J69" i="21"/>
  <c r="E172" i="21" s="1"/>
  <c r="G80" i="21"/>
  <c r="H96" i="21"/>
  <c r="H97" i="21" s="1"/>
  <c r="H172" i="21" s="1"/>
  <c r="H101" i="21"/>
  <c r="H104" i="21" s="1"/>
  <c r="J172" i="21" s="1"/>
  <c r="H108" i="21"/>
  <c r="H109" i="21" s="1"/>
  <c r="M172" i="21" s="1"/>
  <c r="H113" i="21"/>
  <c r="H117" i="21" s="1"/>
  <c r="I172" i="21" s="1"/>
  <c r="H161" i="21"/>
  <c r="H155" i="21"/>
  <c r="H156" i="21" s="1"/>
  <c r="G57" i="20"/>
  <c r="H59" i="20"/>
  <c r="J164" i="20"/>
  <c r="J166" i="20" s="1"/>
  <c r="J59" i="20"/>
  <c r="D172" i="20" s="1"/>
  <c r="G80" i="20"/>
  <c r="G58" i="20"/>
  <c r="J69" i="20"/>
  <c r="E172" i="20" s="1"/>
  <c r="H96" i="20"/>
  <c r="H97" i="20" s="1"/>
  <c r="H172" i="20" s="1"/>
  <c r="F97" i="20"/>
  <c r="H117" i="20"/>
  <c r="I172" i="20" s="1"/>
  <c r="H108" i="20"/>
  <c r="H109" i="20" s="1"/>
  <c r="M172" i="20" s="1"/>
  <c r="F109" i="20"/>
  <c r="I92" i="20"/>
  <c r="G172" i="20" s="1"/>
  <c r="H101" i="20"/>
  <c r="H104" i="20" s="1"/>
  <c r="J172" i="20" s="1"/>
  <c r="F104" i="20"/>
  <c r="F117" i="20"/>
  <c r="O43" i="20"/>
  <c r="O44" i="20" s="1"/>
  <c r="F64" i="20"/>
  <c r="H69" i="20"/>
  <c r="I74" i="20"/>
  <c r="I80" i="20" s="1"/>
  <c r="F172" i="20" s="1"/>
  <c r="N126" i="20"/>
  <c r="N128" i="20"/>
  <c r="N130" i="20"/>
  <c r="N132" i="20"/>
  <c r="N134" i="20"/>
  <c r="N136" i="20"/>
  <c r="N138" i="20"/>
  <c r="N140" i="20"/>
  <c r="N142" i="20"/>
  <c r="N144" i="20"/>
  <c r="G92" i="20"/>
  <c r="H155" i="20"/>
  <c r="H156" i="20" s="1"/>
  <c r="J159" i="20"/>
  <c r="J161" i="20" s="1"/>
  <c r="U63" i="20"/>
  <c r="Q121" i="20"/>
  <c r="F65" i="19"/>
  <c r="F117" i="19"/>
  <c r="J161" i="19"/>
  <c r="J164" i="19"/>
  <c r="J166" i="19" s="1"/>
  <c r="G80" i="19"/>
  <c r="L44" i="19"/>
  <c r="O43" i="19" s="1"/>
  <c r="O44" i="19" s="1"/>
  <c r="J57" i="19"/>
  <c r="J59" i="19" s="1"/>
  <c r="D172" i="19" s="1"/>
  <c r="H59" i="19"/>
  <c r="J174" i="19" s="1"/>
  <c r="H69" i="19"/>
  <c r="G92" i="19"/>
  <c r="I92" i="19"/>
  <c r="G172" i="19" s="1"/>
  <c r="P43" i="19"/>
  <c r="J69" i="19"/>
  <c r="E172" i="19" s="1"/>
  <c r="I74" i="19"/>
  <c r="I80" i="19" s="1"/>
  <c r="F172" i="19" s="1"/>
  <c r="H96" i="19"/>
  <c r="H97" i="19" s="1"/>
  <c r="H172" i="19" s="1"/>
  <c r="H101" i="19"/>
  <c r="H104" i="19" s="1"/>
  <c r="J172" i="19" s="1"/>
  <c r="H108" i="19"/>
  <c r="H109" i="19" s="1"/>
  <c r="M172" i="19" s="1"/>
  <c r="H113" i="19"/>
  <c r="H117" i="19" s="1"/>
  <c r="I172" i="19" s="1"/>
  <c r="H161" i="19"/>
  <c r="H155" i="19"/>
  <c r="H156" i="19" s="1"/>
  <c r="Q121" i="14"/>
  <c r="H96" i="14"/>
  <c r="H97" i="14" s="1"/>
  <c r="H172" i="14" s="1"/>
  <c r="K124" i="14"/>
  <c r="F156" i="14"/>
  <c r="L44" i="14"/>
  <c r="G58" i="14"/>
  <c r="J66" i="14"/>
  <c r="H108" i="14"/>
  <c r="H109" i="14" s="1"/>
  <c r="M172" i="14" s="1"/>
  <c r="J59" i="14"/>
  <c r="D172" i="14" s="1"/>
  <c r="F117" i="14"/>
  <c r="F104" i="14"/>
  <c r="J166" i="14"/>
  <c r="O172" i="14" s="1"/>
  <c r="P43" i="14"/>
  <c r="I92" i="14"/>
  <c r="G172" i="14" s="1"/>
  <c r="G92" i="14"/>
  <c r="J68" i="14"/>
  <c r="I80" i="14"/>
  <c r="F172" i="14" s="1"/>
  <c r="J65" i="14"/>
  <c r="H69" i="14"/>
  <c r="H104" i="14"/>
  <c r="J172" i="14" s="1"/>
  <c r="H113" i="14"/>
  <c r="H117" i="14" s="1"/>
  <c r="I172" i="14" s="1"/>
  <c r="H166" i="14"/>
  <c r="F44" i="14"/>
  <c r="O43" i="14" s="1"/>
  <c r="O44" i="14" s="1"/>
  <c r="F64" i="14"/>
  <c r="S62" i="14"/>
  <c r="J67" i="14"/>
  <c r="G80" i="14"/>
  <c r="N124" i="14"/>
  <c r="N125" i="14"/>
  <c r="N129" i="14"/>
  <c r="N133" i="14"/>
  <c r="N137" i="14"/>
  <c r="N141" i="14"/>
  <c r="H161" i="14"/>
  <c r="J160" i="14"/>
  <c r="J161" i="14" s="1"/>
  <c r="H59" i="14"/>
  <c r="K67" i="13"/>
  <c r="H69" i="13"/>
  <c r="S62" i="13"/>
  <c r="U63" i="13" s="1"/>
  <c r="U64" i="13"/>
  <c r="M44" i="13"/>
  <c r="L17" i="13"/>
  <c r="K50" i="13"/>
  <c r="L172" i="21" l="1"/>
  <c r="Q175" i="21"/>
  <c r="O172" i="21"/>
  <c r="J174" i="20"/>
  <c r="J181" i="20" s="1"/>
  <c r="J182" i="20" s="1"/>
  <c r="O172" i="20"/>
  <c r="L172" i="20"/>
  <c r="N172" i="20" s="1"/>
  <c r="L172" i="19"/>
  <c r="N172" i="19" s="1"/>
  <c r="Q173" i="19" s="1"/>
  <c r="J181" i="19"/>
  <c r="J182" i="19" s="1"/>
  <c r="Q175" i="19"/>
  <c r="L172" i="14"/>
  <c r="J69" i="14"/>
  <c r="E172" i="14" s="1"/>
  <c r="N172" i="14" s="1"/>
  <c r="Q173" i="14" s="1"/>
  <c r="J174" i="14"/>
  <c r="J181" i="14" s="1"/>
  <c r="J182" i="14" s="1"/>
  <c r="U64" i="14"/>
  <c r="U63" i="14"/>
  <c r="Q173" i="21" l="1"/>
  <c r="J181" i="21"/>
  <c r="J182" i="21" s="1"/>
  <c r="Q175" i="20"/>
  <c r="L18" i="13" l="1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F18" i="13"/>
  <c r="F17" i="13"/>
  <c r="F44" i="13" s="1"/>
  <c r="H58" i="13"/>
  <c r="K58" i="13" s="1"/>
  <c r="L44" i="13" l="1"/>
  <c r="O43" i="13" s="1"/>
  <c r="O44" i="13" s="1"/>
  <c r="P43" i="13" l="1"/>
  <c r="F109" i="13"/>
  <c r="H116" i="13"/>
  <c r="H114" i="13"/>
  <c r="H108" i="13"/>
  <c r="H109" i="13" s="1"/>
  <c r="M172" i="13" s="1"/>
  <c r="H103" i="13"/>
  <c r="F96" i="13"/>
  <c r="G89" i="13"/>
  <c r="I89" i="13" s="1"/>
  <c r="G91" i="13"/>
  <c r="I79" i="13"/>
  <c r="G78" i="13"/>
  <c r="G77" i="13"/>
  <c r="I77" i="13" s="1"/>
  <c r="G76" i="13"/>
  <c r="G75" i="13"/>
  <c r="G74" i="13"/>
  <c r="G73" i="13"/>
  <c r="F65" i="13"/>
  <c r="H59" i="13"/>
  <c r="K59" i="13" s="1"/>
  <c r="Q66" i="13"/>
  <c r="P66" i="13"/>
  <c r="H161" i="13" l="1"/>
  <c r="G80" i="13"/>
  <c r="J80" i="13" s="1"/>
  <c r="F104" i="13"/>
  <c r="I104" i="13" s="1"/>
  <c r="K69" i="13"/>
  <c r="G92" i="13"/>
  <c r="J92" i="13" s="1"/>
  <c r="F117" i="13"/>
  <c r="I117" i="13" s="1"/>
  <c r="H166" i="13"/>
  <c r="Q67" i="13"/>
  <c r="J213" i="22" l="1"/>
  <c r="F58" i="13"/>
  <c r="F57" i="13"/>
  <c r="G58" i="13" l="1"/>
  <c r="G57" i="13"/>
  <c r="A8" i="25" l="1"/>
  <c r="F156" i="13" l="1"/>
  <c r="H155" i="13" l="1"/>
  <c r="H156" i="13" s="1"/>
  <c r="J207" i="21" l="1"/>
  <c r="J213" i="21" s="1"/>
  <c r="J207" i="20" l="1"/>
  <c r="J212" i="19" l="1"/>
  <c r="J213" i="20"/>
  <c r="E122" i="13" l="1"/>
  <c r="E50" i="13" l="1"/>
  <c r="Q175" i="14" l="1"/>
  <c r="H115" i="13"/>
  <c r="H113" i="13"/>
  <c r="H117" i="13" s="1"/>
  <c r="I172" i="13" l="1"/>
  <c r="O121" i="13" l="1"/>
  <c r="Q121" i="13" s="1"/>
  <c r="O122" i="13" l="1"/>
  <c r="Q122" i="13" s="1"/>
  <c r="J57" i="13" l="1"/>
  <c r="J68" i="13" l="1"/>
  <c r="F97" i="13" l="1"/>
  <c r="H96" i="13"/>
  <c r="H97" i="13" s="1"/>
  <c r="H172" i="13" s="1"/>
  <c r="J50" i="13"/>
  <c r="J165" i="13"/>
  <c r="J159" i="13"/>
  <c r="J147" i="13"/>
  <c r="N147" i="13" s="1"/>
  <c r="N146" i="13"/>
  <c r="N145" i="13"/>
  <c r="J144" i="13"/>
  <c r="H144" i="13"/>
  <c r="I144" i="13" s="1"/>
  <c r="J143" i="13"/>
  <c r="H143" i="13"/>
  <c r="I143" i="13" s="1"/>
  <c r="J142" i="13"/>
  <c r="H142" i="13"/>
  <c r="I142" i="13" s="1"/>
  <c r="J141" i="13"/>
  <c r="H141" i="13"/>
  <c r="I141" i="13" s="1"/>
  <c r="J140" i="13"/>
  <c r="H140" i="13"/>
  <c r="I140" i="13" s="1"/>
  <c r="J139" i="13"/>
  <c r="H139" i="13"/>
  <c r="I139" i="13" s="1"/>
  <c r="J138" i="13"/>
  <c r="H138" i="13"/>
  <c r="I138" i="13" s="1"/>
  <c r="J137" i="13"/>
  <c r="H137" i="13"/>
  <c r="I137" i="13" s="1"/>
  <c r="J136" i="13"/>
  <c r="H136" i="13"/>
  <c r="I136" i="13" s="1"/>
  <c r="J135" i="13"/>
  <c r="H135" i="13"/>
  <c r="I135" i="13" s="1"/>
  <c r="J134" i="13"/>
  <c r="H134" i="13"/>
  <c r="I134" i="13" s="1"/>
  <c r="J133" i="13"/>
  <c r="H133" i="13"/>
  <c r="I133" i="13" s="1"/>
  <c r="J132" i="13"/>
  <c r="H132" i="13"/>
  <c r="I132" i="13" s="1"/>
  <c r="J131" i="13"/>
  <c r="H131" i="13"/>
  <c r="I131" i="13" s="1"/>
  <c r="J130" i="13"/>
  <c r="H130" i="13"/>
  <c r="I130" i="13" s="1"/>
  <c r="J129" i="13"/>
  <c r="H129" i="13"/>
  <c r="I129" i="13" s="1"/>
  <c r="J128" i="13"/>
  <c r="H128" i="13"/>
  <c r="I128" i="13" s="1"/>
  <c r="J127" i="13"/>
  <c r="H127" i="13"/>
  <c r="I127" i="13" s="1"/>
  <c r="J126" i="13"/>
  <c r="H126" i="13"/>
  <c r="I126" i="13" s="1"/>
  <c r="J125" i="13"/>
  <c r="H125" i="13"/>
  <c r="I125" i="13" s="1"/>
  <c r="J124" i="13"/>
  <c r="H124" i="13"/>
  <c r="K124" i="13" s="1"/>
  <c r="J123" i="13"/>
  <c r="H123" i="13"/>
  <c r="I123" i="13" s="1"/>
  <c r="I91" i="13"/>
  <c r="I88" i="13"/>
  <c r="I87" i="13"/>
  <c r="I86" i="13"/>
  <c r="I85" i="13"/>
  <c r="I78" i="13"/>
  <c r="I76" i="13"/>
  <c r="I75" i="13"/>
  <c r="I74" i="13"/>
  <c r="I73" i="13"/>
  <c r="J65" i="13"/>
  <c r="J64" i="13"/>
  <c r="J58" i="13"/>
  <c r="J59" i="13" s="1"/>
  <c r="I80" i="13" l="1"/>
  <c r="J66" i="13"/>
  <c r="N142" i="13"/>
  <c r="N144" i="13"/>
  <c r="N126" i="13"/>
  <c r="N134" i="13"/>
  <c r="N136" i="13"/>
  <c r="N137" i="13"/>
  <c r="N139" i="13"/>
  <c r="N141" i="13"/>
  <c r="N143" i="13"/>
  <c r="N125" i="13"/>
  <c r="N129" i="13"/>
  <c r="N131" i="13"/>
  <c r="N133" i="13"/>
  <c r="N128" i="13"/>
  <c r="N127" i="13"/>
  <c r="N132" i="13"/>
  <c r="N135" i="13"/>
  <c r="N140" i="13"/>
  <c r="N130" i="13"/>
  <c r="N138" i="13"/>
  <c r="N123" i="13"/>
  <c r="J164" i="13"/>
  <c r="J166" i="13" s="1"/>
  <c r="I84" i="13"/>
  <c r="H101" i="13"/>
  <c r="H104" i="13" s="1"/>
  <c r="D172" i="13"/>
  <c r="J160" i="13"/>
  <c r="J161" i="13" s="1"/>
  <c r="J122" i="13"/>
  <c r="J148" i="13" s="1"/>
  <c r="K172" i="13" s="1"/>
  <c r="H148" i="13"/>
  <c r="J51" i="13"/>
  <c r="H51" i="13"/>
  <c r="I124" i="13"/>
  <c r="N124" i="13" s="1"/>
  <c r="I92" i="13" l="1"/>
  <c r="G172" i="13" s="1"/>
  <c r="J69" i="13"/>
  <c r="E172" i="13" s="1"/>
  <c r="J172" i="13"/>
  <c r="A172" i="13"/>
  <c r="Q148" i="13"/>
  <c r="F172" i="13"/>
  <c r="A6" i="25" l="1"/>
  <c r="I186" i="13"/>
  <c r="N172" i="13"/>
  <c r="Q173" i="13" s="1"/>
  <c r="A3" i="25"/>
  <c r="Q175" i="13"/>
  <c r="R170" i="13"/>
</calcChain>
</file>

<file path=xl/sharedStrings.xml><?xml version="1.0" encoding="utf-8"?>
<sst xmlns="http://schemas.openxmlformats.org/spreadsheetml/2006/main" count="1435" uniqueCount="151">
  <si>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</si>
  <si>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</si>
  <si>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</si>
  <si>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</si>
  <si>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</si>
  <si>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</si>
  <si>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</si>
  <si>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</si>
  <si>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</si>
  <si>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</si>
  <si>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</si>
  <si>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</si>
  <si>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</si>
  <si>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</si>
  <si>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</si>
  <si>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</si>
  <si>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</si>
  <si>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</si>
  <si>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</si>
  <si>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</si>
  <si>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</si>
  <si>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</si>
  <si>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</si>
  <si>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</si>
  <si>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</si>
  <si>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Базовый норматив затрат на оказание услуг, руб.</t>
  </si>
  <si>
    <t>8=6*7</t>
  </si>
  <si>
    <t xml:space="preserve">Тариф (цена), рублей </t>
  </si>
  <si>
    <t>Исполнитель:</t>
  </si>
  <si>
    <t>ФОТ с начислениями на выплаты по оплате труда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</si>
  <si>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</si>
  <si>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</si>
  <si>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</si>
  <si>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</si>
  <si>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</si>
  <si>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</si>
  <si>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</si>
  <si>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</si>
  <si>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</si>
  <si>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</si>
  <si>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</si>
  <si>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 xml:space="preserve">нормативный объем </t>
  </si>
  <si>
    <t>Итого прочие расходы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</si>
  <si>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</si>
  <si>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t>Интернет</t>
  </si>
  <si>
    <t>Затраты на прочие расходы</t>
  </si>
  <si>
    <t>Прочие затраты</t>
  </si>
  <si>
    <t>Количество мероприятий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</si>
  <si>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</si>
  <si>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</si>
  <si>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</si>
  <si>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</si>
  <si>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Затраты на оплату труда (с начислениями) работников, непосредственно не связанных с оказанием работ</t>
  </si>
  <si>
    <t>Нормативные затраты на одно мероприятие</t>
  </si>
  <si>
    <t>Инспектор по кадрам</t>
  </si>
  <si>
    <t>Механик</t>
  </si>
  <si>
    <t>Секретарь</t>
  </si>
  <si>
    <t>Услуга №1. Спортивная подготовка по олимпийским видам спорта</t>
  </si>
  <si>
    <t>Количество занимающихся</t>
  </si>
  <si>
    <t>количество, шт</t>
  </si>
  <si>
    <t>Затраты на оплату труда (с начислениями) работников, непосредственно связанных с оказанием работ</t>
  </si>
  <si>
    <t>Кол-во номеров</t>
  </si>
  <si>
    <t>7-45-59</t>
  </si>
  <si>
    <t>Услуга №2. Спортивная подготовка по неолимпийским видам спорта</t>
  </si>
  <si>
    <t>Работа №1. Организация и обеспечение подготовки спортивного резерва</t>
  </si>
  <si>
    <t>Работа №2. Организация мероприятий по подготовке спортивных сборных команд в интересах общества</t>
  </si>
  <si>
    <t>Затраты на услуги связи</t>
  </si>
  <si>
    <t>Тренер</t>
  </si>
  <si>
    <t>Инструктор по оружию</t>
  </si>
  <si>
    <t>Медсестра</t>
  </si>
  <si>
    <t>Спортсмен-инструктор</t>
  </si>
  <si>
    <t xml:space="preserve">Работа №3. Обеспечение участия в официальных физкультурных (физкультурно-оздоровительных) мероприятиях </t>
  </si>
  <si>
    <t>Наименование показателя объема: 1 мероприятие</t>
  </si>
  <si>
    <t>Работа №4. Организация и проведение официальных спортивных мероприятий</t>
  </si>
  <si>
    <t>Вывоз мусора</t>
  </si>
  <si>
    <t>Обслуживание пожарной сигнализации</t>
  </si>
  <si>
    <t>Обслуживания узла тепловой энергии</t>
  </si>
  <si>
    <t>Обслуживание охранной сигнализации</t>
  </si>
  <si>
    <t>Промывка и опрессовка</t>
  </si>
  <si>
    <t>Предрейсовый медосмотр водителей</t>
  </si>
  <si>
    <t>Периодический медосмотр сотрудников</t>
  </si>
  <si>
    <t>Централизованная охрана оружейной комнаты</t>
  </si>
  <si>
    <t>Абон.обслуживание за инф.услуги системы мониторинга транспорта "Глонасс"</t>
  </si>
  <si>
    <t>Командировочные расходы (проезд, питание, проживание спортсмены)</t>
  </si>
  <si>
    <t>Командировочные расходы (проезд, питание, проживание тренера)</t>
  </si>
  <si>
    <t>Количество, шт</t>
  </si>
  <si>
    <t>Директор МАУ "СШОР"</t>
  </si>
  <si>
    <t>Е.П.Лукьянов</t>
  </si>
  <si>
    <t xml:space="preserve">                     ИСХОДНЫЕ ДАННЫЕ И РЕЗУЛЬТАТЫ РАСЧЕТОВ  МАУ "СШОР"</t>
  </si>
  <si>
    <t>УС</t>
  </si>
  <si>
    <t>КУ</t>
  </si>
  <si>
    <t>СНИ</t>
  </si>
  <si>
    <t>ПР</t>
  </si>
  <si>
    <t>УСМЗ</t>
  </si>
  <si>
    <t>ОТ2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</si>
  <si>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 олимпийского резерва" г. Назарово"</t>
    </r>
  </si>
  <si>
    <t>Приложение № 3 к Распоряжению администрации от ___________ № ____</t>
  </si>
  <si>
    <t>Тех.осмотр (3 автомобиля)</t>
  </si>
  <si>
    <t>Лабораторные исследования</t>
  </si>
  <si>
    <t>Страхование</t>
  </si>
  <si>
    <t>Автострахование транспортных средств</t>
  </si>
  <si>
    <t>Итого страхование</t>
  </si>
  <si>
    <t>Увеличение стоимости горюче-смазочных материалов</t>
  </si>
  <si>
    <t>Шефовалова Е.А.</t>
  </si>
  <si>
    <t>С</t>
  </si>
  <si>
    <t>Карта тахографа</t>
  </si>
  <si>
    <t>Увеличение стоимости прочих материальных запасов</t>
  </si>
  <si>
    <t>Зап.части</t>
  </si>
  <si>
    <t>СПМЗ</t>
  </si>
  <si>
    <t>Приобретение набора продуктов питания или готовых блюд и их транспортировка в лагеря</t>
  </si>
  <si>
    <t>Ведущий специалист</t>
  </si>
  <si>
    <t>Наименование показателя объема: 28 чел</t>
  </si>
  <si>
    <t>Дератизация и дезинсекция</t>
  </si>
  <si>
    <t>Аккарицидная обработка</t>
  </si>
  <si>
    <t>Автомасла</t>
  </si>
  <si>
    <t>Увеличение стоимости строительных материалов</t>
  </si>
  <si>
    <t>Кожный античептик</t>
  </si>
  <si>
    <t>Антифриз</t>
  </si>
  <si>
    <t>СМ</t>
  </si>
  <si>
    <t>БАЗОВОГО НОРМАТИВА ЗАТРАТ НА ОКАЗАНИЕ МУНИЦИПАЛЬНЫХ УСЛУГ НА  2022 год</t>
  </si>
  <si>
    <t>Наименование показателя объема: 470 чел</t>
  </si>
  <si>
    <t>Наименование показателя объема: 42 чел</t>
  </si>
  <si>
    <t>Наименование показателя объема: 142 чел</t>
  </si>
  <si>
    <t>Зам.директора по методической работе</t>
  </si>
  <si>
    <t xml:space="preserve">Зам.директора по административно-хозяйственной части </t>
  </si>
  <si>
    <t>Зам. директора по общим вопросам</t>
  </si>
  <si>
    <t xml:space="preserve">Заведующий отделением </t>
  </si>
  <si>
    <t>Врач по спортивной медицине</t>
  </si>
  <si>
    <t>Программист</t>
  </si>
  <si>
    <t>Водитель автомобиля</t>
  </si>
  <si>
    <t>Водитель мототранспортных средств</t>
  </si>
  <si>
    <t>Ремонтировщик плоскостных спортивных сооружений</t>
  </si>
  <si>
    <t>Рабочий по комплексному обслуживанию и ремонту зданий</t>
  </si>
  <si>
    <t xml:space="preserve">Уборщик служебных помещений </t>
  </si>
  <si>
    <t>Уборщик территорий</t>
  </si>
  <si>
    <t>Специалист по обеспечению безопасности дорожного движения</t>
  </si>
  <si>
    <t>Контролер технического состояния автомототранспортных средств</t>
  </si>
  <si>
    <t>Электромонтер по ремонту и обслуживанию электрооборудования</t>
  </si>
  <si>
    <t>Слесарь-сантехник</t>
  </si>
  <si>
    <t>Сторож (вахтер)</t>
  </si>
  <si>
    <t>Инструктор - методист физкультурно-спортивных организаций</t>
  </si>
  <si>
    <r>
      <t>Штатное расписание: 68,04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</si>
  <si>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Обследование на РНК коронавируса методом ПЦР</t>
  </si>
  <si>
    <t>Спец.оценка условий труда</t>
  </si>
  <si>
    <t>Абон.обслуживание 1 транспорта в системе АО "Эра ГЛОНАСС"</t>
  </si>
  <si>
    <t>Строиматериалы для подготовки к учебному году</t>
  </si>
  <si>
    <t>Маска медицинская</t>
  </si>
  <si>
    <t>Бензин</t>
  </si>
  <si>
    <t>Призовая продукция</t>
  </si>
  <si>
    <t>Мероприятия</t>
  </si>
  <si>
    <t>БАЗОВОГО НОРМАТИВА ЗАТРАТ НА ОКАЗАНИЕ МУНИЦИПАЛЬНЫХ РАБОТ НА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</si>
</sst>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FF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0" fillId="0" borderId="0" xfId="0" applyAlignme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0" xfId="0" applyFont="1"/>
    <xf numFmtId="0" fontId="5" fillId="2" borderId="1" xfId="0" applyFont="1" applyFill="1" applyBorder="1"/>
    <xf numFmtId="0" fontId="7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" xfId="0" applyNumberFormat="1" applyFont="1" applyFill="1" applyBorder="1"/>
    <xf numFmtId="0" fontId="5" fillId="0" borderId="0" xfId="0" applyFont="1" applyBorder="1" applyAlignment="1">
      <alignment wrapText="1"/>
    </xf>
    <xf numFmtId="164" fontId="7" fillId="0" borderId="1" xfId="0" applyNumberFormat="1" applyFont="1" applyBorder="1"/>
    <xf numFmtId="4" fontId="7" fillId="0" borderId="1" xfId="0" applyNumberFormat="1" applyFont="1" applyBorder="1"/>
    <xf numFmtId="0" fontId="5" fillId="0" borderId="1" xfId="0" applyFont="1" applyFill="1" applyBorder="1" applyAlignment="1">
      <alignment wrapText="1"/>
    </xf>
    <xf numFmtId="1" fontId="5" fillId="2" borderId="1" xfId="0" applyNumberFormat="1" applyFont="1" applyFill="1" applyBorder="1"/>
    <xf numFmtId="1" fontId="5" fillId="0" borderId="1" xfId="0" applyNumberFormat="1" applyFont="1" applyBorder="1"/>
    <xf numFmtId="4" fontId="7" fillId="2" borderId="1" xfId="0" applyNumberFormat="1" applyFont="1" applyFill="1" applyBorder="1"/>
    <xf numFmtId="164" fontId="7" fillId="2" borderId="1" xfId="0" applyNumberFormat="1" applyFont="1" applyFill="1" applyBorder="1"/>
    <xf numFmtId="0" fontId="8" fillId="0" borderId="1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/>
    <xf numFmtId="3" fontId="7" fillId="2" borderId="1" xfId="0" applyNumberFormat="1" applyFont="1" applyFill="1" applyBorder="1"/>
    <xf numFmtId="0" fontId="7" fillId="0" borderId="0" xfId="0" applyFont="1"/>
    <xf numFmtId="4" fontId="7" fillId="2" borderId="6" xfId="0" applyNumberFormat="1" applyFont="1" applyFill="1" applyBorder="1"/>
    <xf numFmtId="0" fontId="7" fillId="0" borderId="2" xfId="0" applyFont="1" applyBorder="1"/>
    <xf numFmtId="0" fontId="7" fillId="2" borderId="1" xfId="0" applyFont="1" applyFill="1" applyBorder="1"/>
    <xf numFmtId="2" fontId="6" fillId="5" borderId="7" xfId="0" applyNumberFormat="1" applyFont="1" applyFill="1" applyBorder="1"/>
    <xf numFmtId="4" fontId="7" fillId="0" borderId="6" xfId="0" applyNumberFormat="1" applyFont="1" applyBorder="1"/>
    <xf numFmtId="4" fontId="6" fillId="0" borderId="1" xfId="0" applyNumberFormat="1" applyFont="1" applyBorder="1" applyAlignment="1">
      <alignment horizontal="left"/>
    </xf>
    <xf numFmtId="4" fontId="6" fillId="5" borderId="7" xfId="0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7" fillId="0" borderId="1" xfId="0" applyNumberFormat="1" applyFont="1" applyBorder="1"/>
    <xf numFmtId="164" fontId="7" fillId="4" borderId="1" xfId="0" applyNumberFormat="1" applyFont="1" applyFill="1" applyBorder="1"/>
    <xf numFmtId="4" fontId="7" fillId="4" borderId="1" xfId="0" applyNumberFormat="1" applyFont="1" applyFill="1" applyBorder="1"/>
    <xf numFmtId="4" fontId="6" fillId="2" borderId="2" xfId="0" applyNumberFormat="1" applyFont="1" applyFill="1" applyBorder="1" applyAlignment="1">
      <alignment horizontal="left"/>
    </xf>
    <xf numFmtId="4" fontId="6" fillId="5" borderId="7" xfId="0" applyNumberFormat="1" applyFont="1" applyFill="1" applyBorder="1" applyAlignment="1"/>
    <xf numFmtId="3" fontId="7" fillId="2" borderId="0" xfId="0" applyNumberFormat="1" applyFont="1" applyFill="1" applyBorder="1"/>
    <xf numFmtId="4" fontId="6" fillId="6" borderId="7" xfId="0" applyNumberFormat="1" applyFont="1" applyFill="1" applyBorder="1"/>
    <xf numFmtId="0" fontId="9" fillId="0" borderId="0" xfId="0" applyFont="1" applyAlignment="1">
      <alignment horizontal="left"/>
    </xf>
    <xf numFmtId="4" fontId="6" fillId="0" borderId="0" xfId="0" applyNumberFormat="1" applyFont="1" applyFill="1" applyBorder="1"/>
    <xf numFmtId="0" fontId="7" fillId="0" borderId="0" xfId="0" applyFont="1" applyFill="1"/>
    <xf numFmtId="2" fontId="6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2" borderId="0" xfId="0" applyFont="1" applyFill="1" applyBorder="1"/>
    <xf numFmtId="2" fontId="7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Border="1"/>
    <xf numFmtId="2" fontId="7" fillId="2" borderId="0" xfId="0" applyNumberFormat="1" applyFont="1" applyFill="1" applyBorder="1"/>
    <xf numFmtId="0" fontId="1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6" fillId="2" borderId="4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9" fillId="0" borderId="0" xfId="0" applyFont="1" applyAlignment="1"/>
    <xf numFmtId="0" fontId="0" fillId="0" borderId="0" xfId="0" applyAlignment="1"/>
    <xf numFmtId="2" fontId="7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/>
    <xf numFmtId="165" fontId="7" fillId="0" borderId="0" xfId="0" applyNumberFormat="1" applyFont="1" applyBorder="1"/>
    <xf numFmtId="0" fontId="7" fillId="0" borderId="5" xfId="0" applyNumberFormat="1" applyFont="1" applyBorder="1"/>
    <xf numFmtId="2" fontId="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1" fillId="0" borderId="0" xfId="0" applyFont="1"/>
    <xf numFmtId="4" fontId="0" fillId="0" borderId="0" xfId="0" applyNumberFormat="1"/>
    <xf numFmtId="4" fontId="7" fillId="0" borderId="1" xfId="0" applyNumberFormat="1" applyFont="1" applyFill="1" applyBorder="1"/>
    <xf numFmtId="2" fontId="5" fillId="0" borderId="0" xfId="0" applyNumberFormat="1" applyFont="1"/>
    <xf numFmtId="2" fontId="7" fillId="0" borderId="1" xfId="0" applyNumberFormat="1" applyFont="1" applyBorder="1"/>
    <xf numFmtId="4" fontId="8" fillId="0" borderId="1" xfId="0" applyNumberFormat="1" applyFont="1" applyFill="1" applyBorder="1"/>
    <xf numFmtId="4" fontId="8" fillId="2" borderId="1" xfId="0" applyNumberFormat="1" applyFont="1" applyFill="1" applyBorder="1"/>
    <xf numFmtId="10" fontId="0" fillId="0" borderId="0" xfId="0" applyNumberFormat="1"/>
    <xf numFmtId="10" fontId="13" fillId="0" borderId="0" xfId="0" applyNumberFormat="1" applyFont="1"/>
    <xf numFmtId="2" fontId="7" fillId="0" borderId="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0" fontId="12" fillId="0" borderId="0" xfId="0" applyFont="1"/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1" fontId="7" fillId="2" borderId="1" xfId="0" applyNumberFormat="1" applyFont="1" applyFill="1" applyBorder="1"/>
    <xf numFmtId="2" fontId="7" fillId="0" borderId="1" xfId="0" applyNumberFormat="1" applyFont="1" applyBorder="1" applyAlignment="1">
      <alignment wrapText="1"/>
    </xf>
    <xf numFmtId="4" fontId="6" fillId="5" borderId="7" xfId="0" applyNumberFormat="1" applyFont="1" applyFill="1" applyBorder="1"/>
    <xf numFmtId="0" fontId="12" fillId="0" borderId="0" xfId="0" applyFont="1" applyFill="1"/>
    <xf numFmtId="2" fontId="7" fillId="0" borderId="6" xfId="0" applyNumberFormat="1" applyFont="1" applyBorder="1" applyAlignment="1">
      <alignment wrapText="1"/>
    </xf>
    <xf numFmtId="0" fontId="7" fillId="2" borderId="0" xfId="0" applyFont="1" applyFill="1"/>
    <xf numFmtId="0" fontId="6" fillId="0" borderId="0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wrapText="1"/>
    </xf>
    <xf numFmtId="2" fontId="7" fillId="0" borderId="2" xfId="0" applyNumberFormat="1" applyFont="1" applyBorder="1" applyAlignment="1">
      <alignment wrapText="1"/>
    </xf>
    <xf numFmtId="4" fontId="6" fillId="6" borderId="8" xfId="0" applyNumberFormat="1" applyFont="1" applyFill="1" applyBorder="1"/>
    <xf numFmtId="4" fontId="6" fillId="0" borderId="2" xfId="0" applyNumberFormat="1" applyFont="1" applyBorder="1"/>
    <xf numFmtId="0" fontId="14" fillId="0" borderId="0" xfId="0" applyFont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11" fillId="0" borderId="0" xfId="0" applyNumberFormat="1" applyFont="1"/>
    <xf numFmtId="10" fontId="11" fillId="0" borderId="0" xfId="0" applyNumberFormat="1" applyFont="1"/>
    <xf numFmtId="2" fontId="12" fillId="0" borderId="0" xfId="0" applyNumberFormat="1" applyFont="1"/>
    <xf numFmtId="0" fontId="7" fillId="0" borderId="0" xfId="0" applyFont="1" applyBorder="1" applyAlignment="1">
      <alignment wrapText="1"/>
    </xf>
    <xf numFmtId="0" fontId="7" fillId="0" borderId="0" xfId="0" applyFont="1" applyBorder="1"/>
    <xf numFmtId="4" fontId="7" fillId="0" borderId="1" xfId="0" applyNumberFormat="1" applyFont="1" applyFill="1" applyBorder="1" applyAlignment="1">
      <alignment wrapText="1"/>
    </xf>
    <xf numFmtId="4" fontId="6" fillId="6" borderId="7" xfId="0" applyNumberFormat="1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0" borderId="2" xfId="0" applyFont="1" applyBorder="1" applyAlignment="1">
      <alignment wrapText="1"/>
    </xf>
    <xf numFmtId="4" fontId="12" fillId="0" borderId="0" xfId="0" applyNumberFormat="1" applyFont="1"/>
    <xf numFmtId="1" fontId="7" fillId="0" borderId="1" xfId="0" applyNumberFormat="1" applyFont="1" applyBorder="1"/>
    <xf numFmtId="1" fontId="7" fillId="0" borderId="0" xfId="0" applyNumberFormat="1" applyFont="1" applyBorder="1"/>
    <xf numFmtId="4" fontId="7" fillId="2" borderId="5" xfId="0" applyNumberFormat="1" applyFont="1" applyFill="1" applyBorder="1"/>
    <xf numFmtId="0" fontId="6" fillId="3" borderId="0" xfId="0" applyFont="1" applyFill="1" applyBorder="1" applyAlignment="1">
      <alignment horizontal="center"/>
    </xf>
    <xf numFmtId="0" fontId="7" fillId="0" borderId="9" xfId="0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7" fillId="0" borderId="5" xfId="0" applyFont="1" applyBorder="1" applyAlignment="1">
      <alignment horizontal="center" wrapText="1"/>
    </xf>
    <xf numFmtId="4" fontId="12" fillId="0" borderId="1" xfId="0" applyNumberFormat="1" applyFont="1" applyBorder="1"/>
    <xf numFmtId="4" fontId="7" fillId="0" borderId="1" xfId="0" applyNumberFormat="1" applyFont="1" applyBorder="1" applyAlignment="1"/>
    <xf numFmtId="4" fontId="7" fillId="7" borderId="1" xfId="0" applyNumberFormat="1" applyFont="1" applyFill="1" applyBorder="1" applyAlignment="1"/>
    <xf numFmtId="4" fontId="7" fillId="0" borderId="0" xfId="0" applyNumberFormat="1" applyFont="1" applyBorder="1" applyAlignment="1"/>
    <xf numFmtId="4" fontId="7" fillId="5" borderId="7" xfId="0" applyNumberFormat="1" applyFont="1" applyFill="1" applyBorder="1"/>
    <xf numFmtId="0" fontId="6" fillId="0" borderId="0" xfId="0" applyFont="1"/>
    <xf numFmtId="0" fontId="16" fillId="0" borderId="0" xfId="0" applyFont="1"/>
    <xf numFmtId="0" fontId="17" fillId="0" borderId="0" xfId="0" applyFont="1"/>
    <xf numFmtId="4" fontId="12" fillId="0" borderId="0" xfId="0" applyNumberFormat="1" applyFont="1" applyAlignment="1">
      <alignment horizontal="center"/>
    </xf>
    <xf numFmtId="4" fontId="7" fillId="0" borderId="0" xfId="0" applyNumberFormat="1" applyFont="1"/>
    <xf numFmtId="2" fontId="18" fillId="0" borderId="0" xfId="0" applyNumberFormat="1" applyFont="1" applyBorder="1" applyAlignment="1">
      <alignment horizontal="center" vertical="center"/>
    </xf>
    <xf numFmtId="2" fontId="19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left" wrapText="1"/>
    </xf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/>
    <xf numFmtId="4" fontId="7" fillId="0" borderId="0" xfId="0" applyNumberFormat="1" applyFont="1" applyAlignment="1">
      <alignment horizontal="center"/>
    </xf>
    <xf numFmtId="0" fontId="6" fillId="3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4" fontId="6" fillId="6" borderId="8" xfId="0" applyNumberFormat="1" applyFont="1" applyFill="1" applyBorder="1" applyAlignment="1">
      <alignment horizontal="center"/>
    </xf>
    <xf numFmtId="4" fontId="6" fillId="6" borderId="16" xfId="0" applyNumberFormat="1" applyFont="1" applyFill="1" applyBorder="1" applyAlignment="1">
      <alignment horizontal="center"/>
    </xf>
    <xf numFmtId="4" fontId="12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7" fillId="0" borderId="6" xfId="0" applyNumberFormat="1" applyFont="1" applyBorder="1" applyAlignment="1">
      <alignment horizontal="left"/>
    </xf>
    <xf numFmtId="4" fontId="6" fillId="0" borderId="2" xfId="0" applyNumberFormat="1" applyFont="1" applyBorder="1" applyAlignment="1">
      <alignment horizontal="left"/>
    </xf>
    <xf numFmtId="4" fontId="6" fillId="0" borderId="3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left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2" fontId="7" fillId="2" borderId="2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4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left" wrapText="1"/>
    </xf>
    <xf numFmtId="2" fontId="7" fillId="2" borderId="3" xfId="0" applyNumberFormat="1" applyFont="1" applyFill="1" applyBorder="1" applyAlignment="1">
      <alignment horizontal="left" wrapText="1"/>
    </xf>
    <xf numFmtId="2" fontId="7" fillId="2" borderId="4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7" fillId="0" borderId="4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6" fillId="5" borderId="11" xfId="0" applyNumberFormat="1" applyFont="1" applyFill="1" applyBorder="1" applyAlignment="1">
      <alignment horizontal="center"/>
    </xf>
    <xf numFmtId="2" fontId="6" fillId="5" borderId="12" xfId="0" applyNumberFormat="1" applyFont="1" applyFill="1" applyBorder="1" applyAlignment="1">
      <alignment horizontal="center"/>
    </xf>
    <xf numFmtId="0" fontId="3" fillId="0" borderId="0" xfId="0" applyFont="1" applyAlignment="1"/>
    <xf numFmtId="166" fontId="1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87"/>
  <sheetViews>
    <sheetView tabSelected="1" view="pageBreakPreview" topLeftCell="A94" zoomScale="60" zoomScaleNormal="70" workbookViewId="0">
      <selection activeCell="A111" sqref="A111:N111"/>
    </sheetView>
  </sheetViews>
  <sheetFormatPr defaultRowHeight="15" x14ac:dyDescent="0.25"/>
  <cols>
    <col min="1" max="1" width="10.5703125" customWidth="1"/>
    <col min="2" max="2" width="4.85546875" customWidth="1"/>
    <col min="3" max="3" width="5.5703125" customWidth="1"/>
    <col min="4" max="6" width="11.7109375" customWidth="1"/>
    <col min="7" max="7" width="15.140625" customWidth="1"/>
    <col min="8" max="8" width="14.7109375" customWidth="1"/>
    <col min="9" max="9" width="11.7109375" customWidth="1"/>
    <col min="10" max="10" width="18" customWidth="1"/>
    <col min="11" max="11" width="15.7109375" customWidth="1"/>
    <col min="12" max="13" width="11.7109375" customWidth="1"/>
    <col min="14" max="14" width="14.7109375" customWidth="1"/>
    <col min="15" max="15" width="13.42578125" customWidth="1"/>
    <col min="16" max="16" width="14.85546875" customWidth="1"/>
    <col min="17" max="17" width="20" customWidth="1"/>
    <col min="18" max="18" width="12" customWidth="1"/>
    <col min="19" max="19" width="12" bestFit="1" customWidth="1"/>
    <col min="21" max="21" width="12.4257812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42"/>
      <c r="F3" s="22"/>
      <c r="G3" s="22"/>
    </row>
    <row r="4" spans="1:15" ht="40.5" customHeight="1" x14ac:dyDescent="0.25">
      <c r="A4" s="219"/>
      <c r="B4" s="219"/>
      <c r="C4" s="219"/>
      <c r="D4" s="23"/>
      <c r="E4" s="219"/>
      <c r="F4" s="219"/>
      <c r="G4" s="225" t="s">
        <v>96</v>
      </c>
      <c r="H4" s="225"/>
      <c r="I4" s="225"/>
      <c r="J4" s="225"/>
      <c r="K4" s="225"/>
      <c r="L4" s="225"/>
      <c r="M4" s="225"/>
      <c r="N4" s="225"/>
      <c r="O4" s="106">
        <v>0.68710000000000004</v>
      </c>
    </row>
    <row r="5" spans="1:15" ht="15.75" x14ac:dyDescent="0.25">
      <c r="A5" s="1"/>
      <c r="B5" s="1"/>
      <c r="C5" s="1"/>
      <c r="D5" s="2"/>
      <c r="E5" s="1"/>
      <c r="F5" s="1"/>
      <c r="G5" s="2"/>
    </row>
    <row r="6" spans="1:15" x14ac:dyDescent="0.25">
      <c r="A6" s="3"/>
      <c r="B6" s="3"/>
      <c r="C6" s="3"/>
      <c r="D6" s="3"/>
      <c r="E6" s="3"/>
      <c r="F6" s="3"/>
      <c r="G6" s="3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  <c r="N7" s="200"/>
    </row>
    <row r="8" spans="1:15" ht="15.75" x14ac:dyDescent="0.25">
      <c r="A8" s="198" t="s">
        <v>119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  <c r="N8" s="200"/>
    </row>
    <row r="10" spans="1:1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5" ht="17.25" customHeight="1" x14ac:dyDescent="0.25">
      <c r="A12" s="215" t="s">
        <v>57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5" ht="15.75" x14ac:dyDescent="0.25">
      <c r="A14" s="5" t="s">
        <v>120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11.879958999999999</v>
      </c>
      <c r="G17" s="222" t="s">
        <v>1</v>
      </c>
      <c r="H17" s="223"/>
      <c r="I17" s="223"/>
      <c r="J17" s="223"/>
      <c r="K17" s="224"/>
      <c r="L17" s="61">
        <f>M17*$O$4</f>
        <v>0.68710000000000004</v>
      </c>
      <c r="M17" s="77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4.4661500000000007</v>
      </c>
      <c r="G18" s="207" t="s">
        <v>123</v>
      </c>
      <c r="H18" s="208"/>
      <c r="I18" s="208"/>
      <c r="J18" s="208"/>
      <c r="K18" s="209"/>
      <c r="L18" s="61">
        <f t="shared" ref="L18:L41" si="0">M18*$O$4</f>
        <v>0.68710000000000004</v>
      </c>
      <c r="M18" s="77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0.68710000000000004</v>
      </c>
      <c r="M19" s="77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0.68710000000000004</v>
      </c>
      <c r="M20" s="77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0.68710000000000004</v>
      </c>
      <c r="M21" s="77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0.34355000000000002</v>
      </c>
      <c r="M22" s="77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0.68710000000000004</v>
      </c>
      <c r="M23" s="77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0.68710000000000004</v>
      </c>
      <c r="M24" s="77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0.68710000000000004</v>
      </c>
      <c r="M25" s="77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0.68710000000000004</v>
      </c>
      <c r="M26" s="77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0.34355000000000002</v>
      </c>
      <c r="M27" s="77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0.68710000000000004</v>
      </c>
      <c r="M28" s="77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1.3742000000000001</v>
      </c>
      <c r="M29" s="77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0.68710000000000004</v>
      </c>
      <c r="M30" s="77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0.68710000000000004</v>
      </c>
      <c r="M31" s="77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0.68710000000000004</v>
      </c>
      <c r="M32" s="77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3.263725</v>
      </c>
      <c r="M33" s="77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2.4048500000000002</v>
      </c>
      <c r="M34" s="77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2.7484000000000002</v>
      </c>
      <c r="M35" s="77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0.68710000000000004</v>
      </c>
      <c r="M36" s="77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0.68710000000000004</v>
      </c>
      <c r="M37" s="77">
        <v>1</v>
      </c>
    </row>
    <row r="38" spans="1:17" ht="15" customHeight="1" x14ac:dyDescent="0.25">
      <c r="A38" s="95"/>
      <c r="B38" s="96"/>
      <c r="C38" s="96"/>
      <c r="D38" s="96"/>
      <c r="E38" s="97"/>
      <c r="F38" s="21"/>
      <c r="G38" s="183" t="s">
        <v>137</v>
      </c>
      <c r="H38" s="184"/>
      <c r="I38" s="184"/>
      <c r="J38" s="184"/>
      <c r="K38" s="185"/>
      <c r="L38" s="61">
        <f t="shared" si="0"/>
        <v>0.34355000000000002</v>
      </c>
      <c r="M38" s="77">
        <v>0.5</v>
      </c>
    </row>
    <row r="39" spans="1:17" ht="15" customHeight="1" x14ac:dyDescent="0.25">
      <c r="A39" s="95"/>
      <c r="B39" s="96"/>
      <c r="C39" s="96"/>
      <c r="D39" s="96"/>
      <c r="E39" s="97"/>
      <c r="F39" s="21"/>
      <c r="G39" s="183" t="s">
        <v>138</v>
      </c>
      <c r="H39" s="184"/>
      <c r="I39" s="184"/>
      <c r="J39" s="184"/>
      <c r="K39" s="185"/>
      <c r="L39" s="61">
        <f t="shared" si="0"/>
        <v>0.34355000000000002</v>
      </c>
      <c r="M39" s="77">
        <v>0.5</v>
      </c>
    </row>
    <row r="40" spans="1:17" ht="15" customHeight="1" x14ac:dyDescent="0.25">
      <c r="A40" s="95"/>
      <c r="B40" s="96"/>
      <c r="C40" s="96"/>
      <c r="D40" s="96"/>
      <c r="E40" s="97"/>
      <c r="F40" s="21"/>
      <c r="G40" s="183" t="s">
        <v>139</v>
      </c>
      <c r="H40" s="184"/>
      <c r="I40" s="184"/>
      <c r="J40" s="184"/>
      <c r="K40" s="185"/>
      <c r="L40" s="61">
        <f t="shared" si="0"/>
        <v>7.5581000000000005</v>
      </c>
      <c r="M40" s="77">
        <v>11</v>
      </c>
    </row>
    <row r="41" spans="1:17" ht="15" customHeight="1" x14ac:dyDescent="0.25">
      <c r="A41" s="95"/>
      <c r="B41" s="96"/>
      <c r="C41" s="96"/>
      <c r="D41" s="96"/>
      <c r="E41" s="97"/>
      <c r="F41" s="21"/>
      <c r="G41" s="183" t="s">
        <v>140</v>
      </c>
      <c r="H41" s="184"/>
      <c r="I41" s="184"/>
      <c r="J41" s="184"/>
      <c r="K41" s="185"/>
      <c r="L41" s="61">
        <f t="shared" si="0"/>
        <v>1.3742000000000001</v>
      </c>
      <c r="M41" s="77">
        <v>2</v>
      </c>
    </row>
    <row r="42" spans="1:17" ht="15" customHeight="1" x14ac:dyDescent="0.25">
      <c r="A42" s="95"/>
      <c r="B42" s="96"/>
      <c r="C42" s="96"/>
      <c r="D42" s="96"/>
      <c r="E42" s="97"/>
      <c r="F42" s="21"/>
      <c r="G42" s="183"/>
      <c r="H42" s="184"/>
      <c r="I42" s="184"/>
      <c r="J42" s="184"/>
      <c r="K42" s="185"/>
      <c r="L42" s="61"/>
      <c r="M42" s="77"/>
    </row>
    <row r="43" spans="1:17" ht="15" customHeight="1" x14ac:dyDescent="0.25">
      <c r="A43" s="95"/>
      <c r="B43" s="96"/>
      <c r="C43" s="96"/>
      <c r="D43" s="96"/>
      <c r="E43" s="97"/>
      <c r="F43" s="21"/>
      <c r="G43" s="183"/>
      <c r="H43" s="184"/>
      <c r="I43" s="184"/>
      <c r="J43" s="184"/>
      <c r="K43" s="185"/>
      <c r="L43" s="61"/>
      <c r="M43" s="77"/>
      <c r="O43" s="67">
        <f>L44+F44</f>
        <v>46.750284000000008</v>
      </c>
      <c r="P43">
        <f>L44/O4</f>
        <v>44.250000000000014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16.346108999999998</v>
      </c>
      <c r="G44" s="187" t="s">
        <v>2</v>
      </c>
      <c r="H44" s="187"/>
      <c r="I44" s="187"/>
      <c r="J44" s="187"/>
      <c r="K44" s="187"/>
      <c r="L44" s="65">
        <f>SUM(L17:L41)</f>
        <v>30.404175000000009</v>
      </c>
      <c r="M44" s="65">
        <f>SUM(M17:M43)</f>
        <v>44.25</v>
      </c>
      <c r="O44" s="107">
        <f>O43/O4</f>
        <v>68.040000000000006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60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51070.435825647779</v>
      </c>
      <c r="F50" s="19">
        <v>15.18</v>
      </c>
      <c r="G50" s="73">
        <v>9302990.5899999999</v>
      </c>
      <c r="H50" s="74">
        <v>12112493.74</v>
      </c>
      <c r="I50" s="25">
        <v>470</v>
      </c>
      <c r="J50" s="19">
        <f>H50/I50</f>
        <v>25771.263276595746</v>
      </c>
      <c r="K50" s="72">
        <f>H50/17628429.26*100</f>
        <v>68.709999974212096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12112493.74</v>
      </c>
      <c r="I51" s="28"/>
      <c r="J51" s="39">
        <f>J50</f>
        <v>25771.263276595746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856.58466666666675</v>
      </c>
      <c r="H57" s="70">
        <f>14960*O4</f>
        <v>10279.016000000001</v>
      </c>
      <c r="I57" s="25">
        <v>470</v>
      </c>
      <c r="J57" s="19">
        <f>H57/I57</f>
        <v>21.87024680851064</v>
      </c>
      <c r="K57" s="26">
        <f>H57/O4</f>
        <v>14960.000000000002</v>
      </c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2344.7287500000002</v>
      </c>
      <c r="H58" s="70">
        <f>40950*O4</f>
        <v>28136.745000000003</v>
      </c>
      <c r="I58" s="25">
        <v>470</v>
      </c>
      <c r="J58" s="19">
        <f>H58/I58</f>
        <v>59.865414893617029</v>
      </c>
      <c r="K58" s="26">
        <f>H58/O4</f>
        <v>40950</v>
      </c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38415.761000000006</v>
      </c>
      <c r="I59" s="28"/>
      <c r="J59" s="33">
        <f>SUM(J57:J58)</f>
        <v>81.735661702127672</v>
      </c>
      <c r="K59" s="26">
        <f>H59/O4</f>
        <v>55910.000000000007</v>
      </c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364000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>
        <f>U62/S62*K66</f>
        <v>148187.4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51.321100866397863</v>
      </c>
      <c r="G64" s="19">
        <v>6569.73</v>
      </c>
      <c r="H64" s="70">
        <f>490708.45*O4</f>
        <v>337165.77599500003</v>
      </c>
      <c r="I64" s="25">
        <v>470</v>
      </c>
      <c r="J64" s="19">
        <f t="shared" ref="J64:J68" si="1">H64/I64</f>
        <v>717.3739914787235</v>
      </c>
      <c r="K64" s="133">
        <f>H64/$O$4</f>
        <v>490708.45</v>
      </c>
      <c r="L64" s="26"/>
      <c r="M64" s="26"/>
      <c r="N64" s="109"/>
      <c r="U64" s="79">
        <f>U62/S62*K67</f>
        <v>215812.6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483.42813636877764</v>
      </c>
      <c r="G65" s="19">
        <v>1768.22</v>
      </c>
      <c r="H65" s="70">
        <f>1244079.9*O4</f>
        <v>854807.29929</v>
      </c>
      <c r="I65" s="25">
        <v>470</v>
      </c>
      <c r="J65" s="19">
        <f t="shared" si="1"/>
        <v>1818.7389346595744</v>
      </c>
      <c r="K65" s="133">
        <f t="shared" ref="K65:K68" si="2">H65/$O$4</f>
        <v>1244079.8999999999</v>
      </c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101819.56254</v>
      </c>
      <c r="I66" s="25">
        <v>470</v>
      </c>
      <c r="J66" s="19">
        <f t="shared" si="1"/>
        <v>216.63736710638298</v>
      </c>
      <c r="K66" s="133">
        <f t="shared" si="2"/>
        <v>148187.4</v>
      </c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148284.83746000001</v>
      </c>
      <c r="I67" s="25">
        <v>470</v>
      </c>
      <c r="J67" s="27">
        <f t="shared" si="1"/>
        <v>315.49965417021281</v>
      </c>
      <c r="K67" s="133">
        <f t="shared" si="2"/>
        <v>215812.6</v>
      </c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22105.133844</v>
      </c>
      <c r="I68" s="25">
        <v>470</v>
      </c>
      <c r="J68" s="27">
        <f t="shared" si="1"/>
        <v>47.032199668085106</v>
      </c>
      <c r="K68" s="133">
        <f t="shared" si="2"/>
        <v>32171.64</v>
      </c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1464182.6191290002</v>
      </c>
      <c r="I69" s="28"/>
      <c r="J69" s="33">
        <f>SUM(J64:J68)</f>
        <v>3115.2821470829786</v>
      </c>
      <c r="K69" s="133">
        <f>H69/$O$4</f>
        <v>2130960.0045539225</v>
      </c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75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101649.57400000001</v>
      </c>
      <c r="H73" s="25">
        <v>470</v>
      </c>
      <c r="I73" s="84">
        <f>G73/H73</f>
        <v>216.27568936170215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73691.475000000006</v>
      </c>
      <c r="H74" s="25">
        <v>470</v>
      </c>
      <c r="I74" s="84">
        <f t="shared" ref="I74:I78" si="3">G74/H74</f>
        <v>156.79037234042553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7145.84</v>
      </c>
      <c r="H75" s="25">
        <v>470</v>
      </c>
      <c r="I75" s="84">
        <f t="shared" si="3"/>
        <v>15.203914893617021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27484</v>
      </c>
      <c r="H76" s="25">
        <v>470</v>
      </c>
      <c r="I76" s="84">
        <f t="shared" si="3"/>
        <v>58.47659574468085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2061.3000000000002</v>
      </c>
      <c r="H77" s="25">
        <v>470</v>
      </c>
      <c r="I77" s="84">
        <f>G77/H77</f>
        <v>4.3857446808510643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2591.7412000000004</v>
      </c>
      <c r="H78" s="25">
        <v>470</v>
      </c>
      <c r="I78" s="84">
        <f t="shared" si="3"/>
        <v>5.5143429787234055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14526.39336</v>
      </c>
      <c r="H79" s="25">
        <v>470</v>
      </c>
      <c r="I79" s="84">
        <f t="shared" ref="I79" si="4">G79/H79</f>
        <v>30.907219914893616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229150.32355999996</v>
      </c>
      <c r="I80" s="85">
        <f>SUM(I73:I79)</f>
        <v>487.55387991489368</v>
      </c>
      <c r="J80" s="107">
        <f>G80/O4</f>
        <v>333503.59999999992</v>
      </c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75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19112.373600000003</v>
      </c>
      <c r="H84" s="25">
        <v>470</v>
      </c>
      <c r="I84" s="87">
        <f>G84/H84</f>
        <v>40.66462468085107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24438.772800000002</v>
      </c>
      <c r="H85" s="25">
        <v>470</v>
      </c>
      <c r="I85" s="87">
        <f t="shared" ref="I85:I91" si="5">G85/H85</f>
        <v>51.997388936170218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87246.583800000008</v>
      </c>
      <c r="H86" s="25">
        <v>470</v>
      </c>
      <c r="I86" s="87">
        <f t="shared" si="5"/>
        <v>185.63102936170213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168772.64784000002</v>
      </c>
      <c r="H87" s="25">
        <v>470</v>
      </c>
      <c r="I87" s="87">
        <f t="shared" si="5"/>
        <v>359.0907400851064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58156.144</v>
      </c>
      <c r="H88" s="25">
        <v>470</v>
      </c>
      <c r="I88" s="87">
        <f t="shared" si="5"/>
        <v>123.73647659574468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4809.7000000000007</v>
      </c>
      <c r="H89" s="25">
        <v>470</v>
      </c>
      <c r="I89" s="87">
        <f t="shared" ref="I89" si="6">G89/H89</f>
        <v>10.233404255319151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2036.5644000000002</v>
      </c>
      <c r="H90" s="25">
        <v>470</v>
      </c>
      <c r="I90" s="87">
        <f>G90/H90</f>
        <v>4.3331157446808515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5805.9950000000008</v>
      </c>
      <c r="H91" s="25">
        <v>470</v>
      </c>
      <c r="I91" s="87">
        <f t="shared" si="5"/>
        <v>12.353180851063831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370378.78144000005</v>
      </c>
      <c r="H92" s="26"/>
      <c r="I92" s="85">
        <f>SUM(I84:I91)</f>
        <v>788.03996051063825</v>
      </c>
      <c r="J92" s="26">
        <f>G92/O4</f>
        <v>539046.40000000002</v>
      </c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4775.3450000000003</v>
      </c>
      <c r="G96" s="25">
        <v>470</v>
      </c>
      <c r="H96" s="227">
        <f t="shared" ref="H96" si="7">F96/G96</f>
        <v>10.160308510638298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4775.3450000000003</v>
      </c>
      <c r="G97" s="26"/>
      <c r="H97" s="228">
        <f>SUM(H96:H96)</f>
        <v>10.160308510638298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3298.0800000000004</v>
      </c>
      <c r="G101" s="25">
        <v>470</v>
      </c>
      <c r="H101" s="87">
        <f t="shared" ref="H101:H102" si="8">F101/G101</f>
        <v>7.0171914893617027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18457.065717000001</v>
      </c>
      <c r="G102" s="25">
        <v>470</v>
      </c>
      <c r="H102" s="87">
        <f t="shared" si="8"/>
        <v>39.270352589361707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6871</v>
      </c>
      <c r="G103" s="25">
        <v>470</v>
      </c>
      <c r="H103" s="87">
        <f t="shared" ref="H103" si="9">F103/G103</f>
        <v>14.619148936170212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28626.145717000003</v>
      </c>
      <c r="G104" s="26"/>
      <c r="H104" s="30">
        <f>SUM(H101:H103)</f>
        <v>60.906693014893619</v>
      </c>
      <c r="I104" s="26">
        <f>F104/O4</f>
        <v>41662.270000000004</v>
      </c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103065</v>
      </c>
      <c r="G108" s="25">
        <v>470</v>
      </c>
      <c r="H108" s="227">
        <f>F108/G108</f>
        <v>219.28723404255319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103065</v>
      </c>
      <c r="G109" s="26"/>
      <c r="H109" s="228">
        <f>SUM(H108:H108)</f>
        <v>219.28723404255319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3091.9500000000003</v>
      </c>
      <c r="G113" s="25">
        <v>470</v>
      </c>
      <c r="H113" s="87">
        <f t="shared" ref="H113:H115" si="10">F113/G113</f>
        <v>6.578617021276596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42222.295000000006</v>
      </c>
      <c r="G114" s="25">
        <v>470</v>
      </c>
      <c r="H114" s="87">
        <f t="shared" ref="H114" si="11">F114/G114</f>
        <v>89.834670212765971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6871</v>
      </c>
      <c r="G115" s="25">
        <v>470</v>
      </c>
      <c r="H115" s="87">
        <f t="shared" si="10"/>
        <v>14.619148936170212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10306.5</v>
      </c>
      <c r="G116" s="25">
        <v>470</v>
      </c>
      <c r="H116" s="87">
        <f t="shared" ref="H116" si="12">F116/G116</f>
        <v>21.928723404255319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62491.745000000003</v>
      </c>
      <c r="G117" s="26"/>
      <c r="H117" s="30">
        <f>SUM(H113:H116)</f>
        <v>132.9611595744681</v>
      </c>
      <c r="I117" s="26">
        <f>F117/O4</f>
        <v>90950</v>
      </c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60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24567.944298245617</v>
      </c>
      <c r="F122" s="19">
        <v>30.4</v>
      </c>
      <c r="G122" s="70">
        <v>8962386.0800000001</v>
      </c>
      <c r="H122" s="19">
        <v>11669026.68</v>
      </c>
      <c r="I122" s="25">
        <v>470</v>
      </c>
      <c r="J122" s="19">
        <f>H122/I122</f>
        <v>24827.71634042553</v>
      </c>
      <c r="K122" s="72">
        <f>H122/16983010.74*100</f>
        <v>68.710000003214972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13">F123/G123*H123</f>
        <v>#DIV/0!</v>
      </c>
      <c r="J123" s="19">
        <f t="shared" ref="J123:J144" si="14">E123*F123*12*1.302</f>
        <v>1116552.28608</v>
      </c>
      <c r="K123" s="35" t="s">
        <v>26</v>
      </c>
      <c r="L123" s="64"/>
      <c r="M123" s="64"/>
      <c r="N123" s="117" t="e">
        <f t="shared" ref="N123:N147" si="15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13"/>
        <v>#DIV/0!</v>
      </c>
      <c r="J124" s="19">
        <f t="shared" si="14"/>
        <v>149115.45600000001</v>
      </c>
      <c r="K124" s="20">
        <f>H124/11277167.39*100</f>
        <v>0</v>
      </c>
      <c r="L124" s="20"/>
      <c r="M124" s="20"/>
      <c r="N124" s="19" t="e">
        <f t="shared" si="15"/>
        <v>#DIV/0!</v>
      </c>
    </row>
    <row r="125" spans="1:17" s="79" customFormat="1" ht="15" hidden="1" customHeight="1" x14ac:dyDescent="0.25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13"/>
        <v>#DIV/0!</v>
      </c>
      <c r="J125" s="19">
        <f t="shared" si="14"/>
        <v>180613.44</v>
      </c>
      <c r="K125" s="15"/>
      <c r="L125" s="15"/>
      <c r="M125" s="15"/>
      <c r="N125" s="19" t="e">
        <f t="shared" si="15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13"/>
        <v>#DIV/0!</v>
      </c>
      <c r="J126" s="19">
        <f t="shared" si="14"/>
        <v>74557.728000000003</v>
      </c>
      <c r="K126" s="15"/>
      <c r="L126" s="15"/>
      <c r="M126" s="15"/>
      <c r="N126" s="19" t="e">
        <f t="shared" si="15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13"/>
        <v>#DIV/0!</v>
      </c>
      <c r="J127" s="19">
        <f t="shared" si="14"/>
        <v>149115.45600000001</v>
      </c>
      <c r="K127" s="19"/>
      <c r="L127" s="19"/>
      <c r="M127" s="19"/>
      <c r="N127" s="19" t="e">
        <f t="shared" si="15"/>
        <v>#DIV/0!</v>
      </c>
    </row>
    <row r="128" spans="1:17" s="79" customFormat="1" ht="14.25" hidden="1" customHeight="1" x14ac:dyDescent="0.25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13"/>
        <v>#DIV/0!</v>
      </c>
      <c r="J128" s="19">
        <f t="shared" si="14"/>
        <v>149115.45600000001</v>
      </c>
      <c r="K128" s="26"/>
      <c r="L128" s="26"/>
      <c r="M128" s="26"/>
      <c r="N128" s="19" t="e">
        <f t="shared" si="15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13"/>
        <v>#DIV/0!</v>
      </c>
      <c r="J129" s="19">
        <f t="shared" si="14"/>
        <v>0</v>
      </c>
      <c r="K129" s="26"/>
      <c r="L129" s="26"/>
      <c r="M129" s="26"/>
      <c r="N129" s="19" t="e">
        <f t="shared" si="15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13"/>
        <v>#DIV/0!</v>
      </c>
      <c r="J130" s="19">
        <f t="shared" si="14"/>
        <v>37278.864000000001</v>
      </c>
      <c r="K130" s="26"/>
      <c r="L130" s="26"/>
      <c r="M130" s="26"/>
      <c r="N130" s="19" t="e">
        <f t="shared" si="15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13"/>
        <v>#DIV/0!</v>
      </c>
      <c r="J131" s="19">
        <f t="shared" si="14"/>
        <v>0</v>
      </c>
      <c r="K131" s="26"/>
      <c r="L131" s="26"/>
      <c r="M131" s="26"/>
      <c r="N131" s="19" t="e">
        <f t="shared" si="15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13"/>
        <v>#DIV/0!</v>
      </c>
      <c r="J132" s="19">
        <f t="shared" si="14"/>
        <v>74557.728000000003</v>
      </c>
      <c r="K132" s="26"/>
      <c r="L132" s="26"/>
      <c r="M132" s="26"/>
      <c r="N132" s="19" t="e">
        <f t="shared" si="15"/>
        <v>#DIV/0!</v>
      </c>
    </row>
    <row r="133" spans="1:14" s="79" customFormat="1" ht="15.75" hidden="1" customHeight="1" x14ac:dyDescent="0.25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13"/>
        <v>#DIV/0!</v>
      </c>
      <c r="J133" s="19">
        <f t="shared" si="14"/>
        <v>149115.45600000001</v>
      </c>
      <c r="K133" s="26"/>
      <c r="L133" s="26"/>
      <c r="M133" s="26"/>
      <c r="N133" s="19" t="e">
        <f t="shared" si="15"/>
        <v>#DIV/0!</v>
      </c>
    </row>
    <row r="134" spans="1:14" s="79" customFormat="1" ht="15" hidden="1" customHeight="1" x14ac:dyDescent="0.25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13"/>
        <v>#DIV/0!</v>
      </c>
      <c r="J134" s="19">
        <f t="shared" si="14"/>
        <v>149115.45600000001</v>
      </c>
      <c r="K134" s="26"/>
      <c r="L134" s="26"/>
      <c r="M134" s="26"/>
      <c r="N134" s="19" t="e">
        <f t="shared" si="15"/>
        <v>#DIV/0!</v>
      </c>
    </row>
    <row r="135" spans="1:14" s="79" customFormat="1" ht="15" hidden="1" customHeight="1" thickBo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13"/>
        <v>#DIV/0!</v>
      </c>
      <c r="J135" s="19">
        <f t="shared" si="14"/>
        <v>820135.00800000003</v>
      </c>
      <c r="K135" s="26"/>
      <c r="L135" s="26"/>
      <c r="M135" s="26"/>
      <c r="N135" s="19" t="e">
        <f t="shared" si="15"/>
        <v>#DIV/0!</v>
      </c>
    </row>
    <row r="136" spans="1:14" s="79" customFormat="1" ht="15" hidden="1" customHeight="1" x14ac:dyDescent="0.25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13"/>
        <v>#DIV/0!</v>
      </c>
      <c r="J136" s="19">
        <f t="shared" si="14"/>
        <v>149115.45600000001</v>
      </c>
      <c r="K136" s="26"/>
      <c r="L136" s="26"/>
      <c r="M136" s="26"/>
      <c r="N136" s="19" t="e">
        <f t="shared" si="15"/>
        <v>#DIV/0!</v>
      </c>
    </row>
    <row r="137" spans="1:14" s="79" customFormat="1" ht="15" hidden="1" customHeight="1" x14ac:dyDescent="0.25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13"/>
        <v>#DIV/0!</v>
      </c>
      <c r="J137" s="19">
        <f t="shared" si="14"/>
        <v>74557.728000000003</v>
      </c>
      <c r="K137" s="26"/>
      <c r="L137" s="26"/>
      <c r="M137" s="26"/>
      <c r="N137" s="19" t="e">
        <f t="shared" si="15"/>
        <v>#DIV/0!</v>
      </c>
    </row>
    <row r="138" spans="1:14" s="79" customFormat="1" ht="15" hidden="1" customHeight="1" x14ac:dyDescent="0.25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13"/>
        <v>#DIV/0!</v>
      </c>
      <c r="J138" s="19">
        <f t="shared" si="14"/>
        <v>74557.728000000003</v>
      </c>
      <c r="K138" s="26"/>
      <c r="L138" s="26"/>
      <c r="M138" s="26"/>
      <c r="N138" s="19" t="e">
        <f t="shared" si="15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13"/>
        <v>#DIV/0!</v>
      </c>
      <c r="J139" s="19">
        <f t="shared" si="14"/>
        <v>149115.45600000001</v>
      </c>
      <c r="K139" s="26"/>
      <c r="L139" s="26"/>
      <c r="M139" s="26"/>
      <c r="N139" s="19" t="e">
        <f t="shared" si="15"/>
        <v>#DIV/0!</v>
      </c>
    </row>
    <row r="140" spans="1:14" s="79" customFormat="1" ht="15.75" hidden="1" customHeight="1" x14ac:dyDescent="0.25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13"/>
        <v>#DIV/0!</v>
      </c>
      <c r="J140" s="19">
        <f t="shared" si="14"/>
        <v>596461.82400000002</v>
      </c>
      <c r="K140" s="26"/>
      <c r="L140" s="26"/>
      <c r="M140" s="26"/>
      <c r="N140" s="19" t="e">
        <f t="shared" si="15"/>
        <v>#DIV/0!</v>
      </c>
    </row>
    <row r="141" spans="1:14" s="79" customFormat="1" ht="16.5" hidden="1" customHeight="1" x14ac:dyDescent="0.25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13"/>
        <v>#DIV/0!</v>
      </c>
      <c r="J141" s="19">
        <f t="shared" si="14"/>
        <v>149115.45600000001</v>
      </c>
      <c r="K141" s="26"/>
      <c r="L141" s="26"/>
      <c r="M141" s="26"/>
      <c r="N141" s="19" t="e">
        <f t="shared" si="15"/>
        <v>#DIV/0!</v>
      </c>
    </row>
    <row r="142" spans="1:14" s="79" customFormat="1" ht="16.5" hidden="1" customHeight="1" thickBo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13"/>
        <v>#DIV/0!</v>
      </c>
      <c r="J142" s="19">
        <f t="shared" si="14"/>
        <v>260952.04800000001</v>
      </c>
      <c r="K142" s="26"/>
      <c r="L142" s="26"/>
      <c r="M142" s="26"/>
      <c r="N142" s="19" t="e">
        <f t="shared" si="15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13"/>
        <v>#DIV/0!</v>
      </c>
      <c r="J143" s="19">
        <f t="shared" si="14"/>
        <v>0</v>
      </c>
      <c r="K143" s="26"/>
      <c r="L143" s="26"/>
      <c r="M143" s="26"/>
      <c r="N143" s="19" t="e">
        <f t="shared" si="15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13"/>
        <v>#DIV/0!</v>
      </c>
      <c r="J144" s="19">
        <f t="shared" si="14"/>
        <v>74557.728000000003</v>
      </c>
      <c r="K144" s="26"/>
      <c r="L144" s="26"/>
      <c r="M144" s="26"/>
      <c r="N144" s="19" t="e">
        <f t="shared" si="15"/>
        <v>#DIV/0!</v>
      </c>
    </row>
    <row r="145" spans="1:17" s="79" customFormat="1" ht="15" hidden="1" customHeight="1" x14ac:dyDescent="0.25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15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15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15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11669026.68</v>
      </c>
      <c r="I148" s="28"/>
      <c r="J148" s="39">
        <f>J122</f>
        <v>24827.71634042553</v>
      </c>
      <c r="K148" s="26"/>
      <c r="L148" s="26"/>
      <c r="M148" s="26"/>
      <c r="N148" s="51"/>
      <c r="Q148" s="79">
        <f>H148/48.5%</f>
        <v>24059848.824742269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358319.28321000002</v>
      </c>
      <c r="G155" s="25">
        <v>470</v>
      </c>
      <c r="H155" s="87">
        <f t="shared" ref="H155" si="16">F155/G155</f>
        <v>762.3814536382979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358319.28321000002</v>
      </c>
      <c r="G156" s="26"/>
      <c r="H156" s="30">
        <f>SUM(H155:H155)</f>
        <v>762.3814536382979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45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211125.90410000001</v>
      </c>
      <c r="I159" s="25">
        <v>470</v>
      </c>
      <c r="J159" s="91">
        <f>H159/I159</f>
        <v>449.20405127659575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40967.650400000006</v>
      </c>
      <c r="I160" s="25">
        <v>470</v>
      </c>
      <c r="J160" s="91">
        <f t="shared" ref="J160" si="17">H160/I160</f>
        <v>87.165213617021294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252093.55450000003</v>
      </c>
      <c r="I161" s="93"/>
      <c r="J161" s="85">
        <f>SUM(J159:J160)</f>
        <v>536.36926489361701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45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</f>
        <v>137385.64500000002</v>
      </c>
      <c r="I164" s="25">
        <v>470</v>
      </c>
      <c r="J164" s="91">
        <f>H164/I164</f>
        <v>292.30988297872346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68761.532500000001</v>
      </c>
      <c r="I165" s="25">
        <v>470</v>
      </c>
      <c r="J165" s="91">
        <f t="shared" ref="J165" si="18">H165/I165</f>
        <v>146.30113297872342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206147.17750000002</v>
      </c>
      <c r="I166" s="93"/>
      <c r="J166" s="85">
        <f>SUM(J164:J165)</f>
        <v>438.61101595744685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25771.263276595746</v>
      </c>
      <c r="B172" s="19"/>
      <c r="C172" s="19"/>
      <c r="D172" s="19">
        <f>J59</f>
        <v>81.735661702127672</v>
      </c>
      <c r="E172" s="19">
        <f>J69</f>
        <v>3115.2821470829786</v>
      </c>
      <c r="F172" s="19">
        <f>I80</f>
        <v>487.55387991489368</v>
      </c>
      <c r="G172" s="19">
        <f>I92</f>
        <v>788.03996051063825</v>
      </c>
      <c r="H172" s="19">
        <f>H97</f>
        <v>10.160308510638298</v>
      </c>
      <c r="I172" s="19">
        <f>H117</f>
        <v>132.9611595744681</v>
      </c>
      <c r="J172" s="19">
        <f>H104</f>
        <v>60.906693014893619</v>
      </c>
      <c r="K172" s="124">
        <f>J148</f>
        <v>24827.71634042553</v>
      </c>
      <c r="L172" s="125">
        <f>J161+J166+H156</f>
        <v>1737.3617344893619</v>
      </c>
      <c r="M172" s="125">
        <f>H109</f>
        <v>219.28723404255319</v>
      </c>
      <c r="N172" s="126">
        <f>SUM(D172:M172)+A172</f>
        <v>57232.268395863823</v>
      </c>
      <c r="O172" s="127">
        <f>J166+J161+H156+J148+H117+H104+H97+I92+I80+J69+J59+J51+H109</f>
        <v>57232.26839586383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N172*470</f>
        <v>26899166.146055996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26899166.156055994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3" s="79" customFormat="1" ht="9.75" customHeight="1" x14ac:dyDescent="0.25"/>
    <row r="178" spans="1:13" s="79" customFormat="1" ht="15.75" x14ac:dyDescent="0.25">
      <c r="A178" s="130" t="s">
        <v>28</v>
      </c>
      <c r="B178" s="53"/>
    </row>
    <row r="179" spans="1:13" s="79" customFormat="1" ht="15.75" x14ac:dyDescent="0.25">
      <c r="A179" s="130" t="s">
        <v>103</v>
      </c>
      <c r="B179" s="53"/>
    </row>
    <row r="180" spans="1:13" s="79" customFormat="1" ht="15.75" x14ac:dyDescent="0.25">
      <c r="A180" s="130" t="s">
        <v>62</v>
      </c>
      <c r="C180" s="53"/>
    </row>
    <row r="181" spans="1:13" s="79" customFormat="1" ht="15.75" x14ac:dyDescent="0.25">
      <c r="A181" s="131"/>
      <c r="B181" s="131"/>
      <c r="C181" s="131"/>
      <c r="J181" s="79">
        <f>J174/O4</f>
        <v>39148837.368732341</v>
      </c>
    </row>
    <row r="182" spans="1:13" s="79" customFormat="1" x14ac:dyDescent="0.25"/>
    <row r="183" spans="1:13" s="79" customFormat="1" x14ac:dyDescent="0.25">
      <c r="G183" s="114"/>
      <c r="J183" s="26"/>
      <c r="K183" s="165"/>
      <c r="L183" s="165"/>
      <c r="M183" s="132"/>
    </row>
    <row r="184" spans="1:13" s="79" customFormat="1" x14ac:dyDescent="0.25"/>
    <row r="185" spans="1:13" s="79" customFormat="1" x14ac:dyDescent="0.25"/>
    <row r="186" spans="1:13" x14ac:dyDescent="0.25">
      <c r="I186">
        <f>K187-J181</f>
        <v>-1999462.3687323406</v>
      </c>
    </row>
    <row r="187" spans="1:13" x14ac:dyDescent="0.25">
      <c r="K187">
        <v>37149375</v>
      </c>
    </row>
  </sheetData>
  <mergeCells count="176">
    <mergeCell ref="A116:D116"/>
    <mergeCell ref="A90:D90"/>
    <mergeCell ref="A102:D102"/>
    <mergeCell ref="A95:D95"/>
    <mergeCell ref="A87:D87"/>
    <mergeCell ref="A88:D88"/>
    <mergeCell ref="A91:D91"/>
    <mergeCell ref="A100:D100"/>
    <mergeCell ref="A99:N99"/>
    <mergeCell ref="A96:D96"/>
    <mergeCell ref="A97:D97"/>
    <mergeCell ref="A101:D101"/>
    <mergeCell ref="A104:D104"/>
    <mergeCell ref="H95:I95"/>
    <mergeCell ref="H96:I96"/>
    <mergeCell ref="H97:I97"/>
    <mergeCell ref="A103:D103"/>
    <mergeCell ref="A106:N106"/>
    <mergeCell ref="A107:D107"/>
    <mergeCell ref="H107:I107"/>
    <mergeCell ref="A108:D108"/>
    <mergeCell ref="H108:I108"/>
    <mergeCell ref="A109:D109"/>
    <mergeCell ref="H109:I109"/>
    <mergeCell ref="A2:D2"/>
    <mergeCell ref="E2:G2"/>
    <mergeCell ref="A3:B3"/>
    <mergeCell ref="A4:C4"/>
    <mergeCell ref="E4:F4"/>
    <mergeCell ref="A28:E28"/>
    <mergeCell ref="G28:K28"/>
    <mergeCell ref="A29:E29"/>
    <mergeCell ref="G29:K29"/>
    <mergeCell ref="G24:K24"/>
    <mergeCell ref="A25:E25"/>
    <mergeCell ref="G25:K25"/>
    <mergeCell ref="A26:E26"/>
    <mergeCell ref="G26:K26"/>
    <mergeCell ref="A27:E27"/>
    <mergeCell ref="G27:K27"/>
    <mergeCell ref="A16:E16"/>
    <mergeCell ref="G16:K16"/>
    <mergeCell ref="A17:E17"/>
    <mergeCell ref="G17:K17"/>
    <mergeCell ref="A18:E18"/>
    <mergeCell ref="A24:E24"/>
    <mergeCell ref="G4:N4"/>
    <mergeCell ref="A7:N7"/>
    <mergeCell ref="A50:D50"/>
    <mergeCell ref="A32:E32"/>
    <mergeCell ref="A12:N12"/>
    <mergeCell ref="A21:E21"/>
    <mergeCell ref="G21:K21"/>
    <mergeCell ref="A22:E22"/>
    <mergeCell ref="G22:K22"/>
    <mergeCell ref="A23:E23"/>
    <mergeCell ref="G23:K23"/>
    <mergeCell ref="A20:E20"/>
    <mergeCell ref="G34:K34"/>
    <mergeCell ref="G35:K35"/>
    <mergeCell ref="G36:K36"/>
    <mergeCell ref="G37:K37"/>
    <mergeCell ref="G38:K38"/>
    <mergeCell ref="G39:K39"/>
    <mergeCell ref="A8:N8"/>
    <mergeCell ref="G32:K32"/>
    <mergeCell ref="G33:K33"/>
    <mergeCell ref="G31:K31"/>
    <mergeCell ref="G30:K30"/>
    <mergeCell ref="G20:K20"/>
    <mergeCell ref="G18:K18"/>
    <mergeCell ref="A19:E19"/>
    <mergeCell ref="G19:K19"/>
    <mergeCell ref="A31:E31"/>
    <mergeCell ref="A78:D78"/>
    <mergeCell ref="A94:N94"/>
    <mergeCell ref="A56:D56"/>
    <mergeCell ref="A57:D57"/>
    <mergeCell ref="A48:D48"/>
    <mergeCell ref="A71:N71"/>
    <mergeCell ref="A84:D84"/>
    <mergeCell ref="A64:D64"/>
    <mergeCell ref="A82:N82"/>
    <mergeCell ref="A77:D77"/>
    <mergeCell ref="A83:D83"/>
    <mergeCell ref="A92:D92"/>
    <mergeCell ref="A61:N61"/>
    <mergeCell ref="A59:D59"/>
    <mergeCell ref="A79:D79"/>
    <mergeCell ref="A89:D89"/>
    <mergeCell ref="A72:D72"/>
    <mergeCell ref="A76:D76"/>
    <mergeCell ref="A85:D85"/>
    <mergeCell ref="A86:D86"/>
    <mergeCell ref="A68:D68"/>
    <mergeCell ref="A65:D65"/>
    <mergeCell ref="A66:D66"/>
    <mergeCell ref="A73:D73"/>
    <mergeCell ref="A74:D74"/>
    <mergeCell ref="A75:D75"/>
    <mergeCell ref="A30:E30"/>
    <mergeCell ref="A33:E33"/>
    <mergeCell ref="A34:E34"/>
    <mergeCell ref="A35:E35"/>
    <mergeCell ref="A36:E36"/>
    <mergeCell ref="A37:E37"/>
    <mergeCell ref="A67:D67"/>
    <mergeCell ref="A69:D69"/>
    <mergeCell ref="A62:D62"/>
    <mergeCell ref="A63:D63"/>
    <mergeCell ref="A58:D58"/>
    <mergeCell ref="A54:N54"/>
    <mergeCell ref="A55:D55"/>
    <mergeCell ref="A51:D51"/>
    <mergeCell ref="G40:K40"/>
    <mergeCell ref="G41:K41"/>
    <mergeCell ref="G42:K42"/>
    <mergeCell ref="G43:K43"/>
    <mergeCell ref="A44:E44"/>
    <mergeCell ref="G44:K44"/>
    <mergeCell ref="A47:N47"/>
    <mergeCell ref="A49:D49"/>
    <mergeCell ref="K183:L183"/>
    <mergeCell ref="A165:D165"/>
    <mergeCell ref="A166:G166"/>
    <mergeCell ref="A168:N168"/>
    <mergeCell ref="A160:D160"/>
    <mergeCell ref="A127:D127"/>
    <mergeCell ref="A128:D128"/>
    <mergeCell ref="A129:D129"/>
    <mergeCell ref="A163:D163"/>
    <mergeCell ref="A164:D164"/>
    <mergeCell ref="A170:C170"/>
    <mergeCell ref="A139:D139"/>
    <mergeCell ref="A140:D140"/>
    <mergeCell ref="A147:D147"/>
    <mergeCell ref="A148:D148"/>
    <mergeCell ref="A141:D141"/>
    <mergeCell ref="A142:D142"/>
    <mergeCell ref="A143:D143"/>
    <mergeCell ref="A144:D144"/>
    <mergeCell ref="A145:D145"/>
    <mergeCell ref="A146:D146"/>
    <mergeCell ref="O175:P175"/>
    <mergeCell ref="A111:N111"/>
    <mergeCell ref="A112:D112"/>
    <mergeCell ref="A113:D113"/>
    <mergeCell ref="A117:D117"/>
    <mergeCell ref="A115:D115"/>
    <mergeCell ref="A130:D130"/>
    <mergeCell ref="A131:D131"/>
    <mergeCell ref="A132:D132"/>
    <mergeCell ref="A120:D120"/>
    <mergeCell ref="A121:D121"/>
    <mergeCell ref="A122:D122"/>
    <mergeCell ref="A123:D123"/>
    <mergeCell ref="A151:K151"/>
    <mergeCell ref="A136:D136"/>
    <mergeCell ref="A137:D137"/>
    <mergeCell ref="A138:D138"/>
    <mergeCell ref="A154:D154"/>
    <mergeCell ref="A155:D155"/>
    <mergeCell ref="A156:D156"/>
    <mergeCell ref="A125:D125"/>
    <mergeCell ref="D170:M170"/>
    <mergeCell ref="J174:K174"/>
    <mergeCell ref="A114:D114"/>
    <mergeCell ref="A119:N119"/>
    <mergeCell ref="A133:D133"/>
    <mergeCell ref="A134:D134"/>
    <mergeCell ref="A135:D135"/>
    <mergeCell ref="A124:D124"/>
    <mergeCell ref="A126:D126"/>
    <mergeCell ref="A158:D158"/>
    <mergeCell ref="A159:D159"/>
    <mergeCell ref="A161:G161"/>
  </mergeCells>
  <pageMargins left="0.70866141732283472" right="0.70866141732283472" top="0.55118110236220474" bottom="0.59055118110236227" header="0.15748031496062992" footer="0.15748031496062992"/>
  <pageSetup paperSize="9" scale="55" orientation="portrait" horizontalDpi="180" verticalDpi="180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82"/>
  <sheetViews>
    <sheetView view="pageBreakPreview" topLeftCell="A163" zoomScale="60" zoomScaleNormal="60" workbookViewId="0">
      <selection activeCell="A9" sqref="A9"/>
    </sheetView>
  </sheetViews>
  <sheetFormatPr defaultRowHeight="15" x14ac:dyDescent="0.25"/>
  <cols>
    <col min="1" max="1" width="10.7109375" customWidth="1"/>
    <col min="2" max="3" width="5.7109375" customWidth="1"/>
    <col min="4" max="4" width="12.7109375" customWidth="1"/>
    <col min="5" max="5" width="13" customWidth="1"/>
    <col min="6" max="6" width="14.85546875" customWidth="1"/>
    <col min="7" max="7" width="13" customWidth="1"/>
    <col min="8" max="8" width="15.140625" style="79" customWidth="1"/>
    <col min="9" max="9" width="12.28515625" style="79" customWidth="1"/>
    <col min="10" max="10" width="12.5703125" style="79" customWidth="1"/>
    <col min="11" max="11" width="12.140625" customWidth="1"/>
    <col min="12" max="12" width="9.42578125" customWidth="1"/>
    <col min="13" max="13" width="9" customWidth="1"/>
    <col min="14" max="14" width="12" customWidth="1"/>
    <col min="15" max="15" width="14.42578125" customWidth="1"/>
    <col min="16" max="16" width="21.85546875" customWidth="1"/>
    <col min="17" max="17" width="15.710937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54"/>
      <c r="F3" s="22"/>
      <c r="G3" s="22"/>
    </row>
    <row r="4" spans="1:15" ht="27.75" customHeight="1" x14ac:dyDescent="0.25">
      <c r="A4" s="219"/>
      <c r="B4" s="219"/>
      <c r="C4" s="219"/>
      <c r="D4" s="59"/>
      <c r="E4" s="219"/>
      <c r="F4" s="219"/>
      <c r="G4" s="24"/>
      <c r="H4" s="230"/>
      <c r="I4" s="200"/>
      <c r="J4" s="200"/>
      <c r="K4" s="200"/>
      <c r="L4" s="60"/>
      <c r="O4" s="75">
        <v>6.1400000000000003E-2</v>
      </c>
    </row>
    <row r="5" spans="1:15" ht="15.75" x14ac:dyDescent="0.25">
      <c r="A5" s="1"/>
      <c r="B5" s="1"/>
      <c r="C5" s="1"/>
      <c r="D5" s="53"/>
      <c r="E5" s="1"/>
      <c r="F5" s="1"/>
      <c r="G5" s="53"/>
    </row>
    <row r="6" spans="1:15" x14ac:dyDescent="0.25">
      <c r="A6" s="55"/>
      <c r="B6" s="55"/>
      <c r="C6" s="55"/>
      <c r="D6" s="55"/>
      <c r="E6" s="55"/>
      <c r="F6" s="55"/>
      <c r="G6" s="55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</row>
    <row r="8" spans="1:15" ht="15.75" x14ac:dyDescent="0.25">
      <c r="A8" s="198" t="s">
        <v>119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</row>
    <row r="10" spans="1:15" x14ac:dyDescent="0.25">
      <c r="A10" s="8"/>
      <c r="B10" s="8"/>
      <c r="C10" s="8"/>
      <c r="D10" s="8"/>
      <c r="E10" s="8"/>
      <c r="F10" s="8"/>
      <c r="G10" s="8"/>
      <c r="H10" s="26"/>
      <c r="I10" s="26"/>
      <c r="J10" s="26"/>
      <c r="K10" s="8"/>
      <c r="L10" s="8"/>
      <c r="M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53"/>
      <c r="I11" s="53"/>
      <c r="J11" s="53"/>
      <c r="K11" s="4"/>
      <c r="L11" s="4"/>
      <c r="M11" s="4"/>
    </row>
    <row r="12" spans="1:15" ht="17.25" customHeight="1" x14ac:dyDescent="0.25">
      <c r="A12" s="215" t="s">
        <v>63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53"/>
      <c r="I13" s="53"/>
      <c r="J13" s="53"/>
      <c r="K13" s="4"/>
      <c r="L13" s="4"/>
      <c r="M13" s="4"/>
    </row>
    <row r="14" spans="1:15" ht="15.75" x14ac:dyDescent="0.25">
      <c r="A14" s="5" t="s">
        <v>121</v>
      </c>
      <c r="B14" s="4"/>
      <c r="C14" s="4"/>
      <c r="D14" s="4"/>
      <c r="E14" s="4"/>
      <c r="F14" s="4"/>
      <c r="G14" s="4"/>
      <c r="H14" s="53"/>
      <c r="I14" s="53"/>
      <c r="J14" s="53"/>
      <c r="K14" s="4"/>
      <c r="L14" s="4"/>
      <c r="M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53"/>
      <c r="I15" s="53"/>
      <c r="J15" s="53"/>
      <c r="K15" s="4"/>
      <c r="L15" s="4"/>
      <c r="M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1.061606</v>
      </c>
      <c r="G17" s="222" t="s">
        <v>1</v>
      </c>
      <c r="H17" s="223"/>
      <c r="I17" s="223"/>
      <c r="J17" s="223"/>
      <c r="K17" s="224"/>
      <c r="L17" s="61">
        <f>M17*$O$4</f>
        <v>6.1400000000000003E-2</v>
      </c>
      <c r="M17" s="134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0.39910000000000001</v>
      </c>
      <c r="G18" s="207" t="s">
        <v>123</v>
      </c>
      <c r="H18" s="208"/>
      <c r="I18" s="208"/>
      <c r="J18" s="208"/>
      <c r="K18" s="209"/>
      <c r="L18" s="61">
        <f t="shared" ref="L18:L41" si="0">M18*$O$4</f>
        <v>6.1400000000000003E-2</v>
      </c>
      <c r="M18" s="134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6.1400000000000003E-2</v>
      </c>
      <c r="M19" s="134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6.1400000000000003E-2</v>
      </c>
      <c r="M20" s="134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6.1400000000000003E-2</v>
      </c>
      <c r="M21" s="134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3.0700000000000002E-2</v>
      </c>
      <c r="M22" s="134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6.1400000000000003E-2</v>
      </c>
      <c r="M23" s="134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6.1400000000000003E-2</v>
      </c>
      <c r="M24" s="134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6.1400000000000003E-2</v>
      </c>
      <c r="M25" s="134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6.1400000000000003E-2</v>
      </c>
      <c r="M26" s="134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3.0700000000000002E-2</v>
      </c>
      <c r="M27" s="134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6.1400000000000003E-2</v>
      </c>
      <c r="M28" s="134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0.12280000000000001</v>
      </c>
      <c r="M29" s="134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6.1400000000000003E-2</v>
      </c>
      <c r="M30" s="134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6.1400000000000003E-2</v>
      </c>
      <c r="M31" s="134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6.1400000000000003E-2</v>
      </c>
      <c r="M32" s="134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0.29165000000000002</v>
      </c>
      <c r="M33" s="134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0.21490000000000001</v>
      </c>
      <c r="M34" s="134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0.24560000000000001</v>
      </c>
      <c r="M35" s="134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6.1400000000000003E-2</v>
      </c>
      <c r="M36" s="134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6.1400000000000003E-2</v>
      </c>
      <c r="M37" s="134">
        <v>1</v>
      </c>
    </row>
    <row r="38" spans="1:17" ht="15" customHeight="1" x14ac:dyDescent="0.25">
      <c r="A38" s="101"/>
      <c r="B38" s="102"/>
      <c r="C38" s="102"/>
      <c r="D38" s="102"/>
      <c r="E38" s="103"/>
      <c r="F38" s="21"/>
      <c r="G38" s="183" t="s">
        <v>137</v>
      </c>
      <c r="H38" s="184"/>
      <c r="I38" s="184"/>
      <c r="J38" s="184"/>
      <c r="K38" s="185"/>
      <c r="L38" s="61">
        <f t="shared" si="0"/>
        <v>3.0700000000000002E-2</v>
      </c>
      <c r="M38" s="134">
        <v>0.5</v>
      </c>
    </row>
    <row r="39" spans="1:17" ht="15" customHeight="1" x14ac:dyDescent="0.25">
      <c r="A39" s="101"/>
      <c r="B39" s="102"/>
      <c r="C39" s="102"/>
      <c r="D39" s="102"/>
      <c r="E39" s="103"/>
      <c r="F39" s="21"/>
      <c r="G39" s="183" t="s">
        <v>138</v>
      </c>
      <c r="H39" s="184"/>
      <c r="I39" s="184"/>
      <c r="J39" s="184"/>
      <c r="K39" s="185"/>
      <c r="L39" s="61">
        <f t="shared" si="0"/>
        <v>3.0700000000000002E-2</v>
      </c>
      <c r="M39" s="134">
        <v>0.5</v>
      </c>
    </row>
    <row r="40" spans="1:17" ht="15" customHeight="1" x14ac:dyDescent="0.25">
      <c r="A40" s="101"/>
      <c r="B40" s="102"/>
      <c r="C40" s="102"/>
      <c r="D40" s="102"/>
      <c r="E40" s="103"/>
      <c r="F40" s="21"/>
      <c r="G40" s="183" t="s">
        <v>139</v>
      </c>
      <c r="H40" s="184"/>
      <c r="I40" s="184"/>
      <c r="J40" s="184"/>
      <c r="K40" s="185"/>
      <c r="L40" s="61">
        <f t="shared" si="0"/>
        <v>0.6754</v>
      </c>
      <c r="M40" s="134">
        <v>11</v>
      </c>
    </row>
    <row r="41" spans="1:17" ht="15" customHeight="1" x14ac:dyDescent="0.25">
      <c r="A41" s="101"/>
      <c r="B41" s="102"/>
      <c r="C41" s="102"/>
      <c r="D41" s="102"/>
      <c r="E41" s="103"/>
      <c r="F41" s="21"/>
      <c r="G41" s="183" t="s">
        <v>140</v>
      </c>
      <c r="H41" s="184"/>
      <c r="I41" s="184"/>
      <c r="J41" s="184"/>
      <c r="K41" s="185"/>
      <c r="L41" s="61">
        <f t="shared" si="0"/>
        <v>0.12280000000000001</v>
      </c>
      <c r="M41" s="134">
        <v>2</v>
      </c>
    </row>
    <row r="42" spans="1:17" ht="15" customHeight="1" x14ac:dyDescent="0.25">
      <c r="A42" s="101"/>
      <c r="B42" s="102"/>
      <c r="C42" s="102"/>
      <c r="D42" s="102"/>
      <c r="E42" s="103"/>
      <c r="F42" s="21"/>
      <c r="G42" s="183"/>
      <c r="H42" s="184"/>
      <c r="I42" s="184"/>
      <c r="J42" s="184"/>
      <c r="K42" s="185"/>
      <c r="L42" s="61"/>
      <c r="M42" s="134"/>
    </row>
    <row r="43" spans="1:17" ht="15" customHeight="1" x14ac:dyDescent="0.25">
      <c r="A43" s="101"/>
      <c r="B43" s="102"/>
      <c r="C43" s="102"/>
      <c r="D43" s="102"/>
      <c r="E43" s="103"/>
      <c r="F43" s="21"/>
      <c r="G43" s="183"/>
      <c r="H43" s="184"/>
      <c r="I43" s="184"/>
      <c r="J43" s="184"/>
      <c r="K43" s="185"/>
      <c r="L43" s="61"/>
      <c r="M43" s="134"/>
      <c r="O43" s="67">
        <f>L44+F44</f>
        <v>4.1776559999999998</v>
      </c>
      <c r="P43">
        <f>L44/O4</f>
        <v>44.249999999999993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1.4607060000000001</v>
      </c>
      <c r="G44" s="187" t="s">
        <v>2</v>
      </c>
      <c r="H44" s="187"/>
      <c r="I44" s="187"/>
      <c r="J44" s="187"/>
      <c r="K44" s="187"/>
      <c r="L44" s="65">
        <f>SUM(L17:L41)</f>
        <v>2.7169499999999998</v>
      </c>
      <c r="M44" s="135">
        <f>SUM(M17:M43)</f>
        <v>44.25</v>
      </c>
      <c r="O44" s="107">
        <f>O43/O4</f>
        <v>68.039999999999992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75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47450.074771689506</v>
      </c>
      <c r="F50" s="19">
        <v>1.46</v>
      </c>
      <c r="G50" s="73">
        <v>831325.31</v>
      </c>
      <c r="H50" s="74">
        <v>1082385.56</v>
      </c>
      <c r="I50" s="25">
        <v>42</v>
      </c>
      <c r="J50" s="19">
        <f>H50/I50</f>
        <v>25771.084761904764</v>
      </c>
      <c r="K50" s="72">
        <f>H50/17628429.26*100</f>
        <v>6.140000019491243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1082385.56</v>
      </c>
      <c r="I51" s="28"/>
      <c r="J51" s="39">
        <f>J50</f>
        <v>25771.084761904764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76.545333333333346</v>
      </c>
      <c r="H57" s="70">
        <f>14960*O4</f>
        <v>918.5440000000001</v>
      </c>
      <c r="I57" s="25">
        <v>42</v>
      </c>
      <c r="J57" s="19">
        <f>H57/I57</f>
        <v>21.870095238095239</v>
      </c>
      <c r="K57" s="26"/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209.5275</v>
      </c>
      <c r="H58" s="70">
        <f>40950*O4</f>
        <v>2514.33</v>
      </c>
      <c r="I58" s="25">
        <v>42</v>
      </c>
      <c r="J58" s="19">
        <f>H58/I58</f>
        <v>59.864999999999995</v>
      </c>
      <c r="K58" s="26"/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3432.8739999999998</v>
      </c>
      <c r="I59" s="28"/>
      <c r="J59" s="33">
        <f>SUM(J57:J58)</f>
        <v>81.735095238095226</v>
      </c>
      <c r="K59" s="26"/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 t="e">
        <f>U62/S62*K66</f>
        <v>#DIV/0!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4.5861091445158335</v>
      </c>
      <c r="G64" s="19">
        <v>6569.73</v>
      </c>
      <c r="H64" s="70">
        <f>490708.45*O4</f>
        <v>30129.498830000004</v>
      </c>
      <c r="I64" s="25">
        <v>42</v>
      </c>
      <c r="J64" s="19">
        <f t="shared" ref="J64:J68" si="1">H64/I64</f>
        <v>717.36901976190484</v>
      </c>
      <c r="K64" s="133"/>
      <c r="L64" s="26"/>
      <c r="M64" s="26"/>
      <c r="N64" s="109"/>
      <c r="U64" s="79" t="e">
        <f>U62/S62*K67</f>
        <v>#DIV/0!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43.199661727613083</v>
      </c>
      <c r="G65" s="19">
        <v>1768.22</v>
      </c>
      <c r="H65" s="70">
        <f>1244079.9*O4</f>
        <v>76386.505860000005</v>
      </c>
      <c r="I65" s="25">
        <v>42</v>
      </c>
      <c r="J65" s="19">
        <f t="shared" si="1"/>
        <v>1818.7263300000002</v>
      </c>
      <c r="K65" s="133"/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9098.7063600000001</v>
      </c>
      <c r="I66" s="25">
        <v>42</v>
      </c>
      <c r="J66" s="19">
        <f t="shared" si="1"/>
        <v>216.63586571428573</v>
      </c>
      <c r="K66" s="133"/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13250.89364</v>
      </c>
      <c r="I67" s="25">
        <v>42</v>
      </c>
      <c r="J67" s="27">
        <f t="shared" si="1"/>
        <v>315.4974676190476</v>
      </c>
      <c r="K67" s="133"/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1975.338696</v>
      </c>
      <c r="I68" s="25">
        <v>42</v>
      </c>
      <c r="J68" s="27">
        <f t="shared" si="1"/>
        <v>47.031873714285716</v>
      </c>
      <c r="K68" s="133"/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130840.95338599999</v>
      </c>
      <c r="I69" s="28"/>
      <c r="J69" s="33">
        <f>SUM(J64:J68)</f>
        <v>3115.2605568095237</v>
      </c>
      <c r="K69" s="133"/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75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9083.5159999999996</v>
      </c>
      <c r="H73" s="25">
        <v>42</v>
      </c>
      <c r="I73" s="84">
        <f>G73/H73</f>
        <v>216.27419047619046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6585.1500000000005</v>
      </c>
      <c r="H74" s="25">
        <v>42</v>
      </c>
      <c r="I74" s="84">
        <f t="shared" ref="I74:I79" si="2">G74/H74</f>
        <v>156.78928571428574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638.56000000000006</v>
      </c>
      <c r="H75" s="25">
        <v>42</v>
      </c>
      <c r="I75" s="84">
        <f t="shared" si="2"/>
        <v>15.203809523809525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2456</v>
      </c>
      <c r="H76" s="25">
        <v>42</v>
      </c>
      <c r="I76" s="84">
        <f t="shared" si="2"/>
        <v>58.476190476190474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184.20000000000002</v>
      </c>
      <c r="H77" s="25">
        <v>42</v>
      </c>
      <c r="I77" s="84">
        <f>G77/H77</f>
        <v>4.3857142857142861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231.60080000000002</v>
      </c>
      <c r="H78" s="25">
        <v>42</v>
      </c>
      <c r="I78" s="84">
        <f t="shared" si="2"/>
        <v>5.5143047619047625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1298.0942399999999</v>
      </c>
      <c r="H79" s="25">
        <v>42</v>
      </c>
      <c r="I79" s="84">
        <f t="shared" si="2"/>
        <v>30.907005714285713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20477.121040000002</v>
      </c>
      <c r="I80" s="85">
        <f>SUM(I73:I79)</f>
        <v>487.55050095238101</v>
      </c>
      <c r="J80" s="107"/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75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1707.9024000000002</v>
      </c>
      <c r="H84" s="25">
        <v>42</v>
      </c>
      <c r="I84" s="87">
        <f>G84/H84</f>
        <v>40.664342857142863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2183.8751999999999</v>
      </c>
      <c r="H85" s="25">
        <v>42</v>
      </c>
      <c r="I85" s="87">
        <f t="shared" ref="I85:I91" si="3">G85/H85</f>
        <v>51.997028571428572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7796.4492</v>
      </c>
      <c r="H86" s="25">
        <v>42</v>
      </c>
      <c r="I86" s="87">
        <f t="shared" si="3"/>
        <v>185.62974285714284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15081.706560000001</v>
      </c>
      <c r="H87" s="25">
        <v>42</v>
      </c>
      <c r="I87" s="87">
        <f t="shared" si="3"/>
        <v>359.08825142857143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5196.8960000000006</v>
      </c>
      <c r="H88" s="25">
        <v>42</v>
      </c>
      <c r="I88" s="87">
        <f t="shared" si="3"/>
        <v>123.73561904761907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429.8</v>
      </c>
      <c r="H89" s="25">
        <v>42</v>
      </c>
      <c r="I89" s="87">
        <f t="shared" si="3"/>
        <v>10.233333333333334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181.9896</v>
      </c>
      <c r="H90" s="25">
        <v>42</v>
      </c>
      <c r="I90" s="87">
        <f>G90/H90</f>
        <v>4.3330857142857138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518.83000000000004</v>
      </c>
      <c r="H91" s="25">
        <v>42</v>
      </c>
      <c r="I91" s="87">
        <f t="shared" si="3"/>
        <v>12.353095238095239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33097.448960000002</v>
      </c>
      <c r="H92" s="26"/>
      <c r="I92" s="85">
        <f>SUM(I84:I91)</f>
        <v>788.03449904761908</v>
      </c>
      <c r="J92" s="26"/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426.73</v>
      </c>
      <c r="G96" s="25">
        <v>42</v>
      </c>
      <c r="H96" s="227">
        <f t="shared" ref="H96" si="4">F96/G96</f>
        <v>10.160238095238096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426.73</v>
      </c>
      <c r="G97" s="26"/>
      <c r="H97" s="228">
        <f>SUM(H96:H96)</f>
        <v>10.160238095238096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294.72000000000003</v>
      </c>
      <c r="G101" s="25">
        <v>42</v>
      </c>
      <c r="H101" s="87">
        <f t="shared" ref="H101:H103" si="5">F101/G101</f>
        <v>7.0171428571428578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1649.343378</v>
      </c>
      <c r="G102" s="25">
        <v>42</v>
      </c>
      <c r="H102" s="87">
        <f t="shared" si="5"/>
        <v>39.270080428571433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614</v>
      </c>
      <c r="G103" s="25">
        <v>42</v>
      </c>
      <c r="H103" s="87">
        <f t="shared" si="5"/>
        <v>14.619047619047619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2558.0633779999998</v>
      </c>
      <c r="G104" s="26"/>
      <c r="H104" s="30">
        <f>SUM(H101:H103)</f>
        <v>60.906270904761911</v>
      </c>
      <c r="I104" s="26"/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9210</v>
      </c>
      <c r="G108" s="25">
        <v>42</v>
      </c>
      <c r="H108" s="227">
        <f>F108/G108</f>
        <v>219.28571428571428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9210</v>
      </c>
      <c r="G109" s="26"/>
      <c r="H109" s="228">
        <f>SUM(H108:H108)</f>
        <v>219.28571428571428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276.3</v>
      </c>
      <c r="G113" s="25">
        <v>42</v>
      </c>
      <c r="H113" s="87">
        <f t="shared" ref="H113:H116" si="6">F113/G113</f>
        <v>6.5785714285714292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3773.03</v>
      </c>
      <c r="G114" s="25">
        <v>42</v>
      </c>
      <c r="H114" s="87">
        <f t="shared" si="6"/>
        <v>89.834047619047624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614</v>
      </c>
      <c r="G115" s="25">
        <v>42</v>
      </c>
      <c r="H115" s="87">
        <f t="shared" si="6"/>
        <v>14.619047619047619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921</v>
      </c>
      <c r="G116" s="25">
        <v>42</v>
      </c>
      <c r="H116" s="87">
        <f t="shared" si="6"/>
        <v>21.928571428571427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5584.33</v>
      </c>
      <c r="G117" s="26"/>
      <c r="H117" s="30">
        <f>SUM(H113:H116)</f>
        <v>132.96023809523808</v>
      </c>
      <c r="I117" s="26"/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75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24537.025735294119</v>
      </c>
      <c r="F122" s="19">
        <v>2.72</v>
      </c>
      <c r="G122" s="70">
        <v>800888.52</v>
      </c>
      <c r="H122" s="19">
        <v>1042756.86</v>
      </c>
      <c r="I122" s="25">
        <v>42</v>
      </c>
      <c r="J122" s="19">
        <f>H122/I122</f>
        <v>24827.544285714284</v>
      </c>
      <c r="K122" s="72">
        <f>H122/16983010.74*100</f>
        <v>6.1400000033209672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7">F123/G123*H123</f>
        <v>#DIV/0!</v>
      </c>
      <c r="J123" s="19">
        <f t="shared" ref="J123:J144" si="8">E123*F123*12*1.302</f>
        <v>1116552.28608</v>
      </c>
      <c r="K123" s="35" t="s">
        <v>26</v>
      </c>
      <c r="L123" s="64"/>
      <c r="M123" s="64"/>
      <c r="N123" s="117" t="e">
        <f t="shared" ref="N123:N147" si="9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7"/>
        <v>#DIV/0!</v>
      </c>
      <c r="J124" s="19">
        <f t="shared" si="8"/>
        <v>149115.45600000001</v>
      </c>
      <c r="K124" s="20">
        <f>H124/11277167.39*100</f>
        <v>0</v>
      </c>
      <c r="L124" s="20"/>
      <c r="M124" s="20"/>
      <c r="N124" s="19" t="e">
        <f t="shared" si="9"/>
        <v>#DIV/0!</v>
      </c>
    </row>
    <row r="125" spans="1:17" s="79" customFormat="1" ht="15" hidden="1" customHeight="1" thickBot="1" x14ac:dyDescent="0.3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7"/>
        <v>#DIV/0!</v>
      </c>
      <c r="J125" s="19">
        <f t="shared" si="8"/>
        <v>180613.44</v>
      </c>
      <c r="K125" s="15"/>
      <c r="L125" s="15"/>
      <c r="M125" s="15"/>
      <c r="N125" s="19" t="e">
        <f t="shared" si="9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7"/>
        <v>#DIV/0!</v>
      </c>
      <c r="J126" s="19">
        <f t="shared" si="8"/>
        <v>74557.728000000003</v>
      </c>
      <c r="K126" s="15"/>
      <c r="L126" s="15"/>
      <c r="M126" s="15"/>
      <c r="N126" s="19" t="e">
        <f t="shared" si="9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7"/>
        <v>#DIV/0!</v>
      </c>
      <c r="J127" s="19">
        <f t="shared" si="8"/>
        <v>149115.45600000001</v>
      </c>
      <c r="K127" s="19"/>
      <c r="L127" s="19"/>
      <c r="M127" s="19"/>
      <c r="N127" s="19" t="e">
        <f t="shared" si="9"/>
        <v>#DIV/0!</v>
      </c>
    </row>
    <row r="128" spans="1:17" s="79" customFormat="1" ht="14.25" hidden="1" customHeight="1" x14ac:dyDescent="0.3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7"/>
        <v>#DIV/0!</v>
      </c>
      <c r="J128" s="19">
        <f t="shared" si="8"/>
        <v>149115.45600000001</v>
      </c>
      <c r="K128" s="26"/>
      <c r="L128" s="26"/>
      <c r="M128" s="26"/>
      <c r="N128" s="19" t="e">
        <f t="shared" si="9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7"/>
        <v>#DIV/0!</v>
      </c>
      <c r="J129" s="19">
        <f t="shared" si="8"/>
        <v>0</v>
      </c>
      <c r="K129" s="26"/>
      <c r="L129" s="26"/>
      <c r="M129" s="26"/>
      <c r="N129" s="19" t="e">
        <f t="shared" si="9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7"/>
        <v>#DIV/0!</v>
      </c>
      <c r="J130" s="19">
        <f t="shared" si="8"/>
        <v>37278.864000000001</v>
      </c>
      <c r="K130" s="26"/>
      <c r="L130" s="26"/>
      <c r="M130" s="26"/>
      <c r="N130" s="19" t="e">
        <f t="shared" si="9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7"/>
        <v>#DIV/0!</v>
      </c>
      <c r="J131" s="19">
        <f t="shared" si="8"/>
        <v>0</v>
      </c>
      <c r="K131" s="26"/>
      <c r="L131" s="26"/>
      <c r="M131" s="26"/>
      <c r="N131" s="19" t="e">
        <f t="shared" si="9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7"/>
        <v>#DIV/0!</v>
      </c>
      <c r="J132" s="19">
        <f t="shared" si="8"/>
        <v>74557.728000000003</v>
      </c>
      <c r="K132" s="26"/>
      <c r="L132" s="26"/>
      <c r="M132" s="26"/>
      <c r="N132" s="19" t="e">
        <f t="shared" si="9"/>
        <v>#DIV/0!</v>
      </c>
    </row>
    <row r="133" spans="1:14" s="79" customFormat="1" ht="15.75" hidden="1" customHeight="1" x14ac:dyDescent="0.3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7"/>
        <v>#DIV/0!</v>
      </c>
      <c r="J133" s="19">
        <f t="shared" si="8"/>
        <v>149115.45600000001</v>
      </c>
      <c r="K133" s="26"/>
      <c r="L133" s="26"/>
      <c r="M133" s="26"/>
      <c r="N133" s="19" t="e">
        <f t="shared" si="9"/>
        <v>#DIV/0!</v>
      </c>
    </row>
    <row r="134" spans="1:14" s="79" customFormat="1" ht="15" hidden="1" customHeight="1" x14ac:dyDescent="0.3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7"/>
        <v>#DIV/0!</v>
      </c>
      <c r="J134" s="19">
        <f t="shared" si="8"/>
        <v>149115.45600000001</v>
      </c>
      <c r="K134" s="26"/>
      <c r="L134" s="26"/>
      <c r="M134" s="26"/>
      <c r="N134" s="19" t="e">
        <f t="shared" si="9"/>
        <v>#DIV/0!</v>
      </c>
    </row>
    <row r="135" spans="1:14" s="79" customFormat="1" ht="15" hidden="1" customHeigh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7"/>
        <v>#DIV/0!</v>
      </c>
      <c r="J135" s="19">
        <f t="shared" si="8"/>
        <v>820135.00800000003</v>
      </c>
      <c r="K135" s="26"/>
      <c r="L135" s="26"/>
      <c r="M135" s="26"/>
      <c r="N135" s="19" t="e">
        <f t="shared" si="9"/>
        <v>#DIV/0!</v>
      </c>
    </row>
    <row r="136" spans="1:14" s="79" customFormat="1" ht="15" hidden="1" customHeight="1" x14ac:dyDescent="0.3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7"/>
        <v>#DIV/0!</v>
      </c>
      <c r="J136" s="19">
        <f t="shared" si="8"/>
        <v>149115.45600000001</v>
      </c>
      <c r="K136" s="26"/>
      <c r="L136" s="26"/>
      <c r="M136" s="26"/>
      <c r="N136" s="19" t="e">
        <f t="shared" si="9"/>
        <v>#DIV/0!</v>
      </c>
    </row>
    <row r="137" spans="1:14" s="79" customFormat="1" ht="15" hidden="1" customHeight="1" thickBot="1" x14ac:dyDescent="0.3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7"/>
        <v>#DIV/0!</v>
      </c>
      <c r="J137" s="19">
        <f t="shared" si="8"/>
        <v>74557.728000000003</v>
      </c>
      <c r="K137" s="26"/>
      <c r="L137" s="26"/>
      <c r="M137" s="26"/>
      <c r="N137" s="19" t="e">
        <f t="shared" si="9"/>
        <v>#DIV/0!</v>
      </c>
    </row>
    <row r="138" spans="1:14" s="79" customFormat="1" ht="15" hidden="1" customHeight="1" thickBot="1" x14ac:dyDescent="0.3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7"/>
        <v>#DIV/0!</v>
      </c>
      <c r="J138" s="19">
        <f t="shared" si="8"/>
        <v>74557.728000000003</v>
      </c>
      <c r="K138" s="26"/>
      <c r="L138" s="26"/>
      <c r="M138" s="26"/>
      <c r="N138" s="19" t="e">
        <f t="shared" si="9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7"/>
        <v>#DIV/0!</v>
      </c>
      <c r="J139" s="19">
        <f t="shared" si="8"/>
        <v>149115.45600000001</v>
      </c>
      <c r="K139" s="26"/>
      <c r="L139" s="26"/>
      <c r="M139" s="26"/>
      <c r="N139" s="19" t="e">
        <f t="shared" si="9"/>
        <v>#DIV/0!</v>
      </c>
    </row>
    <row r="140" spans="1:14" s="79" customFormat="1" ht="15.75" hidden="1" customHeight="1" x14ac:dyDescent="0.3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7"/>
        <v>#DIV/0!</v>
      </c>
      <c r="J140" s="19">
        <f t="shared" si="8"/>
        <v>596461.82400000002</v>
      </c>
      <c r="K140" s="26"/>
      <c r="L140" s="26"/>
      <c r="M140" s="26"/>
      <c r="N140" s="19" t="e">
        <f t="shared" si="9"/>
        <v>#DIV/0!</v>
      </c>
    </row>
    <row r="141" spans="1:14" s="79" customFormat="1" ht="16.5" hidden="1" customHeight="1" x14ac:dyDescent="0.3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7"/>
        <v>#DIV/0!</v>
      </c>
      <c r="J141" s="19">
        <f t="shared" si="8"/>
        <v>149115.45600000001</v>
      </c>
      <c r="K141" s="26"/>
      <c r="L141" s="26"/>
      <c r="M141" s="26"/>
      <c r="N141" s="19" t="e">
        <f t="shared" si="9"/>
        <v>#DIV/0!</v>
      </c>
    </row>
    <row r="142" spans="1:14" s="79" customFormat="1" ht="16.5" hidden="1" customHeigh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7"/>
        <v>#DIV/0!</v>
      </c>
      <c r="J142" s="19">
        <f t="shared" si="8"/>
        <v>260952.04800000001</v>
      </c>
      <c r="K142" s="26"/>
      <c r="L142" s="26"/>
      <c r="M142" s="26"/>
      <c r="N142" s="19" t="e">
        <f t="shared" si="9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7"/>
        <v>#DIV/0!</v>
      </c>
      <c r="J143" s="19">
        <f t="shared" si="8"/>
        <v>0</v>
      </c>
      <c r="K143" s="26"/>
      <c r="L143" s="26"/>
      <c r="M143" s="26"/>
      <c r="N143" s="19" t="e">
        <f t="shared" si="9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7"/>
        <v>#DIV/0!</v>
      </c>
      <c r="J144" s="19">
        <f t="shared" si="8"/>
        <v>74557.728000000003</v>
      </c>
      <c r="K144" s="26"/>
      <c r="L144" s="26"/>
      <c r="M144" s="26"/>
      <c r="N144" s="19" t="e">
        <f t="shared" si="9"/>
        <v>#DIV/0!</v>
      </c>
    </row>
    <row r="145" spans="1:17" s="79" customFormat="1" ht="15" hidden="1" customHeight="1" thickBot="1" x14ac:dyDescent="0.3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9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9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9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1042756.86</v>
      </c>
      <c r="I148" s="28"/>
      <c r="J148" s="39">
        <f>J122</f>
        <v>24827.544285714284</v>
      </c>
      <c r="K148" s="26"/>
      <c r="L148" s="26"/>
      <c r="M148" s="26"/>
      <c r="N148" s="51"/>
      <c r="Q148" s="79">
        <f>H148/48.5%</f>
        <v>2150014.1443298971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32019.799139999999</v>
      </c>
      <c r="G155" s="25">
        <v>42</v>
      </c>
      <c r="H155" s="87">
        <f t="shared" ref="H155" si="10">F155/G155</f>
        <v>762.37617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32019.799139999999</v>
      </c>
      <c r="G156" s="26"/>
      <c r="H156" s="30">
        <f>SUM(H155:H155)</f>
        <v>762.37617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60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18866.439399999999</v>
      </c>
      <c r="I159" s="25">
        <v>42</v>
      </c>
      <c r="J159" s="91">
        <f>H159/I159</f>
        <v>449.20093809523809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3660.9136000000003</v>
      </c>
      <c r="I160" s="25">
        <v>42</v>
      </c>
      <c r="J160" s="91">
        <f t="shared" ref="J160" si="11">H160/I160</f>
        <v>87.164609523809531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22527.352999999999</v>
      </c>
      <c r="I161" s="93"/>
      <c r="J161" s="85">
        <f>SUM(J159:J160)</f>
        <v>536.36554761904767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60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199950*$O$4-0.01338</f>
        <v>12276.91662</v>
      </c>
      <c r="I164" s="25">
        <v>42</v>
      </c>
      <c r="J164" s="91">
        <f>H164/I164</f>
        <v>292.30753857142855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6144.6050000000005</v>
      </c>
      <c r="I165" s="25">
        <v>42</v>
      </c>
      <c r="J165" s="91">
        <f t="shared" ref="J165" si="12">H165/I165</f>
        <v>146.30011904761906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18421.52162</v>
      </c>
      <c r="I166" s="93"/>
      <c r="J166" s="85">
        <f>SUM(J164:J165)</f>
        <v>438.60765761904759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25771.084761904764</v>
      </c>
      <c r="B172" s="19"/>
      <c r="C172" s="19"/>
      <c r="D172" s="19">
        <f>J59</f>
        <v>81.735095238095226</v>
      </c>
      <c r="E172" s="19">
        <f>J69</f>
        <v>3115.2605568095237</v>
      </c>
      <c r="F172" s="19">
        <f>I80</f>
        <v>487.55050095238101</v>
      </c>
      <c r="G172" s="19">
        <f>I92</f>
        <v>788.03449904761908</v>
      </c>
      <c r="H172" s="19">
        <f>H97</f>
        <v>10.160238095238096</v>
      </c>
      <c r="I172" s="19">
        <f>H117</f>
        <v>132.96023809523808</v>
      </c>
      <c r="J172" s="19">
        <f>H104</f>
        <v>60.906270904761911</v>
      </c>
      <c r="K172" s="124">
        <f>J148</f>
        <v>24827.544285714284</v>
      </c>
      <c r="L172" s="125">
        <f>J161+J166+H156</f>
        <v>1737.3493752380953</v>
      </c>
      <c r="M172" s="125">
        <f>H109</f>
        <v>219.28571428571428</v>
      </c>
      <c r="N172" s="126">
        <f>SUM(D172:M172)+A172</f>
        <v>57231.871536285718</v>
      </c>
      <c r="O172" s="127">
        <f>J166+J161+H156+J148+H117+H104+H97+I92+I80+J69+J59+J51+H109</f>
        <v>57231.871536285718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N172*42</f>
        <v>2403738.6045240001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2403738.6145239999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1" s="79" customFormat="1" ht="9.75" customHeight="1" x14ac:dyDescent="0.25"/>
    <row r="178" spans="1:11" s="79" customFormat="1" ht="15.75" x14ac:dyDescent="0.25">
      <c r="A178" s="130" t="s">
        <v>28</v>
      </c>
      <c r="B178" s="53"/>
    </row>
    <row r="179" spans="1:11" s="79" customFormat="1" ht="15.75" x14ac:dyDescent="0.25">
      <c r="A179" s="130" t="s">
        <v>103</v>
      </c>
      <c r="B179" s="53"/>
    </row>
    <row r="180" spans="1:11" s="79" customFormat="1" ht="15.75" x14ac:dyDescent="0.25">
      <c r="A180" s="130" t="s">
        <v>62</v>
      </c>
      <c r="C180" s="53"/>
    </row>
    <row r="181" spans="1:11" s="79" customFormat="1" ht="15.75" x14ac:dyDescent="0.25">
      <c r="A181" s="131"/>
      <c r="B181" s="131"/>
      <c r="C181" s="131"/>
      <c r="J181" s="231">
        <f>J174/O4</f>
        <v>39148837.370097719</v>
      </c>
      <c r="K181" s="231"/>
    </row>
    <row r="182" spans="1:11" s="79" customFormat="1" x14ac:dyDescent="0.25">
      <c r="J182" s="231">
        <f>J181-39148837.37</f>
        <v>9.772181510925293E-5</v>
      </c>
      <c r="K182" s="231"/>
    </row>
  </sheetData>
  <mergeCells count="177">
    <mergeCell ref="O175:P175"/>
    <mergeCell ref="J181:K181"/>
    <mergeCell ref="J182:K182"/>
    <mergeCell ref="A139:D139"/>
    <mergeCell ref="A140:D140"/>
    <mergeCell ref="A151:K151"/>
    <mergeCell ref="A161:G161"/>
    <mergeCell ref="A166:G166"/>
    <mergeCell ref="A168:N168"/>
    <mergeCell ref="A170:C170"/>
    <mergeCell ref="D170:M170"/>
    <mergeCell ref="J174:K174"/>
    <mergeCell ref="A163:D163"/>
    <mergeCell ref="A164:D164"/>
    <mergeCell ref="A165:D165"/>
    <mergeCell ref="A154:D154"/>
    <mergeCell ref="A155:D155"/>
    <mergeCell ref="A160:D160"/>
    <mergeCell ref="A158:D158"/>
    <mergeCell ref="A159:D159"/>
    <mergeCell ref="A156:D156"/>
    <mergeCell ref="A141:D141"/>
    <mergeCell ref="A142:D142"/>
    <mergeCell ref="A143:D143"/>
    <mergeCell ref="H96:I96"/>
    <mergeCell ref="H97:I97"/>
    <mergeCell ref="A99:N99"/>
    <mergeCell ref="A100:D100"/>
    <mergeCell ref="A101:D101"/>
    <mergeCell ref="A106:N106"/>
    <mergeCell ref="H107:I107"/>
    <mergeCell ref="H108:I108"/>
    <mergeCell ref="H109:I109"/>
    <mergeCell ref="A96:D96"/>
    <mergeCell ref="A97:D97"/>
    <mergeCell ref="A104:D104"/>
    <mergeCell ref="A94:N94"/>
    <mergeCell ref="H95:I95"/>
    <mergeCell ref="A74:D74"/>
    <mergeCell ref="A78:D78"/>
    <mergeCell ref="A84:D84"/>
    <mergeCell ref="A95:D95"/>
    <mergeCell ref="A77:D77"/>
    <mergeCell ref="A75:D75"/>
    <mergeCell ref="A76:D76"/>
    <mergeCell ref="A85:D85"/>
    <mergeCell ref="A86:D86"/>
    <mergeCell ref="A87:D87"/>
    <mergeCell ref="A88:D88"/>
    <mergeCell ref="A134:D134"/>
    <mergeCell ref="A135:D135"/>
    <mergeCell ref="A136:D136"/>
    <mergeCell ref="A137:D137"/>
    <mergeCell ref="A138:D138"/>
    <mergeCell ref="A111:N111"/>
    <mergeCell ref="A112:D112"/>
    <mergeCell ref="A127:D127"/>
    <mergeCell ref="A128:D128"/>
    <mergeCell ref="A131:D131"/>
    <mergeCell ref="A132:D132"/>
    <mergeCell ref="A116:D116"/>
    <mergeCell ref="A117:D117"/>
    <mergeCell ref="A119:N119"/>
    <mergeCell ref="A122:D122"/>
    <mergeCell ref="A123:D123"/>
    <mergeCell ref="A26:E26"/>
    <mergeCell ref="G26:K26"/>
    <mergeCell ref="A27:E27"/>
    <mergeCell ref="G27:K27"/>
    <mergeCell ref="A32:E32"/>
    <mergeCell ref="G32:K32"/>
    <mergeCell ref="A33:E33"/>
    <mergeCell ref="G33:K33"/>
    <mergeCell ref="A28:E28"/>
    <mergeCell ref="G28:K28"/>
    <mergeCell ref="A29:E29"/>
    <mergeCell ref="G29:K29"/>
    <mergeCell ref="A30:E30"/>
    <mergeCell ref="G30:K30"/>
    <mergeCell ref="A31:E31"/>
    <mergeCell ref="G31:K31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8:M8"/>
    <mergeCell ref="A2:D2"/>
    <mergeCell ref="A3:B3"/>
    <mergeCell ref="E2:G2"/>
    <mergeCell ref="A4:C4"/>
    <mergeCell ref="E4:F4"/>
    <mergeCell ref="H4:K4"/>
    <mergeCell ref="A7:M7"/>
    <mergeCell ref="A12:M12"/>
    <mergeCell ref="G34:K34"/>
    <mergeCell ref="A35:E35"/>
    <mergeCell ref="G35:K35"/>
    <mergeCell ref="A36:E36"/>
    <mergeCell ref="G36:K36"/>
    <mergeCell ref="A37:E37"/>
    <mergeCell ref="G37:K37"/>
    <mergeCell ref="A48:D48"/>
    <mergeCell ref="A49:D49"/>
    <mergeCell ref="G38:K38"/>
    <mergeCell ref="A34:E34"/>
    <mergeCell ref="G39:K39"/>
    <mergeCell ref="G40:K40"/>
    <mergeCell ref="G41:K41"/>
    <mergeCell ref="G42:K42"/>
    <mergeCell ref="G43:K43"/>
    <mergeCell ref="A44:E44"/>
    <mergeCell ref="G44:K44"/>
    <mergeCell ref="A47:N47"/>
    <mergeCell ref="A50:D50"/>
    <mergeCell ref="A58:D58"/>
    <mergeCell ref="A59:D59"/>
    <mergeCell ref="A62:D62"/>
    <mergeCell ref="A61:N61"/>
    <mergeCell ref="A63:D63"/>
    <mergeCell ref="A64:D64"/>
    <mergeCell ref="A51:D51"/>
    <mergeCell ref="A130:D130"/>
    <mergeCell ref="A121:D121"/>
    <mergeCell ref="A124:D124"/>
    <mergeCell ref="A125:D125"/>
    <mergeCell ref="A126:D126"/>
    <mergeCell ref="A115:D115"/>
    <mergeCell ref="A109:D109"/>
    <mergeCell ref="A120:D120"/>
    <mergeCell ref="A54:N54"/>
    <mergeCell ref="A71:N71"/>
    <mergeCell ref="A72:D72"/>
    <mergeCell ref="A73:D73"/>
    <mergeCell ref="A79:D79"/>
    <mergeCell ref="A82:N82"/>
    <mergeCell ref="A89:D89"/>
    <mergeCell ref="A90:D90"/>
    <mergeCell ref="A148:D148"/>
    <mergeCell ref="A146:D146"/>
    <mergeCell ref="A147:D147"/>
    <mergeCell ref="A55:D55"/>
    <mergeCell ref="A56:D56"/>
    <mergeCell ref="A57:D57"/>
    <mergeCell ref="A83:D83"/>
    <mergeCell ref="A91:D91"/>
    <mergeCell ref="A92:D92"/>
    <mergeCell ref="A107:D107"/>
    <mergeCell ref="A108:D108"/>
    <mergeCell ref="A113:D113"/>
    <mergeCell ref="A68:D68"/>
    <mergeCell ref="A69:D69"/>
    <mergeCell ref="A65:D65"/>
    <mergeCell ref="A66:D66"/>
    <mergeCell ref="A67:D67"/>
    <mergeCell ref="A114:D114"/>
    <mergeCell ref="A129:D129"/>
    <mergeCell ref="A102:D102"/>
    <mergeCell ref="A103:D103"/>
    <mergeCell ref="A144:D144"/>
    <mergeCell ref="A145:D145"/>
    <mergeCell ref="A133:D133"/>
  </mergeCells>
  <pageMargins left="0.70866141732283472" right="0.70866141732283472" top="0.15748031496062992" bottom="0.23622047244094491" header="0.15748031496062992" footer="0.15748031496062992"/>
  <pageSetup paperSize="9" scale="5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213"/>
  <sheetViews>
    <sheetView view="pageBreakPreview" topLeftCell="A164" zoomScale="60" zoomScaleNormal="60" workbookViewId="0">
      <selection activeCell="L200" sqref="L200"/>
    </sheetView>
  </sheetViews>
  <sheetFormatPr defaultRowHeight="15" x14ac:dyDescent="0.25"/>
  <cols>
    <col min="1" max="1" width="11" customWidth="1"/>
    <col min="2" max="3" width="5.5703125" customWidth="1"/>
    <col min="4" max="5" width="10.7109375" customWidth="1"/>
    <col min="6" max="6" width="11.7109375" customWidth="1"/>
    <col min="7" max="7" width="13.7109375" customWidth="1"/>
    <col min="8" max="8" width="14" customWidth="1"/>
    <col min="9" max="9" width="9.28515625" customWidth="1"/>
    <col min="10" max="10" width="10.5703125" customWidth="1"/>
    <col min="11" max="11" width="11.28515625" customWidth="1"/>
    <col min="12" max="12" width="10.7109375" customWidth="1"/>
    <col min="13" max="13" width="9" customWidth="1"/>
    <col min="14" max="14" width="11" customWidth="1"/>
    <col min="15" max="15" width="13.28515625" customWidth="1"/>
    <col min="16" max="16" width="20" customWidth="1"/>
    <col min="17" max="17" width="15.2851562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54"/>
      <c r="F3" s="22"/>
      <c r="G3" s="22"/>
    </row>
    <row r="4" spans="1:15" ht="27.75" customHeight="1" x14ac:dyDescent="0.25">
      <c r="A4" s="219"/>
      <c r="B4" s="219"/>
      <c r="C4" s="219"/>
      <c r="D4" s="59"/>
      <c r="E4" s="219"/>
      <c r="F4" s="219"/>
      <c r="G4" s="24"/>
      <c r="H4" s="230"/>
      <c r="I4" s="200"/>
      <c r="J4" s="200"/>
      <c r="K4" s="200"/>
      <c r="L4" s="60"/>
      <c r="O4" s="76">
        <v>0.20760000000000001</v>
      </c>
    </row>
    <row r="5" spans="1:15" ht="7.5" customHeight="1" x14ac:dyDescent="0.25">
      <c r="A5" s="1"/>
      <c r="B5" s="1"/>
      <c r="C5" s="1"/>
      <c r="D5" s="53"/>
      <c r="E5" s="1"/>
      <c r="F5" s="1"/>
      <c r="G5" s="53"/>
    </row>
    <row r="6" spans="1:15" x14ac:dyDescent="0.25">
      <c r="A6" s="55"/>
      <c r="B6" s="55"/>
      <c r="C6" s="55"/>
      <c r="D6" s="55"/>
      <c r="E6" s="55"/>
      <c r="F6" s="55"/>
      <c r="G6" s="55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</row>
    <row r="8" spans="1:15" ht="15.75" x14ac:dyDescent="0.25">
      <c r="A8" s="198" t="s">
        <v>150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</row>
    <row r="9" spans="1:15" ht="6.75" customHeight="1" x14ac:dyDescent="0.25"/>
    <row r="10" spans="1:1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5" ht="17.25" customHeight="1" x14ac:dyDescent="0.25">
      <c r="A12" s="215" t="s">
        <v>64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ht="15.75" x14ac:dyDescent="0.25">
      <c r="A14" s="5" t="s">
        <v>122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53"/>
      <c r="I15" s="53"/>
      <c r="J15" s="53"/>
      <c r="K15" s="4"/>
      <c r="L15" s="4"/>
      <c r="M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3.589404</v>
      </c>
      <c r="G17" s="222" t="s">
        <v>1</v>
      </c>
      <c r="H17" s="223"/>
      <c r="I17" s="223"/>
      <c r="J17" s="223"/>
      <c r="K17" s="224"/>
      <c r="L17" s="61">
        <f>M17*$O$4</f>
        <v>0.20760000000000001</v>
      </c>
      <c r="M17" s="134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1.3494000000000002</v>
      </c>
      <c r="G18" s="207" t="s">
        <v>123</v>
      </c>
      <c r="H18" s="208"/>
      <c r="I18" s="208"/>
      <c r="J18" s="208"/>
      <c r="K18" s="209"/>
      <c r="L18" s="61">
        <f t="shared" ref="L18:L41" si="0">M18*$O$4</f>
        <v>0.20760000000000001</v>
      </c>
      <c r="M18" s="134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0.20760000000000001</v>
      </c>
      <c r="M19" s="134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0.20760000000000001</v>
      </c>
      <c r="M20" s="134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0.20760000000000001</v>
      </c>
      <c r="M21" s="134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0.1038</v>
      </c>
      <c r="M22" s="134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0.20760000000000001</v>
      </c>
      <c r="M23" s="134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0.20760000000000001</v>
      </c>
      <c r="M24" s="134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0.20760000000000001</v>
      </c>
      <c r="M25" s="134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0.20760000000000001</v>
      </c>
      <c r="M26" s="134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0.1038</v>
      </c>
      <c r="M27" s="134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0.20760000000000001</v>
      </c>
      <c r="M28" s="134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0.41520000000000001</v>
      </c>
      <c r="M29" s="134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0.20760000000000001</v>
      </c>
      <c r="M30" s="134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0.20760000000000001</v>
      </c>
      <c r="M31" s="134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0.20760000000000001</v>
      </c>
      <c r="M32" s="134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0.98609999999999998</v>
      </c>
      <c r="M33" s="134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0.72660000000000002</v>
      </c>
      <c r="M34" s="134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0.83040000000000003</v>
      </c>
      <c r="M35" s="134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0.20760000000000001</v>
      </c>
      <c r="M36" s="134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0.20760000000000001</v>
      </c>
      <c r="M37" s="134">
        <v>1</v>
      </c>
    </row>
    <row r="38" spans="1:17" ht="15" customHeight="1" x14ac:dyDescent="0.25">
      <c r="A38" s="101"/>
      <c r="B38" s="102"/>
      <c r="C38" s="102"/>
      <c r="D38" s="102"/>
      <c r="E38" s="103"/>
      <c r="F38" s="21"/>
      <c r="G38" s="183" t="s">
        <v>137</v>
      </c>
      <c r="H38" s="184"/>
      <c r="I38" s="184"/>
      <c r="J38" s="184"/>
      <c r="K38" s="185"/>
      <c r="L38" s="61">
        <f t="shared" si="0"/>
        <v>0.1038</v>
      </c>
      <c r="M38" s="134">
        <v>0.5</v>
      </c>
    </row>
    <row r="39" spans="1:17" ht="15" customHeight="1" x14ac:dyDescent="0.25">
      <c r="A39" s="101"/>
      <c r="B39" s="102"/>
      <c r="C39" s="102"/>
      <c r="D39" s="102"/>
      <c r="E39" s="103"/>
      <c r="F39" s="21"/>
      <c r="G39" s="183" t="s">
        <v>138</v>
      </c>
      <c r="H39" s="184"/>
      <c r="I39" s="184"/>
      <c r="J39" s="184"/>
      <c r="K39" s="185"/>
      <c r="L39" s="61">
        <f t="shared" si="0"/>
        <v>0.1038</v>
      </c>
      <c r="M39" s="134">
        <v>0.5</v>
      </c>
    </row>
    <row r="40" spans="1:17" ht="15" customHeight="1" x14ac:dyDescent="0.25">
      <c r="A40" s="101"/>
      <c r="B40" s="102"/>
      <c r="C40" s="102"/>
      <c r="D40" s="102"/>
      <c r="E40" s="103"/>
      <c r="F40" s="21"/>
      <c r="G40" s="183" t="s">
        <v>139</v>
      </c>
      <c r="H40" s="184"/>
      <c r="I40" s="184"/>
      <c r="J40" s="184"/>
      <c r="K40" s="185"/>
      <c r="L40" s="61">
        <f t="shared" si="0"/>
        <v>2.2835999999999999</v>
      </c>
      <c r="M40" s="134">
        <v>11</v>
      </c>
    </row>
    <row r="41" spans="1:17" ht="15" customHeight="1" x14ac:dyDescent="0.25">
      <c r="A41" s="101"/>
      <c r="B41" s="102"/>
      <c r="C41" s="102"/>
      <c r="D41" s="102"/>
      <c r="E41" s="103"/>
      <c r="F41" s="21"/>
      <c r="G41" s="183" t="s">
        <v>140</v>
      </c>
      <c r="H41" s="184"/>
      <c r="I41" s="184"/>
      <c r="J41" s="184"/>
      <c r="K41" s="185"/>
      <c r="L41" s="61">
        <f t="shared" si="0"/>
        <v>0.41520000000000001</v>
      </c>
      <c r="M41" s="134">
        <v>2</v>
      </c>
    </row>
    <row r="42" spans="1:17" ht="15" customHeight="1" x14ac:dyDescent="0.25">
      <c r="A42" s="101"/>
      <c r="B42" s="102"/>
      <c r="C42" s="102"/>
      <c r="D42" s="102"/>
      <c r="E42" s="103"/>
      <c r="F42" s="21"/>
      <c r="G42" s="183"/>
      <c r="H42" s="184"/>
      <c r="I42" s="184"/>
      <c r="J42" s="184"/>
      <c r="K42" s="185"/>
      <c r="L42" s="61"/>
      <c r="M42" s="134"/>
    </row>
    <row r="43" spans="1:17" ht="15" customHeight="1" x14ac:dyDescent="0.25">
      <c r="A43" s="101"/>
      <c r="B43" s="102"/>
      <c r="C43" s="102"/>
      <c r="D43" s="102"/>
      <c r="E43" s="103"/>
      <c r="F43" s="21"/>
      <c r="G43" s="183"/>
      <c r="H43" s="184"/>
      <c r="I43" s="184"/>
      <c r="J43" s="184"/>
      <c r="K43" s="185"/>
      <c r="L43" s="61"/>
      <c r="M43" s="134"/>
      <c r="O43" s="67">
        <f>L44+F44</f>
        <v>14.125104</v>
      </c>
      <c r="P43">
        <f>L44/O4</f>
        <v>44.25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4.9388040000000002</v>
      </c>
      <c r="G44" s="187" t="s">
        <v>2</v>
      </c>
      <c r="H44" s="187"/>
      <c r="I44" s="187"/>
      <c r="J44" s="187"/>
      <c r="K44" s="187"/>
      <c r="L44" s="65">
        <f>SUM(L17:L41)</f>
        <v>9.186300000000001</v>
      </c>
      <c r="M44" s="135">
        <f>SUM(M17:M43)</f>
        <v>44.25</v>
      </c>
      <c r="O44" s="107">
        <f>O43/O4</f>
        <v>68.040000000000006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90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47415.65856950068</v>
      </c>
      <c r="F50" s="19">
        <v>4.9400000000000004</v>
      </c>
      <c r="G50" s="73">
        <v>2810800.24</v>
      </c>
      <c r="H50" s="74">
        <v>3659661.91</v>
      </c>
      <c r="I50" s="25">
        <v>142</v>
      </c>
      <c r="J50" s="19">
        <f>H50/I50</f>
        <v>25772.266971830988</v>
      </c>
      <c r="K50" s="72">
        <f>H50/17628429.26*100</f>
        <v>20.759999975176459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3659661.91</v>
      </c>
      <c r="I51" s="28"/>
      <c r="J51" s="39">
        <f>J50</f>
        <v>25772.266971830988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258.80799999999999</v>
      </c>
      <c r="H57" s="70">
        <f>14960*O4</f>
        <v>3105.6959999999999</v>
      </c>
      <c r="I57" s="25">
        <v>142</v>
      </c>
      <c r="J57" s="19">
        <f>H57/I57</f>
        <v>21.871098591549295</v>
      </c>
      <c r="K57" s="26"/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708.43500000000006</v>
      </c>
      <c r="H58" s="70">
        <f>40950*O4</f>
        <v>8501.2200000000012</v>
      </c>
      <c r="I58" s="25">
        <v>142</v>
      </c>
      <c r="J58" s="19">
        <f>H58/I58</f>
        <v>59.867746478873251</v>
      </c>
      <c r="K58" s="26"/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11606.916000000001</v>
      </c>
      <c r="I59" s="28"/>
      <c r="J59" s="33">
        <f>SUM(J57:J58)</f>
        <v>81.738845070422542</v>
      </c>
      <c r="K59" s="26"/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 t="e">
        <f>U62/S62*K66</f>
        <v>#DIV/0!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15.506127986994901</v>
      </c>
      <c r="G64" s="19">
        <v>6569.73</v>
      </c>
      <c r="H64" s="70">
        <f>490708.45*O4</f>
        <v>101871.07422000001</v>
      </c>
      <c r="I64" s="25">
        <v>142</v>
      </c>
      <c r="J64" s="19">
        <f t="shared" ref="J64:J68" si="1">H64/I64</f>
        <v>717.40193112676059</v>
      </c>
      <c r="K64" s="133"/>
      <c r="L64" s="26"/>
      <c r="M64" s="26"/>
      <c r="N64" s="109"/>
      <c r="U64" s="79" t="e">
        <f>U62/S62*K67</f>
        <v>#DIV/0!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146.06269991290677</v>
      </c>
      <c r="G65" s="19">
        <v>1768.22</v>
      </c>
      <c r="H65" s="70">
        <f>1244079.9*O4</f>
        <v>258270.98723999999</v>
      </c>
      <c r="I65" s="25">
        <v>142</v>
      </c>
      <c r="J65" s="19">
        <f t="shared" si="1"/>
        <v>1818.8097692957745</v>
      </c>
      <c r="K65" s="133"/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30763.704239999999</v>
      </c>
      <c r="I66" s="25">
        <v>142</v>
      </c>
      <c r="J66" s="19">
        <f t="shared" si="1"/>
        <v>216.64580450704224</v>
      </c>
      <c r="K66" s="133"/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44802.695760000002</v>
      </c>
      <c r="I67" s="25">
        <v>142</v>
      </c>
      <c r="J67" s="27">
        <f t="shared" si="1"/>
        <v>315.51194197183099</v>
      </c>
      <c r="K67" s="133"/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6678.8324640000001</v>
      </c>
      <c r="I68" s="25">
        <v>142</v>
      </c>
      <c r="J68" s="27">
        <f t="shared" si="1"/>
        <v>47.034031436619721</v>
      </c>
      <c r="K68" s="133"/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442387.30392400001</v>
      </c>
      <c r="I69" s="28"/>
      <c r="J69" s="33">
        <f>SUM(J64:J68)</f>
        <v>3115.403478338028</v>
      </c>
      <c r="K69" s="133"/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90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30712.344000000001</v>
      </c>
      <c r="H73" s="25">
        <v>142</v>
      </c>
      <c r="I73" s="84">
        <f>G73/H73</f>
        <v>216.28411267605634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22265.100000000002</v>
      </c>
      <c r="H74" s="25">
        <v>142</v>
      </c>
      <c r="I74" s="84">
        <f t="shared" ref="I74:I79" si="2">G74/H74</f>
        <v>156.79647887323947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2159.04</v>
      </c>
      <c r="H75" s="25">
        <v>142</v>
      </c>
      <c r="I75" s="84">
        <f t="shared" si="2"/>
        <v>15.204507042253521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8304</v>
      </c>
      <c r="H76" s="25">
        <v>142</v>
      </c>
      <c r="I76" s="84">
        <f t="shared" si="2"/>
        <v>58.478873239436616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622.80000000000007</v>
      </c>
      <c r="H77" s="25">
        <v>142</v>
      </c>
      <c r="I77" s="84">
        <f>G77/H77</f>
        <v>4.3859154929577473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783.06720000000007</v>
      </c>
      <c r="H78" s="25">
        <v>142</v>
      </c>
      <c r="I78" s="84">
        <f t="shared" si="2"/>
        <v>5.5145577464788733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4388.9961599999997</v>
      </c>
      <c r="H79" s="25">
        <v>142</v>
      </c>
      <c r="I79" s="84">
        <f t="shared" si="2"/>
        <v>30.908423661971828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69235.34736</v>
      </c>
      <c r="I80" s="85">
        <f>SUM(I73:I79)</f>
        <v>487.5728687323944</v>
      </c>
      <c r="J80" s="107"/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90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5774.6016</v>
      </c>
      <c r="H84" s="25">
        <v>142</v>
      </c>
      <c r="I84" s="87">
        <f>G84/H84</f>
        <v>40.666208450704225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7383.9168</v>
      </c>
      <c r="H85" s="25">
        <v>142</v>
      </c>
      <c r="I85" s="87">
        <f t="shared" ref="I85:I91" si="3">G85/H85</f>
        <v>51.999414084507045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26360.632799999999</v>
      </c>
      <c r="H86" s="25">
        <v>142</v>
      </c>
      <c r="I86" s="87">
        <f t="shared" si="3"/>
        <v>185.63825915492959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50992.871039999998</v>
      </c>
      <c r="H87" s="25">
        <v>142</v>
      </c>
      <c r="I87" s="87">
        <f t="shared" si="3"/>
        <v>359.10472563380279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17571.263999999999</v>
      </c>
      <c r="H88" s="25">
        <v>142</v>
      </c>
      <c r="I88" s="87">
        <f t="shared" si="3"/>
        <v>123.74129577464788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1453.2</v>
      </c>
      <c r="H89" s="25">
        <v>142</v>
      </c>
      <c r="I89" s="87">
        <f t="shared" si="3"/>
        <v>10.233802816901409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615.32640000000004</v>
      </c>
      <c r="H90" s="25">
        <v>142</v>
      </c>
      <c r="I90" s="87">
        <f>G90/H90</f>
        <v>4.3332845070422534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1754.22</v>
      </c>
      <c r="H91" s="25">
        <v>142</v>
      </c>
      <c r="I91" s="87">
        <f t="shared" si="3"/>
        <v>12.353661971830986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111906.03263999999</v>
      </c>
      <c r="H92" s="26"/>
      <c r="I92" s="85">
        <f>SUM(I84:I91)</f>
        <v>788.07065239436611</v>
      </c>
      <c r="J92" s="26"/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1442.82</v>
      </c>
      <c r="G96" s="25">
        <v>142</v>
      </c>
      <c r="H96" s="227">
        <f t="shared" ref="H96" si="4">F96/G96</f>
        <v>10.160704225352113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1442.82</v>
      </c>
      <c r="G97" s="26"/>
      <c r="H97" s="228">
        <f>SUM(H96:H96)</f>
        <v>10.160704225352113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996.48</v>
      </c>
      <c r="G101" s="25">
        <v>142</v>
      </c>
      <c r="H101" s="87">
        <f t="shared" ref="H101:H103" si="5">F101/G101</f>
        <v>7.0174647887323944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5576.6072520000007</v>
      </c>
      <c r="G102" s="25">
        <v>142</v>
      </c>
      <c r="H102" s="87">
        <f t="shared" si="5"/>
        <v>39.271882056338036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2076</v>
      </c>
      <c r="G103" s="25">
        <v>142</v>
      </c>
      <c r="H103" s="87">
        <f t="shared" si="5"/>
        <v>14.619718309859154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8649.0872520000012</v>
      </c>
      <c r="G104" s="26"/>
      <c r="H104" s="30">
        <f>SUM(H101:H103)</f>
        <v>60.909065154929586</v>
      </c>
      <c r="I104" s="26"/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31140</v>
      </c>
      <c r="G108" s="25">
        <v>142</v>
      </c>
      <c r="H108" s="227">
        <f>F108/G108</f>
        <v>219.29577464788733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31140</v>
      </c>
      <c r="G109" s="26"/>
      <c r="H109" s="228">
        <f>SUM(H108:H108)</f>
        <v>219.29577464788733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934.2</v>
      </c>
      <c r="G113" s="25">
        <v>142</v>
      </c>
      <c r="H113" s="87">
        <f t="shared" ref="H113:H116" si="6">F113/G113</f>
        <v>6.5788732394366196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12757.02</v>
      </c>
      <c r="G114" s="25">
        <v>142</v>
      </c>
      <c r="H114" s="87">
        <f t="shared" si="6"/>
        <v>89.838169014084514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2076</v>
      </c>
      <c r="G115" s="25">
        <v>142</v>
      </c>
      <c r="H115" s="87">
        <f t="shared" si="6"/>
        <v>14.619718309859154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3114</v>
      </c>
      <c r="G116" s="25">
        <v>142</v>
      </c>
      <c r="H116" s="87">
        <f t="shared" si="6"/>
        <v>21.929577464788732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18881.22</v>
      </c>
      <c r="G117" s="26"/>
      <c r="H117" s="30">
        <f>SUM(H113:H116)</f>
        <v>132.96633802816902</v>
      </c>
      <c r="I117" s="26"/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90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22750.026800416708</v>
      </c>
      <c r="F122" s="19">
        <v>9.9190000000000005</v>
      </c>
      <c r="G122" s="70">
        <v>2707890.19</v>
      </c>
      <c r="H122" s="19">
        <v>3525673.03</v>
      </c>
      <c r="I122" s="25">
        <v>142</v>
      </c>
      <c r="J122" s="19">
        <f>H122/I122</f>
        <v>24828.683309859152</v>
      </c>
      <c r="K122" s="72">
        <f>H122/16983010.74*100</f>
        <v>20.760000002213978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7">F123/G123*H123</f>
        <v>#DIV/0!</v>
      </c>
      <c r="J123" s="19">
        <f t="shared" ref="J123:J144" si="8">E123*F123*12*1.302</f>
        <v>1116552.28608</v>
      </c>
      <c r="K123" s="35" t="s">
        <v>26</v>
      </c>
      <c r="L123" s="64"/>
      <c r="M123" s="64"/>
      <c r="N123" s="117" t="e">
        <f t="shared" ref="N123:N147" si="9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7"/>
        <v>#DIV/0!</v>
      </c>
      <c r="J124" s="19">
        <f t="shared" si="8"/>
        <v>149115.45600000001</v>
      </c>
      <c r="K124" s="20">
        <f>H124/11277167.39*100</f>
        <v>0</v>
      </c>
      <c r="L124" s="20"/>
      <c r="M124" s="20"/>
      <c r="N124" s="19" t="e">
        <f t="shared" si="9"/>
        <v>#DIV/0!</v>
      </c>
    </row>
    <row r="125" spans="1:17" s="79" customFormat="1" ht="15" hidden="1" customHeight="1" thickBot="1" x14ac:dyDescent="0.3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7"/>
        <v>#DIV/0!</v>
      </c>
      <c r="J125" s="19">
        <f t="shared" si="8"/>
        <v>180613.44</v>
      </c>
      <c r="K125" s="15"/>
      <c r="L125" s="15"/>
      <c r="M125" s="15"/>
      <c r="N125" s="19" t="e">
        <f t="shared" si="9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7"/>
        <v>#DIV/0!</v>
      </c>
      <c r="J126" s="19">
        <f t="shared" si="8"/>
        <v>74557.728000000003</v>
      </c>
      <c r="K126" s="15"/>
      <c r="L126" s="15"/>
      <c r="M126" s="15"/>
      <c r="N126" s="19" t="e">
        <f t="shared" si="9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7"/>
        <v>#DIV/0!</v>
      </c>
      <c r="J127" s="19">
        <f t="shared" si="8"/>
        <v>149115.45600000001</v>
      </c>
      <c r="K127" s="19"/>
      <c r="L127" s="19"/>
      <c r="M127" s="19"/>
      <c r="N127" s="19" t="e">
        <f t="shared" si="9"/>
        <v>#DIV/0!</v>
      </c>
    </row>
    <row r="128" spans="1:17" s="79" customFormat="1" ht="14.25" hidden="1" customHeight="1" x14ac:dyDescent="0.3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7"/>
        <v>#DIV/0!</v>
      </c>
      <c r="J128" s="19">
        <f t="shared" si="8"/>
        <v>149115.45600000001</v>
      </c>
      <c r="K128" s="26"/>
      <c r="L128" s="26"/>
      <c r="M128" s="26"/>
      <c r="N128" s="19" t="e">
        <f t="shared" si="9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7"/>
        <v>#DIV/0!</v>
      </c>
      <c r="J129" s="19">
        <f t="shared" si="8"/>
        <v>0</v>
      </c>
      <c r="K129" s="26"/>
      <c r="L129" s="26"/>
      <c r="M129" s="26"/>
      <c r="N129" s="19" t="e">
        <f t="shared" si="9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7"/>
        <v>#DIV/0!</v>
      </c>
      <c r="J130" s="19">
        <f t="shared" si="8"/>
        <v>37278.864000000001</v>
      </c>
      <c r="K130" s="26"/>
      <c r="L130" s="26"/>
      <c r="M130" s="26"/>
      <c r="N130" s="19" t="e">
        <f t="shared" si="9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7"/>
        <v>#DIV/0!</v>
      </c>
      <c r="J131" s="19">
        <f t="shared" si="8"/>
        <v>0</v>
      </c>
      <c r="K131" s="26"/>
      <c r="L131" s="26"/>
      <c r="M131" s="26"/>
      <c r="N131" s="19" t="e">
        <f t="shared" si="9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7"/>
        <v>#DIV/0!</v>
      </c>
      <c r="J132" s="19">
        <f t="shared" si="8"/>
        <v>74557.728000000003</v>
      </c>
      <c r="K132" s="26"/>
      <c r="L132" s="26"/>
      <c r="M132" s="26"/>
      <c r="N132" s="19" t="e">
        <f t="shared" si="9"/>
        <v>#DIV/0!</v>
      </c>
    </row>
    <row r="133" spans="1:14" s="79" customFormat="1" ht="15.75" hidden="1" customHeight="1" x14ac:dyDescent="0.3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7"/>
        <v>#DIV/0!</v>
      </c>
      <c r="J133" s="19">
        <f t="shared" si="8"/>
        <v>149115.45600000001</v>
      </c>
      <c r="K133" s="26"/>
      <c r="L133" s="26"/>
      <c r="M133" s="26"/>
      <c r="N133" s="19" t="e">
        <f t="shared" si="9"/>
        <v>#DIV/0!</v>
      </c>
    </row>
    <row r="134" spans="1:14" s="79" customFormat="1" ht="15" hidden="1" customHeight="1" x14ac:dyDescent="0.3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7"/>
        <v>#DIV/0!</v>
      </c>
      <c r="J134" s="19">
        <f t="shared" si="8"/>
        <v>149115.45600000001</v>
      </c>
      <c r="K134" s="26"/>
      <c r="L134" s="26"/>
      <c r="M134" s="26"/>
      <c r="N134" s="19" t="e">
        <f t="shared" si="9"/>
        <v>#DIV/0!</v>
      </c>
    </row>
    <row r="135" spans="1:14" s="79" customFormat="1" ht="15" hidden="1" customHeigh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7"/>
        <v>#DIV/0!</v>
      </c>
      <c r="J135" s="19">
        <f t="shared" si="8"/>
        <v>820135.00800000003</v>
      </c>
      <c r="K135" s="26"/>
      <c r="L135" s="26"/>
      <c r="M135" s="26"/>
      <c r="N135" s="19" t="e">
        <f t="shared" si="9"/>
        <v>#DIV/0!</v>
      </c>
    </row>
    <row r="136" spans="1:14" s="79" customFormat="1" ht="15" hidden="1" customHeight="1" x14ac:dyDescent="0.3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7"/>
        <v>#DIV/0!</v>
      </c>
      <c r="J136" s="19">
        <f t="shared" si="8"/>
        <v>149115.45600000001</v>
      </c>
      <c r="K136" s="26"/>
      <c r="L136" s="26"/>
      <c r="M136" s="26"/>
      <c r="N136" s="19" t="e">
        <f t="shared" si="9"/>
        <v>#DIV/0!</v>
      </c>
    </row>
    <row r="137" spans="1:14" s="79" customFormat="1" ht="15" hidden="1" customHeight="1" thickBot="1" x14ac:dyDescent="0.3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7"/>
        <v>#DIV/0!</v>
      </c>
      <c r="J137" s="19">
        <f t="shared" si="8"/>
        <v>74557.728000000003</v>
      </c>
      <c r="K137" s="26"/>
      <c r="L137" s="26"/>
      <c r="M137" s="26"/>
      <c r="N137" s="19" t="e">
        <f t="shared" si="9"/>
        <v>#DIV/0!</v>
      </c>
    </row>
    <row r="138" spans="1:14" s="79" customFormat="1" ht="15" hidden="1" customHeight="1" thickBot="1" x14ac:dyDescent="0.3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7"/>
        <v>#DIV/0!</v>
      </c>
      <c r="J138" s="19">
        <f t="shared" si="8"/>
        <v>74557.728000000003</v>
      </c>
      <c r="K138" s="26"/>
      <c r="L138" s="26"/>
      <c r="M138" s="26"/>
      <c r="N138" s="19" t="e">
        <f t="shared" si="9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7"/>
        <v>#DIV/0!</v>
      </c>
      <c r="J139" s="19">
        <f t="shared" si="8"/>
        <v>149115.45600000001</v>
      </c>
      <c r="K139" s="26"/>
      <c r="L139" s="26"/>
      <c r="M139" s="26"/>
      <c r="N139" s="19" t="e">
        <f t="shared" si="9"/>
        <v>#DIV/0!</v>
      </c>
    </row>
    <row r="140" spans="1:14" s="79" customFormat="1" ht="15.75" hidden="1" customHeight="1" x14ac:dyDescent="0.3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7"/>
        <v>#DIV/0!</v>
      </c>
      <c r="J140" s="19">
        <f t="shared" si="8"/>
        <v>596461.82400000002</v>
      </c>
      <c r="K140" s="26"/>
      <c r="L140" s="26"/>
      <c r="M140" s="26"/>
      <c r="N140" s="19" t="e">
        <f t="shared" si="9"/>
        <v>#DIV/0!</v>
      </c>
    </row>
    <row r="141" spans="1:14" s="79" customFormat="1" ht="16.5" hidden="1" customHeight="1" x14ac:dyDescent="0.3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7"/>
        <v>#DIV/0!</v>
      </c>
      <c r="J141" s="19">
        <f t="shared" si="8"/>
        <v>149115.45600000001</v>
      </c>
      <c r="K141" s="26"/>
      <c r="L141" s="26"/>
      <c r="M141" s="26"/>
      <c r="N141" s="19" t="e">
        <f t="shared" si="9"/>
        <v>#DIV/0!</v>
      </c>
    </row>
    <row r="142" spans="1:14" s="79" customFormat="1" ht="16.5" hidden="1" customHeigh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7"/>
        <v>#DIV/0!</v>
      </c>
      <c r="J142" s="19">
        <f t="shared" si="8"/>
        <v>260952.04800000001</v>
      </c>
      <c r="K142" s="26"/>
      <c r="L142" s="26"/>
      <c r="M142" s="26"/>
      <c r="N142" s="19" t="e">
        <f t="shared" si="9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7"/>
        <v>#DIV/0!</v>
      </c>
      <c r="J143" s="19">
        <f t="shared" si="8"/>
        <v>0</v>
      </c>
      <c r="K143" s="26"/>
      <c r="L143" s="26"/>
      <c r="M143" s="26"/>
      <c r="N143" s="19" t="e">
        <f t="shared" si="9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7"/>
        <v>#DIV/0!</v>
      </c>
      <c r="J144" s="19">
        <f t="shared" si="8"/>
        <v>74557.728000000003</v>
      </c>
      <c r="K144" s="26"/>
      <c r="L144" s="26"/>
      <c r="M144" s="26"/>
      <c r="N144" s="19" t="e">
        <f t="shared" si="9"/>
        <v>#DIV/0!</v>
      </c>
    </row>
    <row r="145" spans="1:17" s="79" customFormat="1" ht="15" hidden="1" customHeight="1" thickBot="1" x14ac:dyDescent="0.3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9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9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9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3525673.03</v>
      </c>
      <c r="I148" s="28"/>
      <c r="J148" s="39">
        <f>J122</f>
        <v>24828.683309859152</v>
      </c>
      <c r="K148" s="26"/>
      <c r="L148" s="26"/>
      <c r="M148" s="26"/>
      <c r="N148" s="51"/>
      <c r="Q148" s="79">
        <f>H148/48.5%</f>
        <v>7269428.927835051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108262.38275999999</v>
      </c>
      <c r="G155" s="25">
        <v>142</v>
      </c>
      <c r="H155" s="87">
        <f t="shared" ref="H155" si="10">F155/G155</f>
        <v>762.41114619718303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108262.38275999999</v>
      </c>
      <c r="G156" s="26"/>
      <c r="H156" s="30">
        <f>SUM(H155:H155)</f>
        <v>762.41114619718303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90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63789.459600000002</v>
      </c>
      <c r="I159" s="25">
        <v>142</v>
      </c>
      <c r="J159" s="91">
        <f>H159/I159</f>
        <v>449.22154647887328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12377.9424</v>
      </c>
      <c r="I160" s="25">
        <v>142</v>
      </c>
      <c r="J160" s="91">
        <f t="shared" ref="J160" si="11">H160/I160</f>
        <v>87.168608450704227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76167.402000000002</v>
      </c>
      <c r="I161" s="93"/>
      <c r="J161" s="85">
        <f>SUM(J159:J160)</f>
        <v>536.39015492957753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90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199950*$O$4-0.0039</f>
        <v>41509.616099999999</v>
      </c>
      <c r="I164" s="25">
        <v>142</v>
      </c>
      <c r="J164" s="91">
        <f>H164/I164</f>
        <v>292.32124014084508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20775.57</v>
      </c>
      <c r="I165" s="25">
        <v>142</v>
      </c>
      <c r="J165" s="91">
        <f t="shared" ref="J165" si="12">H165/I165</f>
        <v>146.3068309859155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62285.186099999999</v>
      </c>
      <c r="I166" s="93"/>
      <c r="J166" s="85">
        <f>SUM(J164:J165)</f>
        <v>438.62807112676057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25772.266971830988</v>
      </c>
      <c r="B172" s="19"/>
      <c r="C172" s="19"/>
      <c r="D172" s="19">
        <f>J59</f>
        <v>81.738845070422542</v>
      </c>
      <c r="E172" s="19">
        <f>J69</f>
        <v>3115.403478338028</v>
      </c>
      <c r="F172" s="19">
        <f>I80</f>
        <v>487.5728687323944</v>
      </c>
      <c r="G172" s="19">
        <f>I92</f>
        <v>788.07065239436611</v>
      </c>
      <c r="H172" s="19">
        <f>H97</f>
        <v>10.160704225352113</v>
      </c>
      <c r="I172" s="19">
        <f>H117</f>
        <v>132.96633802816902</v>
      </c>
      <c r="J172" s="19">
        <f>H104</f>
        <v>60.909065154929586</v>
      </c>
      <c r="K172" s="124">
        <f>J148</f>
        <v>24828.683309859152</v>
      </c>
      <c r="L172" s="125">
        <f>J161+J166+H156</f>
        <v>1737.4293722535213</v>
      </c>
      <c r="M172" s="125">
        <f>H109</f>
        <v>219.29577464788733</v>
      </c>
      <c r="N172" s="126">
        <f>SUM(D172:M172)+A172</f>
        <v>57234.497380535206</v>
      </c>
      <c r="O172" s="127">
        <f>J166+J161+H156+J148+H117+H104+H97+I92+I80+J69+J59+J51+H109</f>
        <v>57234.497380535213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N172*42</f>
        <v>2403848.8899824787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8127298.6380359996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1" s="79" customFormat="1" ht="9.75" customHeight="1" x14ac:dyDescent="0.25"/>
    <row r="178" spans="1:11" s="79" customFormat="1" ht="15.75" x14ac:dyDescent="0.25">
      <c r="A178" s="130" t="s">
        <v>28</v>
      </c>
      <c r="B178" s="53"/>
    </row>
    <row r="179" spans="1:11" s="79" customFormat="1" ht="15.75" x14ac:dyDescent="0.25">
      <c r="A179" s="130" t="s">
        <v>103</v>
      </c>
      <c r="B179" s="53"/>
    </row>
    <row r="180" spans="1:11" s="79" customFormat="1" ht="15.75" x14ac:dyDescent="0.25">
      <c r="A180" s="130" t="s">
        <v>62</v>
      </c>
      <c r="C180" s="53"/>
    </row>
    <row r="181" spans="1:11" s="79" customFormat="1" ht="15.75" x14ac:dyDescent="0.25">
      <c r="A181" s="131"/>
      <c r="B181" s="131"/>
      <c r="C181" s="131"/>
      <c r="J181" s="231">
        <f>J174/O4</f>
        <v>39148837.370115601</v>
      </c>
      <c r="K181" s="231"/>
    </row>
    <row r="182" spans="1:11" s="79" customFormat="1" x14ac:dyDescent="0.25">
      <c r="J182" s="231">
        <f>J181-39148837.37</f>
        <v>1.1560320854187012E-4</v>
      </c>
      <c r="K182" s="231"/>
    </row>
    <row r="183" spans="1:11" x14ac:dyDescent="0.25">
      <c r="H183" s="79"/>
      <c r="I183" s="79"/>
      <c r="J183" s="79"/>
    </row>
    <row r="184" spans="1:11" x14ac:dyDescent="0.25">
      <c r="H184" s="79"/>
      <c r="I184" s="79"/>
      <c r="J184" s="79"/>
    </row>
    <row r="185" spans="1:11" x14ac:dyDescent="0.25">
      <c r="H185" s="79"/>
      <c r="I185" s="79"/>
      <c r="J185" s="79"/>
    </row>
    <row r="186" spans="1:11" x14ac:dyDescent="0.25">
      <c r="H186" s="79"/>
      <c r="I186" s="79"/>
      <c r="J186" s="79"/>
    </row>
    <row r="187" spans="1:11" x14ac:dyDescent="0.25">
      <c r="H187" s="79"/>
      <c r="I187" s="79"/>
      <c r="J187" s="79"/>
    </row>
    <row r="188" spans="1:11" x14ac:dyDescent="0.25">
      <c r="H188" s="79"/>
      <c r="I188" s="79"/>
      <c r="J188" s="79"/>
    </row>
    <row r="189" spans="1:11" x14ac:dyDescent="0.25">
      <c r="H189" s="79"/>
      <c r="I189" s="79"/>
      <c r="J189" s="79"/>
    </row>
    <row r="190" spans="1:11" x14ac:dyDescent="0.25">
      <c r="H190" s="79"/>
      <c r="I190" s="79"/>
      <c r="J190" s="79"/>
    </row>
    <row r="191" spans="1:11" x14ac:dyDescent="0.25">
      <c r="H191" s="79"/>
      <c r="I191" s="79"/>
      <c r="J191" s="79"/>
    </row>
    <row r="192" spans="1:11" x14ac:dyDescent="0.25">
      <c r="H192" s="79"/>
      <c r="I192" s="79"/>
      <c r="J192" s="79"/>
    </row>
    <row r="193" spans="8:10" x14ac:dyDescent="0.25">
      <c r="H193" s="79"/>
      <c r="I193" s="79"/>
      <c r="J193" s="79"/>
    </row>
    <row r="194" spans="8:10" x14ac:dyDescent="0.25">
      <c r="H194" s="79"/>
      <c r="I194" s="79"/>
      <c r="J194" s="79"/>
    </row>
    <row r="195" spans="8:10" x14ac:dyDescent="0.25">
      <c r="H195" s="79"/>
      <c r="I195" s="79"/>
      <c r="J195" s="79"/>
    </row>
    <row r="196" spans="8:10" x14ac:dyDescent="0.25">
      <c r="H196" s="79"/>
      <c r="I196" s="79"/>
      <c r="J196" s="79"/>
    </row>
    <row r="197" spans="8:10" x14ac:dyDescent="0.25">
      <c r="H197" s="79"/>
      <c r="I197" s="79"/>
      <c r="J197" s="79"/>
    </row>
    <row r="198" spans="8:10" x14ac:dyDescent="0.25">
      <c r="H198" s="79"/>
      <c r="I198" s="79"/>
      <c r="J198" s="79"/>
    </row>
    <row r="199" spans="8:10" x14ac:dyDescent="0.25">
      <c r="H199" s="79"/>
      <c r="I199" s="79"/>
      <c r="J199" s="79"/>
    </row>
    <row r="200" spans="8:10" x14ac:dyDescent="0.25">
      <c r="H200" s="79"/>
      <c r="I200" s="79"/>
      <c r="J200" s="79"/>
    </row>
    <row r="201" spans="8:10" x14ac:dyDescent="0.25">
      <c r="H201" s="79"/>
      <c r="I201" s="79"/>
      <c r="J201" s="79"/>
    </row>
    <row r="202" spans="8:10" x14ac:dyDescent="0.25">
      <c r="H202" s="79"/>
      <c r="I202" s="79"/>
      <c r="J202" s="79"/>
    </row>
    <row r="203" spans="8:10" x14ac:dyDescent="0.25">
      <c r="H203" s="79"/>
      <c r="I203" s="79"/>
      <c r="J203" s="79"/>
    </row>
    <row r="204" spans="8:10" x14ac:dyDescent="0.25">
      <c r="H204" s="79"/>
      <c r="I204" s="79"/>
      <c r="J204" s="79"/>
    </row>
    <row r="205" spans="8:10" x14ac:dyDescent="0.25">
      <c r="H205" s="79"/>
      <c r="I205" s="79"/>
      <c r="J205" s="79"/>
    </row>
    <row r="206" spans="8:10" x14ac:dyDescent="0.25">
      <c r="H206" s="79"/>
      <c r="I206" s="79"/>
      <c r="J206" s="79"/>
    </row>
    <row r="207" spans="8:10" x14ac:dyDescent="0.25">
      <c r="H207" s="79"/>
      <c r="I207" s="79"/>
      <c r="J207" s="79"/>
    </row>
    <row r="208" spans="8:10" x14ac:dyDescent="0.25">
      <c r="H208" s="79"/>
      <c r="I208" s="79"/>
      <c r="J208" s="79"/>
    </row>
    <row r="209" spans="1:13" x14ac:dyDescent="0.25">
      <c r="H209" s="79"/>
      <c r="I209" s="79"/>
      <c r="J209" s="79"/>
    </row>
    <row r="210" spans="1:13" x14ac:dyDescent="0.25">
      <c r="H210" s="79"/>
      <c r="I210" s="79"/>
      <c r="J210" s="79"/>
    </row>
    <row r="211" spans="1:13" x14ac:dyDescent="0.25">
      <c r="H211" s="79"/>
      <c r="I211" s="79"/>
      <c r="J211" s="79"/>
    </row>
    <row r="212" spans="1:13" x14ac:dyDescent="0.25">
      <c r="I212" s="79"/>
      <c r="J212" s="79">
        <f>J210-I209</f>
        <v>0</v>
      </c>
    </row>
    <row r="213" spans="1:13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</row>
  </sheetData>
  <mergeCells count="177">
    <mergeCell ref="O175:P175"/>
    <mergeCell ref="J181:K181"/>
    <mergeCell ref="J182:K182"/>
    <mergeCell ref="A127:D127"/>
    <mergeCell ref="A128:D128"/>
    <mergeCell ref="A139:D139"/>
    <mergeCell ref="A140:D140"/>
    <mergeCell ref="A151:K151"/>
    <mergeCell ref="A161:G161"/>
    <mergeCell ref="A166:G166"/>
    <mergeCell ref="A168:N168"/>
    <mergeCell ref="A170:C170"/>
    <mergeCell ref="D170:M170"/>
    <mergeCell ref="A129:D129"/>
    <mergeCell ref="A130:D130"/>
    <mergeCell ref="A131:D131"/>
    <mergeCell ref="A132:D132"/>
    <mergeCell ref="A133:D133"/>
    <mergeCell ref="A134:D134"/>
    <mergeCell ref="A135:D135"/>
    <mergeCell ref="A141:D141"/>
    <mergeCell ref="A142:D142"/>
    <mergeCell ref="A143:D143"/>
    <mergeCell ref="A144:D144"/>
    <mergeCell ref="A117:D117"/>
    <mergeCell ref="A119:N119"/>
    <mergeCell ref="A122:D122"/>
    <mergeCell ref="A123:D123"/>
    <mergeCell ref="A115:D115"/>
    <mergeCell ref="A109:D109"/>
    <mergeCell ref="A114:D114"/>
    <mergeCell ref="A108:D108"/>
    <mergeCell ref="A113:D113"/>
    <mergeCell ref="A120:D120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39:K39"/>
    <mergeCell ref="G40:K40"/>
    <mergeCell ref="G41:K41"/>
    <mergeCell ref="G42:K42"/>
    <mergeCell ref="G43:K43"/>
    <mergeCell ref="A44:E44"/>
    <mergeCell ref="G44:K44"/>
    <mergeCell ref="G38:K38"/>
    <mergeCell ref="A47:N47"/>
    <mergeCell ref="A55:D55"/>
    <mergeCell ref="A56:D56"/>
    <mergeCell ref="A57:D57"/>
    <mergeCell ref="A58:D58"/>
    <mergeCell ref="A48:D48"/>
    <mergeCell ref="A49:D49"/>
    <mergeCell ref="A50:D50"/>
    <mergeCell ref="A51:D51"/>
    <mergeCell ref="A54:N54"/>
    <mergeCell ref="A74:D74"/>
    <mergeCell ref="A68:D68"/>
    <mergeCell ref="A69:D69"/>
    <mergeCell ref="A59:D59"/>
    <mergeCell ref="A62:D62"/>
    <mergeCell ref="A67:D67"/>
    <mergeCell ref="A61:N61"/>
    <mergeCell ref="A63:D63"/>
    <mergeCell ref="A64:D64"/>
    <mergeCell ref="A65:D65"/>
    <mergeCell ref="A66:D66"/>
    <mergeCell ref="A71:N71"/>
    <mergeCell ref="A72:D72"/>
    <mergeCell ref="A73:D73"/>
    <mergeCell ref="A77:D77"/>
    <mergeCell ref="A78:D78"/>
    <mergeCell ref="A75:D75"/>
    <mergeCell ref="A76:D76"/>
    <mergeCell ref="A84:D84"/>
    <mergeCell ref="A85:D85"/>
    <mergeCell ref="A86:D86"/>
    <mergeCell ref="A87:D87"/>
    <mergeCell ref="A88:D88"/>
    <mergeCell ref="A83:D83"/>
    <mergeCell ref="A91:D91"/>
    <mergeCell ref="A92:D92"/>
    <mergeCell ref="A79:D79"/>
    <mergeCell ref="A82:N82"/>
    <mergeCell ref="A89:D89"/>
    <mergeCell ref="A90:D90"/>
    <mergeCell ref="A146:D146"/>
    <mergeCell ref="A147:D147"/>
    <mergeCell ref="A154:D154"/>
    <mergeCell ref="A137:D137"/>
    <mergeCell ref="A138:D138"/>
    <mergeCell ref="A126:D126"/>
    <mergeCell ref="A145:D145"/>
    <mergeCell ref="A148:D148"/>
    <mergeCell ref="A121:D121"/>
    <mergeCell ref="A124:D124"/>
    <mergeCell ref="A125:D125"/>
    <mergeCell ref="A94:N94"/>
    <mergeCell ref="H95:I95"/>
    <mergeCell ref="H96:I96"/>
    <mergeCell ref="H97:I97"/>
    <mergeCell ref="A99:N99"/>
    <mergeCell ref="A100:D100"/>
    <mergeCell ref="A101:D101"/>
    <mergeCell ref="A163:D163"/>
    <mergeCell ref="A164:D164"/>
    <mergeCell ref="J174:K174"/>
    <mergeCell ref="A103:D103"/>
    <mergeCell ref="A97:D97"/>
    <mergeCell ref="A95:D95"/>
    <mergeCell ref="A96:D96"/>
    <mergeCell ref="A160:D160"/>
    <mergeCell ref="A136:D136"/>
    <mergeCell ref="A165:D165"/>
    <mergeCell ref="A156:D156"/>
    <mergeCell ref="A158:D158"/>
    <mergeCell ref="A159:D159"/>
    <mergeCell ref="A155:D155"/>
    <mergeCell ref="A106:N106"/>
    <mergeCell ref="H107:I107"/>
    <mergeCell ref="A104:D104"/>
    <mergeCell ref="A107:D107"/>
    <mergeCell ref="A102:D102"/>
    <mergeCell ref="H108:I108"/>
    <mergeCell ref="H109:I109"/>
    <mergeCell ref="A111:N111"/>
    <mergeCell ref="A112:D112"/>
    <mergeCell ref="A116:D116"/>
  </mergeCells>
  <pageMargins left="0.51181102362204722" right="0.31496062992125984" top="0.35433070866141736" bottom="0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213"/>
  <sheetViews>
    <sheetView view="pageBreakPreview" topLeftCell="A164" zoomScale="60" zoomScaleNormal="60" workbookViewId="0">
      <selection activeCell="A15" sqref="A15:XFD206"/>
    </sheetView>
  </sheetViews>
  <sheetFormatPr defaultRowHeight="15" x14ac:dyDescent="0.25"/>
  <cols>
    <col min="1" max="1" width="10.5703125" customWidth="1"/>
    <col min="2" max="3" width="4.28515625" customWidth="1"/>
    <col min="4" max="4" width="10.85546875" customWidth="1"/>
    <col min="5" max="5" width="12.5703125" customWidth="1"/>
    <col min="6" max="6" width="11" customWidth="1"/>
    <col min="7" max="8" width="14.7109375" customWidth="1"/>
    <col min="9" max="9" width="12.85546875" customWidth="1"/>
    <col min="10" max="10" width="13.7109375" customWidth="1"/>
    <col min="11" max="11" width="11.7109375" customWidth="1"/>
    <col min="12" max="12" width="10.7109375" customWidth="1"/>
    <col min="13" max="13" width="10.28515625" customWidth="1"/>
    <col min="14" max="14" width="12.5703125" customWidth="1"/>
    <col min="15" max="15" width="13.7109375" customWidth="1"/>
    <col min="16" max="16" width="22.42578125" customWidth="1"/>
    <col min="17" max="17" width="16.5703125" customWidth="1"/>
    <col min="18" max="18" width="16.14062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54"/>
      <c r="F3" s="22"/>
      <c r="G3" s="22"/>
    </row>
    <row r="4" spans="1:15" ht="27.75" customHeight="1" x14ac:dyDescent="0.25">
      <c r="A4" s="219"/>
      <c r="B4" s="219"/>
      <c r="C4" s="219"/>
      <c r="D4" s="59"/>
      <c r="E4" s="219"/>
      <c r="F4" s="219"/>
      <c r="G4" s="24"/>
      <c r="H4" s="230"/>
      <c r="I4" s="200"/>
      <c r="J4" s="200"/>
      <c r="K4" s="200"/>
      <c r="L4" s="60"/>
      <c r="O4" s="76">
        <v>4.0899999999999999E-2</v>
      </c>
    </row>
    <row r="5" spans="1:15" ht="9.75" customHeight="1" x14ac:dyDescent="0.25">
      <c r="A5" s="1"/>
      <c r="B5" s="1"/>
      <c r="C5" s="1"/>
      <c r="D5" s="53"/>
      <c r="E5" s="1"/>
      <c r="F5" s="1"/>
      <c r="G5" s="53"/>
    </row>
    <row r="6" spans="1:15" ht="11.25" customHeight="1" x14ac:dyDescent="0.25">
      <c r="A6" s="55"/>
      <c r="B6" s="55"/>
      <c r="C6" s="55"/>
      <c r="D6" s="55"/>
      <c r="E6" s="55"/>
      <c r="F6" s="55"/>
      <c r="G6" s="55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</row>
    <row r="8" spans="1:15" ht="15.75" x14ac:dyDescent="0.25">
      <c r="A8" s="198" t="s">
        <v>150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</row>
    <row r="9" spans="1:15" ht="11.25" customHeight="1" x14ac:dyDescent="0.25"/>
    <row r="10" spans="1:1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5" ht="17.25" customHeight="1" x14ac:dyDescent="0.25">
      <c r="A12" s="215" t="s">
        <v>65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ht="15.75" x14ac:dyDescent="0.25">
      <c r="A14" s="5" t="s">
        <v>111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53"/>
      <c r="I15" s="53"/>
      <c r="J15" s="53"/>
      <c r="K15" s="4"/>
      <c r="L15" s="4"/>
      <c r="M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0.70716099999999993</v>
      </c>
      <c r="G17" s="222" t="s">
        <v>1</v>
      </c>
      <c r="H17" s="223"/>
      <c r="I17" s="223"/>
      <c r="J17" s="223"/>
      <c r="K17" s="224"/>
      <c r="L17" s="61">
        <f>M17*$O$4</f>
        <v>4.0899999999999999E-2</v>
      </c>
      <c r="M17" s="134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0.26584999999999998</v>
      </c>
      <c r="G18" s="207" t="s">
        <v>123</v>
      </c>
      <c r="H18" s="208"/>
      <c r="I18" s="208"/>
      <c r="J18" s="208"/>
      <c r="K18" s="209"/>
      <c r="L18" s="61">
        <f t="shared" ref="L18:L41" si="0">M18*$O$4</f>
        <v>4.0899999999999999E-2</v>
      </c>
      <c r="M18" s="134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4.0899999999999999E-2</v>
      </c>
      <c r="M19" s="134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4.0899999999999999E-2</v>
      </c>
      <c r="M20" s="134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4.0899999999999999E-2</v>
      </c>
      <c r="M21" s="134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2.0449999999999999E-2</v>
      </c>
      <c r="M22" s="134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4.0899999999999999E-2</v>
      </c>
      <c r="M23" s="134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4.0899999999999999E-2</v>
      </c>
      <c r="M24" s="134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4.0899999999999999E-2</v>
      </c>
      <c r="M25" s="134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4.0899999999999999E-2</v>
      </c>
      <c r="M26" s="134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2.0449999999999999E-2</v>
      </c>
      <c r="M27" s="134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4.0899999999999999E-2</v>
      </c>
      <c r="M28" s="134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8.1799999999999998E-2</v>
      </c>
      <c r="M29" s="134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4.0899999999999999E-2</v>
      </c>
      <c r="M30" s="134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4.0899999999999999E-2</v>
      </c>
      <c r="M31" s="134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4.0899999999999999E-2</v>
      </c>
      <c r="M32" s="134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0.194275</v>
      </c>
      <c r="M33" s="134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0.14315</v>
      </c>
      <c r="M34" s="134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0.1636</v>
      </c>
      <c r="M35" s="134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4.0899999999999999E-2</v>
      </c>
      <c r="M36" s="134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4.0899999999999999E-2</v>
      </c>
      <c r="M37" s="134">
        <v>1</v>
      </c>
    </row>
    <row r="38" spans="1:17" ht="15" customHeight="1" x14ac:dyDescent="0.25">
      <c r="A38" s="101"/>
      <c r="B38" s="102"/>
      <c r="C38" s="102"/>
      <c r="D38" s="102"/>
      <c r="E38" s="103"/>
      <c r="F38" s="21"/>
      <c r="G38" s="183" t="s">
        <v>137</v>
      </c>
      <c r="H38" s="184"/>
      <c r="I38" s="184"/>
      <c r="J38" s="184"/>
      <c r="K38" s="185"/>
      <c r="L38" s="61">
        <f t="shared" si="0"/>
        <v>2.0449999999999999E-2</v>
      </c>
      <c r="M38" s="134">
        <v>0.5</v>
      </c>
    </row>
    <row r="39" spans="1:17" ht="15" customHeight="1" x14ac:dyDescent="0.25">
      <c r="A39" s="101"/>
      <c r="B39" s="102"/>
      <c r="C39" s="102"/>
      <c r="D39" s="102"/>
      <c r="E39" s="103"/>
      <c r="F39" s="21"/>
      <c r="G39" s="183" t="s">
        <v>138</v>
      </c>
      <c r="H39" s="184"/>
      <c r="I39" s="184"/>
      <c r="J39" s="184"/>
      <c r="K39" s="185"/>
      <c r="L39" s="61">
        <f t="shared" si="0"/>
        <v>2.0449999999999999E-2</v>
      </c>
      <c r="M39" s="134">
        <v>0.5</v>
      </c>
    </row>
    <row r="40" spans="1:17" ht="15" customHeight="1" x14ac:dyDescent="0.25">
      <c r="A40" s="101"/>
      <c r="B40" s="102"/>
      <c r="C40" s="102"/>
      <c r="D40" s="102"/>
      <c r="E40" s="103"/>
      <c r="F40" s="21"/>
      <c r="G40" s="183" t="s">
        <v>139</v>
      </c>
      <c r="H40" s="184"/>
      <c r="I40" s="184"/>
      <c r="J40" s="184"/>
      <c r="K40" s="185"/>
      <c r="L40" s="61">
        <f t="shared" si="0"/>
        <v>0.44989999999999997</v>
      </c>
      <c r="M40" s="134">
        <v>11</v>
      </c>
    </row>
    <row r="41" spans="1:17" ht="15" customHeight="1" x14ac:dyDescent="0.25">
      <c r="A41" s="101"/>
      <c r="B41" s="102"/>
      <c r="C41" s="102"/>
      <c r="D41" s="102"/>
      <c r="E41" s="103"/>
      <c r="F41" s="21"/>
      <c r="G41" s="183" t="s">
        <v>140</v>
      </c>
      <c r="H41" s="184"/>
      <c r="I41" s="184"/>
      <c r="J41" s="184"/>
      <c r="K41" s="185"/>
      <c r="L41" s="61">
        <f t="shared" si="0"/>
        <v>8.1799999999999998E-2</v>
      </c>
      <c r="M41" s="134">
        <v>2</v>
      </c>
    </row>
    <row r="42" spans="1:17" ht="15" customHeight="1" x14ac:dyDescent="0.25">
      <c r="A42" s="101"/>
      <c r="B42" s="102"/>
      <c r="C42" s="102"/>
      <c r="D42" s="102"/>
      <c r="E42" s="103"/>
      <c r="F42" s="21"/>
      <c r="G42" s="183"/>
      <c r="H42" s="184"/>
      <c r="I42" s="184"/>
      <c r="J42" s="184"/>
      <c r="K42" s="185"/>
      <c r="L42" s="61"/>
      <c r="M42" s="134"/>
    </row>
    <row r="43" spans="1:17" ht="15" customHeight="1" x14ac:dyDescent="0.25">
      <c r="A43" s="101"/>
      <c r="B43" s="102"/>
      <c r="C43" s="102"/>
      <c r="D43" s="102"/>
      <c r="E43" s="103"/>
      <c r="F43" s="21"/>
      <c r="G43" s="183"/>
      <c r="H43" s="184"/>
      <c r="I43" s="184"/>
      <c r="J43" s="184"/>
      <c r="K43" s="185"/>
      <c r="L43" s="61"/>
      <c r="M43" s="134"/>
      <c r="O43" s="67">
        <f>L44+F44</f>
        <v>2.7828360000000001</v>
      </c>
      <c r="P43">
        <f>L44/O4</f>
        <v>44.250000000000007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0.97301099999999985</v>
      </c>
      <c r="G44" s="187" t="s">
        <v>2</v>
      </c>
      <c r="H44" s="187"/>
      <c r="I44" s="187"/>
      <c r="J44" s="187"/>
      <c r="K44" s="187"/>
      <c r="L44" s="65">
        <f>SUM(L17:L41)</f>
        <v>1.8098250000000002</v>
      </c>
      <c r="M44" s="135">
        <f>SUM(M17:M43)</f>
        <v>44.25</v>
      </c>
      <c r="O44" s="107">
        <f>O43/O4</f>
        <v>68.040000000000006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75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47574.360824742274</v>
      </c>
      <c r="F50" s="19">
        <v>0.97</v>
      </c>
      <c r="G50" s="70">
        <v>553765.56000000006</v>
      </c>
      <c r="H50" s="19">
        <v>721002.76</v>
      </c>
      <c r="I50" s="25">
        <v>28</v>
      </c>
      <c r="J50" s="19">
        <f>H50/I50</f>
        <v>25750.098571428571</v>
      </c>
      <c r="K50" s="72">
        <f>H50/17628429.26*100</f>
        <v>4.0900000185268919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721002.76</v>
      </c>
      <c r="I51" s="28"/>
      <c r="J51" s="39">
        <f>J50</f>
        <v>25750.098571428571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50.988666666666667</v>
      </c>
      <c r="H57" s="70">
        <f>14960*O4</f>
        <v>611.86400000000003</v>
      </c>
      <c r="I57" s="25">
        <v>28</v>
      </c>
      <c r="J57" s="19">
        <f>H57/I57</f>
        <v>21.852285714285717</v>
      </c>
      <c r="K57" s="26"/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139.57124999999999</v>
      </c>
      <c r="H58" s="70">
        <f>40950*O4</f>
        <v>1674.855</v>
      </c>
      <c r="I58" s="25">
        <v>28</v>
      </c>
      <c r="J58" s="19">
        <f>H58/I58</f>
        <v>59.816250000000004</v>
      </c>
      <c r="K58" s="26"/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2286.7190000000001</v>
      </c>
      <c r="I59" s="28"/>
      <c r="J59" s="33">
        <f>SUM(J57:J58)</f>
        <v>81.668535714285724</v>
      </c>
      <c r="K59" s="26"/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 t="e">
        <f>U62/S62*K66</f>
        <v>#DIV/0!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3.0549163519657583</v>
      </c>
      <c r="G64" s="19">
        <v>6569.73</v>
      </c>
      <c r="H64" s="70">
        <f>490708.45*O4</f>
        <v>20069.975605</v>
      </c>
      <c r="I64" s="25">
        <v>28</v>
      </c>
      <c r="J64" s="19">
        <f t="shared" ref="J64:J68" si="1">H64/I64</f>
        <v>716.78484303571429</v>
      </c>
      <c r="K64" s="133"/>
      <c r="L64" s="26"/>
      <c r="M64" s="26"/>
      <c r="N64" s="109"/>
      <c r="U64" s="79" t="e">
        <f>U62/S62*K67</f>
        <v>#DIV/0!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28.776321899989817</v>
      </c>
      <c r="G65" s="19">
        <v>1768.22</v>
      </c>
      <c r="H65" s="70">
        <f>1244079.9*O4</f>
        <v>50882.867909999994</v>
      </c>
      <c r="I65" s="25">
        <v>28</v>
      </c>
      <c r="J65" s="19">
        <f t="shared" si="1"/>
        <v>1817.2452824999998</v>
      </c>
      <c r="K65" s="133"/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6060.8646599999993</v>
      </c>
      <c r="I66" s="25">
        <v>28</v>
      </c>
      <c r="J66" s="19">
        <f t="shared" si="1"/>
        <v>216.45945214285712</v>
      </c>
      <c r="K66" s="133"/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8826.7353399999993</v>
      </c>
      <c r="I67" s="25">
        <v>28</v>
      </c>
      <c r="J67" s="27">
        <f t="shared" si="1"/>
        <v>315.24054785714281</v>
      </c>
      <c r="K67" s="133"/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1315.820076</v>
      </c>
      <c r="I68" s="25">
        <v>28</v>
      </c>
      <c r="J68" s="27">
        <f t="shared" si="1"/>
        <v>46.993574142857142</v>
      </c>
      <c r="K68" s="133"/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87156.273590999976</v>
      </c>
      <c r="I69" s="28"/>
      <c r="J69" s="33">
        <f>SUM(J64:J68)</f>
        <v>3112.7236996785709</v>
      </c>
      <c r="K69" s="133"/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60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6050.7460000000001</v>
      </c>
      <c r="H73" s="25">
        <v>28</v>
      </c>
      <c r="I73" s="84">
        <f>G73/H73</f>
        <v>216.09807142857144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4386.5249999999996</v>
      </c>
      <c r="H74" s="25">
        <v>28</v>
      </c>
      <c r="I74" s="84">
        <f t="shared" ref="I74:I79" si="2">G74/H74</f>
        <v>156.66160714285712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425.36</v>
      </c>
      <c r="H75" s="25">
        <v>28</v>
      </c>
      <c r="I75" s="84">
        <f t="shared" si="2"/>
        <v>15.191428571428572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1636</v>
      </c>
      <c r="H76" s="25">
        <v>28</v>
      </c>
      <c r="I76" s="84">
        <f t="shared" si="2"/>
        <v>58.428571428571431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122.7</v>
      </c>
      <c r="H77" s="25">
        <v>28</v>
      </c>
      <c r="I77" s="84">
        <f>G77/H77</f>
        <v>4.3821428571428571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154.2748</v>
      </c>
      <c r="H78" s="25">
        <v>28</v>
      </c>
      <c r="I78" s="84">
        <f t="shared" si="2"/>
        <v>5.5098142857142856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864.69143999999994</v>
      </c>
      <c r="H79" s="25">
        <v>28</v>
      </c>
      <c r="I79" s="84">
        <f t="shared" si="2"/>
        <v>30.88183714285714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13640.297240000002</v>
      </c>
      <c r="I80" s="85">
        <f>SUM(I73:I79)</f>
        <v>487.1534728571429</v>
      </c>
      <c r="J80" s="107"/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60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1137.6743999999999</v>
      </c>
      <c r="H84" s="25">
        <v>28</v>
      </c>
      <c r="I84" s="87">
        <f>G84/H84</f>
        <v>40.631228571428565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1454.7311999999999</v>
      </c>
      <c r="H85" s="25">
        <v>28</v>
      </c>
      <c r="I85" s="87">
        <f t="shared" ref="I85:I91" si="3">G85/H85</f>
        <v>51.954685714285709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5193.4002</v>
      </c>
      <c r="H86" s="25">
        <v>28</v>
      </c>
      <c r="I86" s="87">
        <f t="shared" si="3"/>
        <v>185.47857857142859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10046.283359999999</v>
      </c>
      <c r="H87" s="25">
        <v>28</v>
      </c>
      <c r="I87" s="87">
        <f t="shared" si="3"/>
        <v>358.79583428571425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3461.7759999999998</v>
      </c>
      <c r="H88" s="25">
        <v>28</v>
      </c>
      <c r="I88" s="87">
        <f t="shared" si="3"/>
        <v>123.63485714285714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286.3</v>
      </c>
      <c r="H89" s="25">
        <v>28</v>
      </c>
      <c r="I89" s="87">
        <f t="shared" si="3"/>
        <v>10.225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121.2276</v>
      </c>
      <c r="H90" s="25">
        <v>28</v>
      </c>
      <c r="I90" s="87">
        <f>G90/H90</f>
        <v>4.3295571428571424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345.60500000000002</v>
      </c>
      <c r="H91" s="25">
        <v>28</v>
      </c>
      <c r="I91" s="87">
        <f t="shared" si="3"/>
        <v>12.343035714285715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22046.997759999998</v>
      </c>
      <c r="H92" s="26"/>
      <c r="I92" s="85">
        <f>SUM(I84:I91)</f>
        <v>787.39277714285731</v>
      </c>
      <c r="J92" s="26"/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284.255</v>
      </c>
      <c r="G96" s="25">
        <v>28</v>
      </c>
      <c r="H96" s="227">
        <f t="shared" ref="H96" si="4">F96/G96</f>
        <v>10.151964285714286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284.255</v>
      </c>
      <c r="G97" s="26"/>
      <c r="H97" s="228">
        <f>SUM(H96:H96)</f>
        <v>10.151964285714286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196.32</v>
      </c>
      <c r="G101" s="25">
        <v>28</v>
      </c>
      <c r="H101" s="87">
        <f t="shared" ref="H101:H103" si="5">F101/G101</f>
        <v>7.0114285714285716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1098.666843</v>
      </c>
      <c r="G102" s="25">
        <v>28</v>
      </c>
      <c r="H102" s="87">
        <f t="shared" si="5"/>
        <v>39.238101535714286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409</v>
      </c>
      <c r="G103" s="25">
        <v>28</v>
      </c>
      <c r="H103" s="87">
        <f t="shared" si="5"/>
        <v>14.607142857142858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1703.9868429999999</v>
      </c>
      <c r="G104" s="26"/>
      <c r="H104" s="30">
        <f>SUM(H101:H103)</f>
        <v>60.856672964285721</v>
      </c>
      <c r="I104" s="26"/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6135</v>
      </c>
      <c r="G108" s="25">
        <v>28</v>
      </c>
      <c r="H108" s="227">
        <f>F108/G108</f>
        <v>219.10714285714286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6135</v>
      </c>
      <c r="G109" s="26"/>
      <c r="H109" s="228">
        <f>SUM(H108:H108)</f>
        <v>219.10714285714286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184.04999999999998</v>
      </c>
      <c r="G113" s="25">
        <v>28</v>
      </c>
      <c r="H113" s="87">
        <f t="shared" ref="H113:H116" si="6">F113/G113</f>
        <v>6.5732142857142852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2513.3049999999998</v>
      </c>
      <c r="G114" s="25">
        <v>28</v>
      </c>
      <c r="H114" s="87">
        <f t="shared" si="6"/>
        <v>89.760892857142849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409</v>
      </c>
      <c r="G115" s="25">
        <v>28</v>
      </c>
      <c r="H115" s="87">
        <f t="shared" si="6"/>
        <v>14.607142857142858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613.5</v>
      </c>
      <c r="G116" s="25">
        <v>28</v>
      </c>
      <c r="H116" s="87">
        <f t="shared" si="6"/>
        <v>21.910714285714285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3719.855</v>
      </c>
      <c r="G117" s="26"/>
      <c r="H117" s="30">
        <f>SUM(H113:H116)</f>
        <v>132.85196428571427</v>
      </c>
      <c r="I117" s="26"/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75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24562.195672191527</v>
      </c>
      <c r="F122" s="19">
        <v>1.81</v>
      </c>
      <c r="G122" s="70">
        <v>533490.89</v>
      </c>
      <c r="H122" s="19">
        <v>694605.14</v>
      </c>
      <c r="I122" s="25">
        <v>28</v>
      </c>
      <c r="J122" s="19">
        <f>H122/I122</f>
        <v>24807.326428571429</v>
      </c>
      <c r="K122" s="72">
        <f>H122/16983010.74*100</f>
        <v>4.0900000043219666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7">F123/G123*H123</f>
        <v>#DIV/0!</v>
      </c>
      <c r="J123" s="19">
        <f t="shared" ref="J123:J144" si="8">E123*F123*12*1.302</f>
        <v>1116552.28608</v>
      </c>
      <c r="K123" s="35" t="s">
        <v>26</v>
      </c>
      <c r="L123" s="64"/>
      <c r="M123" s="64"/>
      <c r="N123" s="117" t="e">
        <f t="shared" ref="N123:N147" si="9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7"/>
        <v>#DIV/0!</v>
      </c>
      <c r="J124" s="19">
        <f t="shared" si="8"/>
        <v>149115.45600000001</v>
      </c>
      <c r="K124" s="20">
        <f>H124/11277167.39*100</f>
        <v>0</v>
      </c>
      <c r="L124" s="20"/>
      <c r="M124" s="20"/>
      <c r="N124" s="19" t="e">
        <f t="shared" si="9"/>
        <v>#DIV/0!</v>
      </c>
    </row>
    <row r="125" spans="1:17" s="79" customFormat="1" ht="15" hidden="1" customHeight="1" thickBot="1" x14ac:dyDescent="0.3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7"/>
        <v>#DIV/0!</v>
      </c>
      <c r="J125" s="19">
        <f t="shared" si="8"/>
        <v>180613.44</v>
      </c>
      <c r="K125" s="15"/>
      <c r="L125" s="15"/>
      <c r="M125" s="15"/>
      <c r="N125" s="19" t="e">
        <f t="shared" si="9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7"/>
        <v>#DIV/0!</v>
      </c>
      <c r="J126" s="19">
        <f t="shared" si="8"/>
        <v>74557.728000000003</v>
      </c>
      <c r="K126" s="15"/>
      <c r="L126" s="15"/>
      <c r="M126" s="15"/>
      <c r="N126" s="19" t="e">
        <f t="shared" si="9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7"/>
        <v>#DIV/0!</v>
      </c>
      <c r="J127" s="19">
        <f t="shared" si="8"/>
        <v>149115.45600000001</v>
      </c>
      <c r="K127" s="19"/>
      <c r="L127" s="19"/>
      <c r="M127" s="19"/>
      <c r="N127" s="19" t="e">
        <f t="shared" si="9"/>
        <v>#DIV/0!</v>
      </c>
    </row>
    <row r="128" spans="1:17" s="79" customFormat="1" ht="14.25" hidden="1" customHeight="1" x14ac:dyDescent="0.3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7"/>
        <v>#DIV/0!</v>
      </c>
      <c r="J128" s="19">
        <f t="shared" si="8"/>
        <v>149115.45600000001</v>
      </c>
      <c r="K128" s="26"/>
      <c r="L128" s="26"/>
      <c r="M128" s="26"/>
      <c r="N128" s="19" t="e">
        <f t="shared" si="9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7"/>
        <v>#DIV/0!</v>
      </c>
      <c r="J129" s="19">
        <f t="shared" si="8"/>
        <v>0</v>
      </c>
      <c r="K129" s="26"/>
      <c r="L129" s="26"/>
      <c r="M129" s="26"/>
      <c r="N129" s="19" t="e">
        <f t="shared" si="9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7"/>
        <v>#DIV/0!</v>
      </c>
      <c r="J130" s="19">
        <f t="shared" si="8"/>
        <v>37278.864000000001</v>
      </c>
      <c r="K130" s="26"/>
      <c r="L130" s="26"/>
      <c r="M130" s="26"/>
      <c r="N130" s="19" t="e">
        <f t="shared" si="9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7"/>
        <v>#DIV/0!</v>
      </c>
      <c r="J131" s="19">
        <f t="shared" si="8"/>
        <v>0</v>
      </c>
      <c r="K131" s="26"/>
      <c r="L131" s="26"/>
      <c r="M131" s="26"/>
      <c r="N131" s="19" t="e">
        <f t="shared" si="9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7"/>
        <v>#DIV/0!</v>
      </c>
      <c r="J132" s="19">
        <f t="shared" si="8"/>
        <v>74557.728000000003</v>
      </c>
      <c r="K132" s="26"/>
      <c r="L132" s="26"/>
      <c r="M132" s="26"/>
      <c r="N132" s="19" t="e">
        <f t="shared" si="9"/>
        <v>#DIV/0!</v>
      </c>
    </row>
    <row r="133" spans="1:14" s="79" customFormat="1" ht="15.75" hidden="1" customHeight="1" x14ac:dyDescent="0.3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7"/>
        <v>#DIV/0!</v>
      </c>
      <c r="J133" s="19">
        <f t="shared" si="8"/>
        <v>149115.45600000001</v>
      </c>
      <c r="K133" s="26"/>
      <c r="L133" s="26"/>
      <c r="M133" s="26"/>
      <c r="N133" s="19" t="e">
        <f t="shared" si="9"/>
        <v>#DIV/0!</v>
      </c>
    </row>
    <row r="134" spans="1:14" s="79" customFormat="1" ht="15" hidden="1" customHeight="1" x14ac:dyDescent="0.3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7"/>
        <v>#DIV/0!</v>
      </c>
      <c r="J134" s="19">
        <f t="shared" si="8"/>
        <v>149115.45600000001</v>
      </c>
      <c r="K134" s="26"/>
      <c r="L134" s="26"/>
      <c r="M134" s="26"/>
      <c r="N134" s="19" t="e">
        <f t="shared" si="9"/>
        <v>#DIV/0!</v>
      </c>
    </row>
    <row r="135" spans="1:14" s="79" customFormat="1" ht="15" hidden="1" customHeigh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7"/>
        <v>#DIV/0!</v>
      </c>
      <c r="J135" s="19">
        <f t="shared" si="8"/>
        <v>820135.00800000003</v>
      </c>
      <c r="K135" s="26"/>
      <c r="L135" s="26"/>
      <c r="M135" s="26"/>
      <c r="N135" s="19" t="e">
        <f t="shared" si="9"/>
        <v>#DIV/0!</v>
      </c>
    </row>
    <row r="136" spans="1:14" s="79" customFormat="1" ht="15" hidden="1" customHeight="1" x14ac:dyDescent="0.3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7"/>
        <v>#DIV/0!</v>
      </c>
      <c r="J136" s="19">
        <f t="shared" si="8"/>
        <v>149115.45600000001</v>
      </c>
      <c r="K136" s="26"/>
      <c r="L136" s="26"/>
      <c r="M136" s="26"/>
      <c r="N136" s="19" t="e">
        <f t="shared" si="9"/>
        <v>#DIV/0!</v>
      </c>
    </row>
    <row r="137" spans="1:14" s="79" customFormat="1" ht="15" hidden="1" customHeight="1" thickBot="1" x14ac:dyDescent="0.3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7"/>
        <v>#DIV/0!</v>
      </c>
      <c r="J137" s="19">
        <f t="shared" si="8"/>
        <v>74557.728000000003</v>
      </c>
      <c r="K137" s="26"/>
      <c r="L137" s="26"/>
      <c r="M137" s="26"/>
      <c r="N137" s="19" t="e">
        <f t="shared" si="9"/>
        <v>#DIV/0!</v>
      </c>
    </row>
    <row r="138" spans="1:14" s="79" customFormat="1" ht="15" hidden="1" customHeight="1" thickBot="1" x14ac:dyDescent="0.3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7"/>
        <v>#DIV/0!</v>
      </c>
      <c r="J138" s="19">
        <f t="shared" si="8"/>
        <v>74557.728000000003</v>
      </c>
      <c r="K138" s="26"/>
      <c r="L138" s="26"/>
      <c r="M138" s="26"/>
      <c r="N138" s="19" t="e">
        <f t="shared" si="9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7"/>
        <v>#DIV/0!</v>
      </c>
      <c r="J139" s="19">
        <f t="shared" si="8"/>
        <v>149115.45600000001</v>
      </c>
      <c r="K139" s="26"/>
      <c r="L139" s="26"/>
      <c r="M139" s="26"/>
      <c r="N139" s="19" t="e">
        <f t="shared" si="9"/>
        <v>#DIV/0!</v>
      </c>
    </row>
    <row r="140" spans="1:14" s="79" customFormat="1" ht="15.75" hidden="1" customHeight="1" x14ac:dyDescent="0.3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7"/>
        <v>#DIV/0!</v>
      </c>
      <c r="J140" s="19">
        <f t="shared" si="8"/>
        <v>596461.82400000002</v>
      </c>
      <c r="K140" s="26"/>
      <c r="L140" s="26"/>
      <c r="M140" s="26"/>
      <c r="N140" s="19" t="e">
        <f t="shared" si="9"/>
        <v>#DIV/0!</v>
      </c>
    </row>
    <row r="141" spans="1:14" s="79" customFormat="1" ht="16.5" hidden="1" customHeight="1" x14ac:dyDescent="0.3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7"/>
        <v>#DIV/0!</v>
      </c>
      <c r="J141" s="19">
        <f t="shared" si="8"/>
        <v>149115.45600000001</v>
      </c>
      <c r="K141" s="26"/>
      <c r="L141" s="26"/>
      <c r="M141" s="26"/>
      <c r="N141" s="19" t="e">
        <f t="shared" si="9"/>
        <v>#DIV/0!</v>
      </c>
    </row>
    <row r="142" spans="1:14" s="79" customFormat="1" ht="16.5" hidden="1" customHeigh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7"/>
        <v>#DIV/0!</v>
      </c>
      <c r="J142" s="19">
        <f t="shared" si="8"/>
        <v>260952.04800000001</v>
      </c>
      <c r="K142" s="26"/>
      <c r="L142" s="26"/>
      <c r="M142" s="26"/>
      <c r="N142" s="19" t="e">
        <f t="shared" si="9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7"/>
        <v>#DIV/0!</v>
      </c>
      <c r="J143" s="19">
        <f t="shared" si="8"/>
        <v>0</v>
      </c>
      <c r="K143" s="26"/>
      <c r="L143" s="26"/>
      <c r="M143" s="26"/>
      <c r="N143" s="19" t="e">
        <f t="shared" si="9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7"/>
        <v>#DIV/0!</v>
      </c>
      <c r="J144" s="19">
        <f t="shared" si="8"/>
        <v>74557.728000000003</v>
      </c>
      <c r="K144" s="26"/>
      <c r="L144" s="26"/>
      <c r="M144" s="26"/>
      <c r="N144" s="19" t="e">
        <f t="shared" si="9"/>
        <v>#DIV/0!</v>
      </c>
    </row>
    <row r="145" spans="1:17" s="79" customFormat="1" ht="15" hidden="1" customHeight="1" thickBot="1" x14ac:dyDescent="0.3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9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9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9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694605.14</v>
      </c>
      <c r="I148" s="28"/>
      <c r="J148" s="39">
        <f>J122</f>
        <v>24807.326428571429</v>
      </c>
      <c r="K148" s="26"/>
      <c r="L148" s="26"/>
      <c r="M148" s="26"/>
      <c r="N148" s="51"/>
      <c r="Q148" s="79">
        <f>H148/48.5%</f>
        <v>1432175.5463917525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21329.149589999997</v>
      </c>
      <c r="G155" s="25">
        <v>28</v>
      </c>
      <c r="H155" s="87">
        <f t="shared" ref="H155" si="10">F155/G155</f>
        <v>761.75534249999987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21329.149589999997</v>
      </c>
      <c r="G156" s="26"/>
      <c r="H156" s="30">
        <f>SUM(H155:H155)</f>
        <v>761.75534249999987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60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12567.383899999999</v>
      </c>
      <c r="I159" s="25">
        <v>28</v>
      </c>
      <c r="J159" s="91">
        <f>H159/I159</f>
        <v>448.83513928571426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2438.6215999999999</v>
      </c>
      <c r="I160" s="25">
        <v>28</v>
      </c>
      <c r="J160" s="91">
        <f t="shared" ref="J160" si="11">H160/I160</f>
        <v>87.093628571428567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15006.005499999999</v>
      </c>
      <c r="I161" s="93"/>
      <c r="J161" s="85">
        <f>SUM(J159:J160)</f>
        <v>535.92876785714282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60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199950*$O$4-0.01359</f>
        <v>8177.9414100000004</v>
      </c>
      <c r="I164" s="25">
        <v>28</v>
      </c>
      <c r="J164" s="91">
        <f>H164/I164</f>
        <v>292.06933607142861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4093.0675000000001</v>
      </c>
      <c r="I165" s="25">
        <v>28</v>
      </c>
      <c r="J165" s="91">
        <f t="shared" ref="J165" si="12">H165/I165</f>
        <v>146.18098214285715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12271.00891</v>
      </c>
      <c r="I166" s="93"/>
      <c r="J166" s="85">
        <f>SUM(J164:J165)</f>
        <v>438.25031821428576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25750.098571428571</v>
      </c>
      <c r="B172" s="19"/>
      <c r="C172" s="19"/>
      <c r="D172" s="19">
        <f>J59</f>
        <v>81.668535714285724</v>
      </c>
      <c r="E172" s="19">
        <f>J69</f>
        <v>3112.7236996785709</v>
      </c>
      <c r="F172" s="19">
        <f>I80</f>
        <v>487.1534728571429</v>
      </c>
      <c r="G172" s="19">
        <f>I92</f>
        <v>787.39277714285731</v>
      </c>
      <c r="H172" s="19">
        <f>H97</f>
        <v>10.151964285714286</v>
      </c>
      <c r="I172" s="19">
        <f>H117</f>
        <v>132.85196428571427</v>
      </c>
      <c r="J172" s="19">
        <f>H104</f>
        <v>60.856672964285721</v>
      </c>
      <c r="K172" s="124">
        <f>J148</f>
        <v>24807.326428571429</v>
      </c>
      <c r="L172" s="125">
        <f>J161+J166+H156</f>
        <v>1735.9344285714285</v>
      </c>
      <c r="M172" s="125">
        <f>H109</f>
        <v>219.10714285714286</v>
      </c>
      <c r="N172" s="126">
        <f>SUM(D172:M172)+A172</f>
        <v>57185.265658357137</v>
      </c>
      <c r="O172" s="127">
        <f>J166+J161+H156+J148+H117+H104+H97+I92+I80+J69+J59+J51+H109</f>
        <v>57185.265658357137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N172*28</f>
        <v>1601187.4384339999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1601187.4484340001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1" s="79" customFormat="1" ht="9.75" customHeight="1" x14ac:dyDescent="0.25"/>
    <row r="178" spans="1:11" s="79" customFormat="1" ht="15.75" x14ac:dyDescent="0.25">
      <c r="A178" s="130" t="s">
        <v>28</v>
      </c>
      <c r="B178" s="53"/>
    </row>
    <row r="179" spans="1:11" s="79" customFormat="1" ht="15.75" x14ac:dyDescent="0.25">
      <c r="A179" s="130" t="s">
        <v>103</v>
      </c>
      <c r="B179" s="53"/>
    </row>
    <row r="180" spans="1:11" s="79" customFormat="1" ht="15.75" x14ac:dyDescent="0.25">
      <c r="A180" s="130" t="s">
        <v>62</v>
      </c>
      <c r="C180" s="53"/>
    </row>
    <row r="181" spans="1:11" s="79" customFormat="1" ht="15.75" x14ac:dyDescent="0.25">
      <c r="A181" s="131"/>
      <c r="B181" s="131"/>
      <c r="C181" s="131"/>
      <c r="J181" s="231">
        <f>J174/O4</f>
        <v>39148837.370024458</v>
      </c>
      <c r="K181" s="231"/>
    </row>
    <row r="182" spans="1:11" s="79" customFormat="1" x14ac:dyDescent="0.25">
      <c r="J182" s="231">
        <f>J181-39148837.37</f>
        <v>2.4460256099700928E-5</v>
      </c>
      <c r="K182" s="231"/>
    </row>
    <row r="183" spans="1:11" x14ac:dyDescent="0.25">
      <c r="H183" s="79"/>
      <c r="I183" s="79"/>
      <c r="J183" s="79"/>
    </row>
    <row r="184" spans="1:11" x14ac:dyDescent="0.25">
      <c r="H184" s="79"/>
      <c r="I184" s="79"/>
      <c r="J184" s="79"/>
    </row>
    <row r="185" spans="1:11" x14ac:dyDescent="0.25">
      <c r="H185" s="79"/>
      <c r="I185" s="79"/>
      <c r="J185" s="79"/>
    </row>
    <row r="186" spans="1:11" x14ac:dyDescent="0.25">
      <c r="H186" s="79"/>
      <c r="I186" s="79"/>
      <c r="J186" s="79"/>
    </row>
    <row r="187" spans="1:11" x14ac:dyDescent="0.25">
      <c r="H187" s="79"/>
      <c r="I187" s="79"/>
      <c r="J187" s="79"/>
    </row>
    <row r="188" spans="1:11" x14ac:dyDescent="0.25">
      <c r="H188" s="79"/>
      <c r="I188" s="79"/>
      <c r="J188" s="79"/>
    </row>
    <row r="189" spans="1:11" x14ac:dyDescent="0.25">
      <c r="H189" s="79"/>
      <c r="I189" s="79"/>
      <c r="J189" s="79"/>
    </row>
    <row r="190" spans="1:11" x14ac:dyDescent="0.25">
      <c r="H190" s="79"/>
      <c r="I190" s="79"/>
      <c r="J190" s="79"/>
    </row>
    <row r="191" spans="1:11" x14ac:dyDescent="0.25">
      <c r="H191" s="79"/>
      <c r="I191" s="79"/>
      <c r="J191" s="79"/>
    </row>
    <row r="192" spans="1:11" x14ac:dyDescent="0.25">
      <c r="H192" s="79"/>
      <c r="I192" s="79"/>
      <c r="J192" s="79"/>
    </row>
    <row r="193" spans="8:10" x14ac:dyDescent="0.25">
      <c r="H193" s="79"/>
      <c r="I193" s="79"/>
      <c r="J193" s="79"/>
    </row>
    <row r="194" spans="8:10" x14ac:dyDescent="0.25">
      <c r="H194" s="79"/>
      <c r="I194" s="79"/>
      <c r="J194" s="79"/>
    </row>
    <row r="195" spans="8:10" x14ac:dyDescent="0.25">
      <c r="H195" s="79"/>
      <c r="I195" s="79"/>
      <c r="J195" s="79"/>
    </row>
    <row r="196" spans="8:10" x14ac:dyDescent="0.25">
      <c r="H196" s="79"/>
      <c r="I196" s="79"/>
      <c r="J196" s="79"/>
    </row>
    <row r="197" spans="8:10" x14ac:dyDescent="0.25">
      <c r="H197" s="79"/>
      <c r="I197" s="79"/>
      <c r="J197" s="79"/>
    </row>
    <row r="198" spans="8:10" x14ac:dyDescent="0.25">
      <c r="H198" s="79"/>
      <c r="I198" s="79"/>
      <c r="J198" s="79"/>
    </row>
    <row r="199" spans="8:10" x14ac:dyDescent="0.25">
      <c r="H199" s="79"/>
      <c r="I199" s="79"/>
      <c r="J199" s="79"/>
    </row>
    <row r="200" spans="8:10" x14ac:dyDescent="0.25">
      <c r="H200" s="79"/>
      <c r="I200" s="79"/>
      <c r="J200" s="79"/>
    </row>
    <row r="201" spans="8:10" x14ac:dyDescent="0.25">
      <c r="H201" s="79"/>
      <c r="I201" s="79"/>
      <c r="J201" s="79"/>
    </row>
    <row r="202" spans="8:10" x14ac:dyDescent="0.25">
      <c r="H202" s="79"/>
      <c r="I202" s="79"/>
      <c r="J202" s="79"/>
    </row>
    <row r="203" spans="8:10" x14ac:dyDescent="0.25">
      <c r="H203" s="79"/>
      <c r="I203" s="79"/>
      <c r="J203" s="79"/>
    </row>
    <row r="204" spans="8:10" x14ac:dyDescent="0.25">
      <c r="H204" s="79"/>
      <c r="I204" s="79"/>
      <c r="J204" s="79"/>
    </row>
    <row r="205" spans="8:10" x14ac:dyDescent="0.25">
      <c r="H205" s="79"/>
      <c r="I205" s="79"/>
      <c r="J205" s="79"/>
    </row>
    <row r="207" spans="8:10" x14ac:dyDescent="0.25">
      <c r="J207" s="71">
        <f>J198/O4</f>
        <v>0</v>
      </c>
    </row>
    <row r="210" spans="10:10" x14ac:dyDescent="0.25">
      <c r="J210" s="79">
        <v>37149375</v>
      </c>
    </row>
    <row r="213" spans="10:10" x14ac:dyDescent="0.25">
      <c r="J213">
        <f>J207-J210</f>
        <v>-37149375</v>
      </c>
    </row>
  </sheetData>
  <mergeCells count="177">
    <mergeCell ref="A164:D164"/>
    <mergeCell ref="A128:D128"/>
    <mergeCell ref="O175:P175"/>
    <mergeCell ref="J181:K181"/>
    <mergeCell ref="J182:K182"/>
    <mergeCell ref="A139:D139"/>
    <mergeCell ref="A140:D140"/>
    <mergeCell ref="A151:K151"/>
    <mergeCell ref="A161:G161"/>
    <mergeCell ref="A166:G166"/>
    <mergeCell ref="A168:N168"/>
    <mergeCell ref="A170:C170"/>
    <mergeCell ref="D170:M170"/>
    <mergeCell ref="J174:K174"/>
    <mergeCell ref="A144:D144"/>
    <mergeCell ref="A145:D145"/>
    <mergeCell ref="A158:D158"/>
    <mergeCell ref="A159:D159"/>
    <mergeCell ref="A146:D146"/>
    <mergeCell ref="A147:D147"/>
    <mergeCell ref="A148:D148"/>
    <mergeCell ref="A154:D154"/>
    <mergeCell ref="A155:D155"/>
    <mergeCell ref="A156:D156"/>
    <mergeCell ref="A163:D163"/>
    <mergeCell ref="H107:I107"/>
    <mergeCell ref="A111:N111"/>
    <mergeCell ref="A112:D112"/>
    <mergeCell ref="A116:D116"/>
    <mergeCell ref="A117:D117"/>
    <mergeCell ref="A119:N119"/>
    <mergeCell ref="A122:D122"/>
    <mergeCell ref="A123:D123"/>
    <mergeCell ref="A127:D127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39:K39"/>
    <mergeCell ref="G40:K40"/>
    <mergeCell ref="G41:K41"/>
    <mergeCell ref="G42:K42"/>
    <mergeCell ref="G43:K43"/>
    <mergeCell ref="A44:E44"/>
    <mergeCell ref="G44:K44"/>
    <mergeCell ref="G38:K38"/>
    <mergeCell ref="A47:N47"/>
    <mergeCell ref="A55:D55"/>
    <mergeCell ref="A56:D56"/>
    <mergeCell ref="A57:D57"/>
    <mergeCell ref="A58:D58"/>
    <mergeCell ref="A48:D48"/>
    <mergeCell ref="A49:D49"/>
    <mergeCell ref="A50:D50"/>
    <mergeCell ref="A51:D51"/>
    <mergeCell ref="A54:N54"/>
    <mergeCell ref="A74:D74"/>
    <mergeCell ref="A68:D68"/>
    <mergeCell ref="A69:D69"/>
    <mergeCell ref="A59:D59"/>
    <mergeCell ref="A62:D62"/>
    <mergeCell ref="A67:D67"/>
    <mergeCell ref="A61:N61"/>
    <mergeCell ref="A63:D63"/>
    <mergeCell ref="A64:D64"/>
    <mergeCell ref="A65:D65"/>
    <mergeCell ref="A66:D66"/>
    <mergeCell ref="A71:N71"/>
    <mergeCell ref="A72:D72"/>
    <mergeCell ref="A73:D73"/>
    <mergeCell ref="A77:D77"/>
    <mergeCell ref="A78:D78"/>
    <mergeCell ref="A75:D75"/>
    <mergeCell ref="A76:D76"/>
    <mergeCell ref="A84:D84"/>
    <mergeCell ref="A85:D85"/>
    <mergeCell ref="A86:D86"/>
    <mergeCell ref="A87:D87"/>
    <mergeCell ref="A88:D88"/>
    <mergeCell ref="A83:D83"/>
    <mergeCell ref="A91:D91"/>
    <mergeCell ref="A92:D92"/>
    <mergeCell ref="A79:D79"/>
    <mergeCell ref="A82:N82"/>
    <mergeCell ref="A89:D89"/>
    <mergeCell ref="A90:D90"/>
    <mergeCell ref="A141:D141"/>
    <mergeCell ref="A142:D142"/>
    <mergeCell ref="A143:D143"/>
    <mergeCell ref="A120:D120"/>
    <mergeCell ref="A131:D131"/>
    <mergeCell ref="A132:D132"/>
    <mergeCell ref="A125:D125"/>
    <mergeCell ref="H108:I108"/>
    <mergeCell ref="H109:I109"/>
    <mergeCell ref="A138:D138"/>
    <mergeCell ref="A94:N94"/>
    <mergeCell ref="H95:I95"/>
    <mergeCell ref="H96:I96"/>
    <mergeCell ref="H97:I97"/>
    <mergeCell ref="A99:N99"/>
    <mergeCell ref="A100:D100"/>
    <mergeCell ref="A101:D101"/>
    <mergeCell ref="A106:N106"/>
    <mergeCell ref="A165:D165"/>
    <mergeCell ref="A97:D97"/>
    <mergeCell ref="A95:D95"/>
    <mergeCell ref="A96:D96"/>
    <mergeCell ref="A160:D160"/>
    <mergeCell ref="A129:D129"/>
    <mergeCell ref="A130:D130"/>
    <mergeCell ref="A121:D121"/>
    <mergeCell ref="A124:D124"/>
    <mergeCell ref="A102:D102"/>
    <mergeCell ref="A103:D103"/>
    <mergeCell ref="A104:D104"/>
    <mergeCell ref="A109:D109"/>
    <mergeCell ref="A114:D114"/>
    <mergeCell ref="A115:D115"/>
    <mergeCell ref="A107:D107"/>
    <mergeCell ref="A108:D108"/>
    <mergeCell ref="A113:D113"/>
    <mergeCell ref="A126:D126"/>
    <mergeCell ref="A133:D133"/>
    <mergeCell ref="A134:D134"/>
    <mergeCell ref="A135:D135"/>
    <mergeCell ref="A136:D136"/>
    <mergeCell ref="A137:D137"/>
  </mergeCells>
  <pageMargins left="0.70866141732283472" right="0.70866141732283472" top="0.15748031496062992" bottom="0.39370078740157483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213"/>
  <sheetViews>
    <sheetView view="pageBreakPreview" topLeftCell="A163" zoomScale="60" zoomScaleNormal="70" workbookViewId="0">
      <selection activeCell="H164" sqref="H164:H165"/>
    </sheetView>
  </sheetViews>
  <sheetFormatPr defaultRowHeight="15" x14ac:dyDescent="0.25"/>
  <cols>
    <col min="1" max="1" width="10.7109375" customWidth="1"/>
    <col min="2" max="3" width="3.42578125" customWidth="1"/>
    <col min="4" max="4" width="12.140625" customWidth="1"/>
    <col min="5" max="5" width="13" customWidth="1"/>
    <col min="6" max="6" width="11.85546875" customWidth="1"/>
    <col min="7" max="7" width="14.5703125" customWidth="1"/>
    <col min="8" max="8" width="14.28515625" customWidth="1"/>
    <col min="9" max="9" width="11.5703125" customWidth="1"/>
    <col min="10" max="10" width="13.42578125" customWidth="1"/>
    <col min="11" max="11" width="11.140625" customWidth="1"/>
    <col min="12" max="12" width="12.42578125" customWidth="1"/>
    <col min="13" max="13" width="13.140625" customWidth="1"/>
    <col min="14" max="14" width="12.5703125" customWidth="1"/>
    <col min="15" max="15" width="12.28515625" customWidth="1"/>
    <col min="16" max="16" width="17.42578125" customWidth="1"/>
    <col min="17" max="17" width="14.570312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54"/>
      <c r="F3" s="22"/>
      <c r="G3" s="22"/>
    </row>
    <row r="4" spans="1:15" ht="27.75" customHeight="1" x14ac:dyDescent="0.25">
      <c r="A4" s="219"/>
      <c r="B4" s="219"/>
      <c r="C4" s="219"/>
      <c r="D4" s="59"/>
      <c r="E4" s="219"/>
      <c r="F4" s="219"/>
      <c r="G4" s="24"/>
      <c r="H4" s="230"/>
      <c r="I4" s="200"/>
      <c r="J4" s="200"/>
      <c r="K4" s="200"/>
      <c r="L4" s="60"/>
      <c r="O4" s="75">
        <v>1.5E-3</v>
      </c>
    </row>
    <row r="5" spans="1:15" ht="8.25" customHeight="1" x14ac:dyDescent="0.25">
      <c r="A5" s="1"/>
      <c r="B5" s="1"/>
      <c r="C5" s="1"/>
      <c r="D5" s="53"/>
      <c r="E5" s="1"/>
      <c r="F5" s="1"/>
      <c r="G5" s="53"/>
    </row>
    <row r="6" spans="1:15" ht="7.5" customHeight="1" x14ac:dyDescent="0.25">
      <c r="A6" s="55"/>
      <c r="B6" s="55"/>
      <c r="C6" s="55"/>
      <c r="D6" s="55"/>
      <c r="E6" s="55"/>
      <c r="F6" s="55"/>
      <c r="G6" s="55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</row>
    <row r="8" spans="1:15" ht="15.75" x14ac:dyDescent="0.25">
      <c r="A8" s="198" t="s">
        <v>150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</row>
    <row r="9" spans="1:15" ht="8.25" customHeight="1" x14ac:dyDescent="0.25"/>
    <row r="10" spans="1:15" ht="8.2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5" ht="17.25" customHeight="1" x14ac:dyDescent="0.25">
      <c r="A12" s="215" t="s">
        <v>71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ht="15.75" x14ac:dyDescent="0.25">
      <c r="A14" s="5" t="s">
        <v>72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53"/>
      <c r="I15" s="53"/>
      <c r="J15" s="53"/>
      <c r="K15" s="4"/>
      <c r="L15" s="4"/>
      <c r="M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2.5935E-2</v>
      </c>
      <c r="G17" s="222" t="s">
        <v>1</v>
      </c>
      <c r="H17" s="223"/>
      <c r="I17" s="223"/>
      <c r="J17" s="223"/>
      <c r="K17" s="224"/>
      <c r="L17" s="61">
        <f>M17*$O$4</f>
        <v>1.5E-3</v>
      </c>
      <c r="M17" s="134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9.75E-3</v>
      </c>
      <c r="G18" s="207" t="s">
        <v>123</v>
      </c>
      <c r="H18" s="208"/>
      <c r="I18" s="208"/>
      <c r="J18" s="208"/>
      <c r="K18" s="209"/>
      <c r="L18" s="61">
        <f t="shared" ref="L18:L41" si="0">M18*$O$4</f>
        <v>1.5E-3</v>
      </c>
      <c r="M18" s="134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1.5E-3</v>
      </c>
      <c r="M19" s="134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1.5E-3</v>
      </c>
      <c r="M20" s="134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1.5E-3</v>
      </c>
      <c r="M21" s="134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7.5000000000000002E-4</v>
      </c>
      <c r="M22" s="134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1.5E-3</v>
      </c>
      <c r="M23" s="134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1.5E-3</v>
      </c>
      <c r="M24" s="134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1.5E-3</v>
      </c>
      <c r="M25" s="134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1.5E-3</v>
      </c>
      <c r="M26" s="134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7.5000000000000002E-4</v>
      </c>
      <c r="M27" s="134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1.5E-3</v>
      </c>
      <c r="M28" s="134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3.0000000000000001E-3</v>
      </c>
      <c r="M29" s="134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1.5E-3</v>
      </c>
      <c r="M30" s="134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1.5E-3</v>
      </c>
      <c r="M31" s="134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1.5E-3</v>
      </c>
      <c r="M32" s="134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7.1250000000000003E-3</v>
      </c>
      <c r="M33" s="134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5.2500000000000003E-3</v>
      </c>
      <c r="M34" s="134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6.0000000000000001E-3</v>
      </c>
      <c r="M35" s="134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1.5E-3</v>
      </c>
      <c r="M36" s="134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1.5E-3</v>
      </c>
      <c r="M37" s="134">
        <v>1</v>
      </c>
    </row>
    <row r="38" spans="1:17" ht="15" customHeight="1" x14ac:dyDescent="0.25">
      <c r="A38" s="101"/>
      <c r="B38" s="102"/>
      <c r="C38" s="102"/>
      <c r="D38" s="102"/>
      <c r="E38" s="103"/>
      <c r="F38" s="21"/>
      <c r="G38" s="183" t="s">
        <v>137</v>
      </c>
      <c r="H38" s="184"/>
      <c r="I38" s="184"/>
      <c r="J38" s="184"/>
      <c r="K38" s="185"/>
      <c r="L38" s="61">
        <f t="shared" si="0"/>
        <v>7.5000000000000002E-4</v>
      </c>
      <c r="M38" s="134">
        <v>0.5</v>
      </c>
    </row>
    <row r="39" spans="1:17" ht="15" customHeight="1" x14ac:dyDescent="0.25">
      <c r="A39" s="101"/>
      <c r="B39" s="102"/>
      <c r="C39" s="102"/>
      <c r="D39" s="102"/>
      <c r="E39" s="103"/>
      <c r="F39" s="21"/>
      <c r="G39" s="183" t="s">
        <v>138</v>
      </c>
      <c r="H39" s="184"/>
      <c r="I39" s="184"/>
      <c r="J39" s="184"/>
      <c r="K39" s="185"/>
      <c r="L39" s="61">
        <f t="shared" si="0"/>
        <v>7.5000000000000002E-4</v>
      </c>
      <c r="M39" s="134">
        <v>0.5</v>
      </c>
    </row>
    <row r="40" spans="1:17" ht="15" customHeight="1" x14ac:dyDescent="0.25">
      <c r="A40" s="101"/>
      <c r="B40" s="102"/>
      <c r="C40" s="102"/>
      <c r="D40" s="102"/>
      <c r="E40" s="103"/>
      <c r="F40" s="21"/>
      <c r="G40" s="183" t="s">
        <v>139</v>
      </c>
      <c r="H40" s="184"/>
      <c r="I40" s="184"/>
      <c r="J40" s="184"/>
      <c r="K40" s="185"/>
      <c r="L40" s="61">
        <f t="shared" si="0"/>
        <v>1.6500000000000001E-2</v>
      </c>
      <c r="M40" s="134">
        <v>11</v>
      </c>
    </row>
    <row r="41" spans="1:17" ht="15" customHeight="1" x14ac:dyDescent="0.25">
      <c r="A41" s="101"/>
      <c r="B41" s="102"/>
      <c r="C41" s="102"/>
      <c r="D41" s="102"/>
      <c r="E41" s="103"/>
      <c r="F41" s="21"/>
      <c r="G41" s="183" t="s">
        <v>140</v>
      </c>
      <c r="H41" s="184"/>
      <c r="I41" s="184"/>
      <c r="J41" s="184"/>
      <c r="K41" s="185"/>
      <c r="L41" s="61">
        <f t="shared" si="0"/>
        <v>3.0000000000000001E-3</v>
      </c>
      <c r="M41" s="134">
        <v>2</v>
      </c>
    </row>
    <row r="42" spans="1:17" ht="15" customHeight="1" x14ac:dyDescent="0.25">
      <c r="A42" s="101"/>
      <c r="B42" s="102"/>
      <c r="C42" s="102"/>
      <c r="D42" s="102"/>
      <c r="E42" s="103"/>
      <c r="F42" s="21"/>
      <c r="G42" s="183"/>
      <c r="H42" s="184"/>
      <c r="I42" s="184"/>
      <c r="J42" s="184"/>
      <c r="K42" s="185"/>
      <c r="L42" s="61"/>
      <c r="M42" s="134"/>
    </row>
    <row r="43" spans="1:17" ht="15" customHeight="1" x14ac:dyDescent="0.25">
      <c r="A43" s="101"/>
      <c r="B43" s="102"/>
      <c r="C43" s="102"/>
      <c r="D43" s="102"/>
      <c r="E43" s="103"/>
      <c r="F43" s="21"/>
      <c r="G43" s="183"/>
      <c r="H43" s="184"/>
      <c r="I43" s="184"/>
      <c r="J43" s="184"/>
      <c r="K43" s="185"/>
      <c r="L43" s="61"/>
      <c r="M43" s="134"/>
      <c r="O43" s="67">
        <f>L44+F44</f>
        <v>0.10206000000000001</v>
      </c>
      <c r="P43">
        <f>L44/O4</f>
        <v>44.250000000000007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3.5685000000000001E-2</v>
      </c>
      <c r="G44" s="187" t="s">
        <v>2</v>
      </c>
      <c r="H44" s="187"/>
      <c r="I44" s="187"/>
      <c r="J44" s="187"/>
      <c r="K44" s="187"/>
      <c r="L44" s="65">
        <f>SUM(L17:L41)</f>
        <v>6.6375000000000017E-2</v>
      </c>
      <c r="M44" s="135">
        <f>SUM(M17:M43)</f>
        <v>44.25</v>
      </c>
      <c r="O44" s="107">
        <f>O43/O4</f>
        <v>68.040000000000006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75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42310.9375</v>
      </c>
      <c r="F50" s="19">
        <v>0.04</v>
      </c>
      <c r="G50" s="70">
        <v>20309.25</v>
      </c>
      <c r="H50" s="19">
        <v>26442.639999999999</v>
      </c>
      <c r="I50" s="25">
        <v>1</v>
      </c>
      <c r="J50" s="19">
        <f>H50/I50</f>
        <v>26442.639999999999</v>
      </c>
      <c r="K50" s="72">
        <f>H50/17628429.26*100</f>
        <v>0.14999997793337147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26442.639999999999</v>
      </c>
      <c r="I51" s="28"/>
      <c r="J51" s="39">
        <f>J50</f>
        <v>26442.639999999999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1.87</v>
      </c>
      <c r="H57" s="70">
        <f>14960*O4</f>
        <v>22.44</v>
      </c>
      <c r="I57" s="25">
        <v>1</v>
      </c>
      <c r="J57" s="19">
        <f>H57/I57</f>
        <v>22.44</v>
      </c>
      <c r="K57" s="26"/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5.1187500000000004</v>
      </c>
      <c r="H58" s="70">
        <f>40950*O4</f>
        <v>61.425000000000004</v>
      </c>
      <c r="I58" s="25">
        <v>1</v>
      </c>
      <c r="J58" s="19">
        <f>H58/I58</f>
        <v>61.425000000000004</v>
      </c>
      <c r="K58" s="26"/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83.865000000000009</v>
      </c>
      <c r="I59" s="28"/>
      <c r="J59" s="33">
        <f>SUM(J57:J58)</f>
        <v>83.865000000000009</v>
      </c>
      <c r="K59" s="26"/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 t="e">
        <f>U62/S62*K66</f>
        <v>#DIV/0!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0.11203849701585911</v>
      </c>
      <c r="G64" s="19">
        <v>6569.73</v>
      </c>
      <c r="H64" s="70">
        <f>490708.45*O4</f>
        <v>736.06267500000001</v>
      </c>
      <c r="I64" s="25">
        <v>1</v>
      </c>
      <c r="J64" s="19">
        <f t="shared" ref="J64:J68" si="1">H64/I64</f>
        <v>736.06267500000001</v>
      </c>
      <c r="K64" s="133"/>
      <c r="L64" s="26"/>
      <c r="M64" s="26"/>
      <c r="N64" s="109"/>
      <c r="U64" s="79" t="e">
        <f>U62/S62*K67</f>
        <v>#DIV/0!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1.0553663288504822</v>
      </c>
      <c r="G65" s="19">
        <v>1768.22</v>
      </c>
      <c r="H65" s="70">
        <f>1244079.9*O4</f>
        <v>1866.1198499999998</v>
      </c>
      <c r="I65" s="25">
        <v>1</v>
      </c>
      <c r="J65" s="19">
        <f t="shared" si="1"/>
        <v>1866.1198499999998</v>
      </c>
      <c r="K65" s="133"/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222.28110000000001</v>
      </c>
      <c r="I66" s="25">
        <v>1</v>
      </c>
      <c r="J66" s="19">
        <f t="shared" si="1"/>
        <v>222.28110000000001</v>
      </c>
      <c r="K66" s="133"/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323.71890000000002</v>
      </c>
      <c r="I67" s="25">
        <v>1</v>
      </c>
      <c r="J67" s="27">
        <f t="shared" si="1"/>
        <v>323.71890000000002</v>
      </c>
      <c r="K67" s="133"/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48.257460000000002</v>
      </c>
      <c r="I68" s="25">
        <v>1</v>
      </c>
      <c r="J68" s="27">
        <f t="shared" si="1"/>
        <v>48.257460000000002</v>
      </c>
      <c r="K68" s="133"/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3196.4499849999997</v>
      </c>
      <c r="I69" s="28"/>
      <c r="J69" s="33">
        <f>SUM(J64:J68)</f>
        <v>3196.4399849999995</v>
      </c>
      <c r="K69" s="133"/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75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221.91</v>
      </c>
      <c r="H73" s="25">
        <v>1</v>
      </c>
      <c r="I73" s="84">
        <f>G73/H73</f>
        <v>221.91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160.875</v>
      </c>
      <c r="H74" s="25">
        <v>1</v>
      </c>
      <c r="I74" s="84">
        <f t="shared" ref="I74:I79" si="2">G74/H74</f>
        <v>160.875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15.6</v>
      </c>
      <c r="H75" s="25">
        <v>1</v>
      </c>
      <c r="I75" s="84">
        <f t="shared" si="2"/>
        <v>15.6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60</v>
      </c>
      <c r="H76" s="25">
        <v>1</v>
      </c>
      <c r="I76" s="84">
        <f t="shared" si="2"/>
        <v>60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4.5</v>
      </c>
      <c r="H77" s="25">
        <v>1</v>
      </c>
      <c r="I77" s="84">
        <f>G77/H77</f>
        <v>4.5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5.6580000000000004</v>
      </c>
      <c r="H78" s="25">
        <v>1</v>
      </c>
      <c r="I78" s="84">
        <f t="shared" si="2"/>
        <v>5.6580000000000004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31.712399999999999</v>
      </c>
      <c r="H79" s="25">
        <v>1</v>
      </c>
      <c r="I79" s="84">
        <f t="shared" si="2"/>
        <v>31.712399999999999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500.25540000000001</v>
      </c>
      <c r="I80" s="85">
        <f>SUM(I73:I79)</f>
        <v>500.25540000000001</v>
      </c>
      <c r="J80" s="107"/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75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41.724000000000004</v>
      </c>
      <c r="H84" s="25">
        <v>1</v>
      </c>
      <c r="I84" s="87">
        <f>G84/H84</f>
        <v>41.724000000000004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53.352000000000004</v>
      </c>
      <c r="H85" s="25">
        <v>1</v>
      </c>
      <c r="I85" s="87">
        <f t="shared" ref="I85:I91" si="3">G85/H85</f>
        <v>53.352000000000004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190.46700000000001</v>
      </c>
      <c r="H86" s="25">
        <v>1</v>
      </c>
      <c r="I86" s="87">
        <f t="shared" si="3"/>
        <v>190.46700000000001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368.44560000000001</v>
      </c>
      <c r="H87" s="25">
        <v>1</v>
      </c>
      <c r="I87" s="87">
        <f t="shared" si="3"/>
        <v>368.44560000000001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126.96000000000001</v>
      </c>
      <c r="H88" s="25">
        <v>1</v>
      </c>
      <c r="I88" s="87">
        <f t="shared" si="3"/>
        <v>126.96000000000001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10.5</v>
      </c>
      <c r="H89" s="25">
        <v>1</v>
      </c>
      <c r="I89" s="87">
        <f t="shared" si="3"/>
        <v>10.5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4.4459999999999997</v>
      </c>
      <c r="H90" s="25">
        <v>1</v>
      </c>
      <c r="I90" s="87">
        <f>G90/H90</f>
        <v>4.4459999999999997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12.675000000000001</v>
      </c>
      <c r="H91" s="25">
        <v>1</v>
      </c>
      <c r="I91" s="87">
        <f t="shared" si="3"/>
        <v>12.675000000000001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808.56960000000004</v>
      </c>
      <c r="H92" s="26"/>
      <c r="I92" s="85">
        <f>SUM(I84:I91)</f>
        <v>808.56960000000004</v>
      </c>
      <c r="J92" s="26"/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10.425000000000001</v>
      </c>
      <c r="G96" s="25">
        <v>1</v>
      </c>
      <c r="H96" s="227">
        <f t="shared" ref="H96" si="4">F96/G96</f>
        <v>10.425000000000001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10.425000000000001</v>
      </c>
      <c r="G97" s="26"/>
      <c r="H97" s="228">
        <f>SUM(H96:H96)</f>
        <v>10.425000000000001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7.2</v>
      </c>
      <c r="G101" s="25">
        <v>1</v>
      </c>
      <c r="H101" s="87">
        <f t="shared" ref="H101:H103" si="5">F101/G101</f>
        <v>7.2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40.293405</v>
      </c>
      <c r="G102" s="25">
        <v>1</v>
      </c>
      <c r="H102" s="87">
        <f t="shared" si="5"/>
        <v>40.293405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15</v>
      </c>
      <c r="G103" s="25">
        <v>1</v>
      </c>
      <c r="H103" s="87">
        <f t="shared" si="5"/>
        <v>15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62.493405000000003</v>
      </c>
      <c r="G104" s="26"/>
      <c r="H104" s="30">
        <f>SUM(H101:H103)</f>
        <v>62.493405000000003</v>
      </c>
      <c r="I104" s="26"/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225</v>
      </c>
      <c r="G108" s="25">
        <v>1</v>
      </c>
      <c r="H108" s="227">
        <f>F108/G108</f>
        <v>225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225</v>
      </c>
      <c r="G109" s="26"/>
      <c r="H109" s="228">
        <f>SUM(H108:H108)</f>
        <v>225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6.75</v>
      </c>
      <c r="G113" s="25">
        <v>1</v>
      </c>
      <c r="H113" s="87">
        <f t="shared" ref="H113:H116" si="6">F113/G113</f>
        <v>6.75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92.174999999999997</v>
      </c>
      <c r="G114" s="25">
        <v>1</v>
      </c>
      <c r="H114" s="87">
        <f t="shared" si="6"/>
        <v>92.174999999999997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15</v>
      </c>
      <c r="G115" s="25">
        <v>1</v>
      </c>
      <c r="H115" s="87">
        <f t="shared" si="6"/>
        <v>15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22.5</v>
      </c>
      <c r="G116" s="25">
        <v>1</v>
      </c>
      <c r="H116" s="87">
        <f t="shared" si="6"/>
        <v>22.5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136.42500000000001</v>
      </c>
      <c r="G117" s="26"/>
      <c r="H117" s="30">
        <f>SUM(H113:H116)</f>
        <v>136.42500000000001</v>
      </c>
      <c r="I117" s="26"/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75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23292.476190476187</v>
      </c>
      <c r="F122" s="19">
        <v>7.0000000000000007E-2</v>
      </c>
      <c r="G122" s="70">
        <v>19565.68</v>
      </c>
      <c r="H122" s="19">
        <v>25474.52</v>
      </c>
      <c r="I122" s="25">
        <v>1</v>
      </c>
      <c r="J122" s="19">
        <f>H122/I122</f>
        <v>25474.52</v>
      </c>
      <c r="K122" s="72">
        <f>H122/16983010.74*100</f>
        <v>0.15000002290524372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7">F123/G123*H123</f>
        <v>#DIV/0!</v>
      </c>
      <c r="J123" s="19">
        <f t="shared" ref="J123:J144" si="8">E123*F123*12*1.302</f>
        <v>1116552.28608</v>
      </c>
      <c r="K123" s="35" t="s">
        <v>26</v>
      </c>
      <c r="L123" s="64"/>
      <c r="M123" s="64"/>
      <c r="N123" s="117" t="e">
        <f t="shared" ref="N123:N147" si="9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7"/>
        <v>#DIV/0!</v>
      </c>
      <c r="J124" s="19">
        <f t="shared" si="8"/>
        <v>149115.45600000001</v>
      </c>
      <c r="K124" s="20">
        <f>H124/11277167.39*100</f>
        <v>0</v>
      </c>
      <c r="L124" s="20"/>
      <c r="M124" s="20"/>
      <c r="N124" s="19" t="e">
        <f t="shared" si="9"/>
        <v>#DIV/0!</v>
      </c>
    </row>
    <row r="125" spans="1:17" s="79" customFormat="1" ht="15" hidden="1" customHeight="1" thickBot="1" x14ac:dyDescent="0.3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7"/>
        <v>#DIV/0!</v>
      </c>
      <c r="J125" s="19">
        <f t="shared" si="8"/>
        <v>180613.44</v>
      </c>
      <c r="K125" s="15"/>
      <c r="L125" s="15"/>
      <c r="M125" s="15"/>
      <c r="N125" s="19" t="e">
        <f t="shared" si="9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7"/>
        <v>#DIV/0!</v>
      </c>
      <c r="J126" s="19">
        <f t="shared" si="8"/>
        <v>74557.728000000003</v>
      </c>
      <c r="K126" s="15"/>
      <c r="L126" s="15"/>
      <c r="M126" s="15"/>
      <c r="N126" s="19" t="e">
        <f t="shared" si="9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7"/>
        <v>#DIV/0!</v>
      </c>
      <c r="J127" s="19">
        <f t="shared" si="8"/>
        <v>149115.45600000001</v>
      </c>
      <c r="K127" s="19"/>
      <c r="L127" s="19"/>
      <c r="M127" s="19"/>
      <c r="N127" s="19" t="e">
        <f t="shared" si="9"/>
        <v>#DIV/0!</v>
      </c>
    </row>
    <row r="128" spans="1:17" s="79" customFormat="1" ht="14.25" hidden="1" customHeight="1" x14ac:dyDescent="0.3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7"/>
        <v>#DIV/0!</v>
      </c>
      <c r="J128" s="19">
        <f t="shared" si="8"/>
        <v>149115.45600000001</v>
      </c>
      <c r="K128" s="26"/>
      <c r="L128" s="26"/>
      <c r="M128" s="26"/>
      <c r="N128" s="19" t="e">
        <f t="shared" si="9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7"/>
        <v>#DIV/0!</v>
      </c>
      <c r="J129" s="19">
        <f t="shared" si="8"/>
        <v>0</v>
      </c>
      <c r="K129" s="26"/>
      <c r="L129" s="26"/>
      <c r="M129" s="26"/>
      <c r="N129" s="19" t="e">
        <f t="shared" si="9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7"/>
        <v>#DIV/0!</v>
      </c>
      <c r="J130" s="19">
        <f t="shared" si="8"/>
        <v>37278.864000000001</v>
      </c>
      <c r="K130" s="26"/>
      <c r="L130" s="26"/>
      <c r="M130" s="26"/>
      <c r="N130" s="19" t="e">
        <f t="shared" si="9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7"/>
        <v>#DIV/0!</v>
      </c>
      <c r="J131" s="19">
        <f t="shared" si="8"/>
        <v>0</v>
      </c>
      <c r="K131" s="26"/>
      <c r="L131" s="26"/>
      <c r="M131" s="26"/>
      <c r="N131" s="19" t="e">
        <f t="shared" si="9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7"/>
        <v>#DIV/0!</v>
      </c>
      <c r="J132" s="19">
        <f t="shared" si="8"/>
        <v>74557.728000000003</v>
      </c>
      <c r="K132" s="26"/>
      <c r="L132" s="26"/>
      <c r="M132" s="26"/>
      <c r="N132" s="19" t="e">
        <f t="shared" si="9"/>
        <v>#DIV/0!</v>
      </c>
    </row>
    <row r="133" spans="1:14" s="79" customFormat="1" ht="15.75" hidden="1" customHeight="1" x14ac:dyDescent="0.3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7"/>
        <v>#DIV/0!</v>
      </c>
      <c r="J133" s="19">
        <f t="shared" si="8"/>
        <v>149115.45600000001</v>
      </c>
      <c r="K133" s="26"/>
      <c r="L133" s="26"/>
      <c r="M133" s="26"/>
      <c r="N133" s="19" t="e">
        <f t="shared" si="9"/>
        <v>#DIV/0!</v>
      </c>
    </row>
    <row r="134" spans="1:14" s="79" customFormat="1" ht="15" hidden="1" customHeight="1" x14ac:dyDescent="0.3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7"/>
        <v>#DIV/0!</v>
      </c>
      <c r="J134" s="19">
        <f t="shared" si="8"/>
        <v>149115.45600000001</v>
      </c>
      <c r="K134" s="26"/>
      <c r="L134" s="26"/>
      <c r="M134" s="26"/>
      <c r="N134" s="19" t="e">
        <f t="shared" si="9"/>
        <v>#DIV/0!</v>
      </c>
    </row>
    <row r="135" spans="1:14" s="79" customFormat="1" ht="15" hidden="1" customHeigh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7"/>
        <v>#DIV/0!</v>
      </c>
      <c r="J135" s="19">
        <f t="shared" si="8"/>
        <v>820135.00800000003</v>
      </c>
      <c r="K135" s="26"/>
      <c r="L135" s="26"/>
      <c r="M135" s="26"/>
      <c r="N135" s="19" t="e">
        <f t="shared" si="9"/>
        <v>#DIV/0!</v>
      </c>
    </row>
    <row r="136" spans="1:14" s="79" customFormat="1" ht="15" hidden="1" customHeight="1" x14ac:dyDescent="0.3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7"/>
        <v>#DIV/0!</v>
      </c>
      <c r="J136" s="19">
        <f t="shared" si="8"/>
        <v>149115.45600000001</v>
      </c>
      <c r="K136" s="26"/>
      <c r="L136" s="26"/>
      <c r="M136" s="26"/>
      <c r="N136" s="19" t="e">
        <f t="shared" si="9"/>
        <v>#DIV/0!</v>
      </c>
    </row>
    <row r="137" spans="1:14" s="79" customFormat="1" ht="15" hidden="1" customHeight="1" thickBot="1" x14ac:dyDescent="0.3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7"/>
        <v>#DIV/0!</v>
      </c>
      <c r="J137" s="19">
        <f t="shared" si="8"/>
        <v>74557.728000000003</v>
      </c>
      <c r="K137" s="26"/>
      <c r="L137" s="26"/>
      <c r="M137" s="26"/>
      <c r="N137" s="19" t="e">
        <f t="shared" si="9"/>
        <v>#DIV/0!</v>
      </c>
    </row>
    <row r="138" spans="1:14" s="79" customFormat="1" ht="15" hidden="1" customHeight="1" thickBot="1" x14ac:dyDescent="0.3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7"/>
        <v>#DIV/0!</v>
      </c>
      <c r="J138" s="19">
        <f t="shared" si="8"/>
        <v>74557.728000000003</v>
      </c>
      <c r="K138" s="26"/>
      <c r="L138" s="26"/>
      <c r="M138" s="26"/>
      <c r="N138" s="19" t="e">
        <f t="shared" si="9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7"/>
        <v>#DIV/0!</v>
      </c>
      <c r="J139" s="19">
        <f t="shared" si="8"/>
        <v>149115.45600000001</v>
      </c>
      <c r="K139" s="26"/>
      <c r="L139" s="26"/>
      <c r="M139" s="26"/>
      <c r="N139" s="19" t="e">
        <f t="shared" si="9"/>
        <v>#DIV/0!</v>
      </c>
    </row>
    <row r="140" spans="1:14" s="79" customFormat="1" ht="15.75" hidden="1" customHeight="1" x14ac:dyDescent="0.3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7"/>
        <v>#DIV/0!</v>
      </c>
      <c r="J140" s="19">
        <f t="shared" si="8"/>
        <v>596461.82400000002</v>
      </c>
      <c r="K140" s="26"/>
      <c r="L140" s="26"/>
      <c r="M140" s="26"/>
      <c r="N140" s="19" t="e">
        <f t="shared" si="9"/>
        <v>#DIV/0!</v>
      </c>
    </row>
    <row r="141" spans="1:14" s="79" customFormat="1" ht="16.5" hidden="1" customHeight="1" x14ac:dyDescent="0.3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7"/>
        <v>#DIV/0!</v>
      </c>
      <c r="J141" s="19">
        <f t="shared" si="8"/>
        <v>149115.45600000001</v>
      </c>
      <c r="K141" s="26"/>
      <c r="L141" s="26"/>
      <c r="M141" s="26"/>
      <c r="N141" s="19" t="e">
        <f t="shared" si="9"/>
        <v>#DIV/0!</v>
      </c>
    </row>
    <row r="142" spans="1:14" s="79" customFormat="1" ht="16.5" hidden="1" customHeigh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7"/>
        <v>#DIV/0!</v>
      </c>
      <c r="J142" s="19">
        <f t="shared" si="8"/>
        <v>260952.04800000001</v>
      </c>
      <c r="K142" s="26"/>
      <c r="L142" s="26"/>
      <c r="M142" s="26"/>
      <c r="N142" s="19" t="e">
        <f t="shared" si="9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7"/>
        <v>#DIV/0!</v>
      </c>
      <c r="J143" s="19">
        <f t="shared" si="8"/>
        <v>0</v>
      </c>
      <c r="K143" s="26"/>
      <c r="L143" s="26"/>
      <c r="M143" s="26"/>
      <c r="N143" s="19" t="e">
        <f t="shared" si="9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7"/>
        <v>#DIV/0!</v>
      </c>
      <c r="J144" s="19">
        <f t="shared" si="8"/>
        <v>74557.728000000003</v>
      </c>
      <c r="K144" s="26"/>
      <c r="L144" s="26"/>
      <c r="M144" s="26"/>
      <c r="N144" s="19" t="e">
        <f t="shared" si="9"/>
        <v>#DIV/0!</v>
      </c>
    </row>
    <row r="145" spans="1:17" s="79" customFormat="1" ht="15" hidden="1" customHeight="1" thickBot="1" x14ac:dyDescent="0.3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9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9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9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25474.52</v>
      </c>
      <c r="I148" s="28"/>
      <c r="J148" s="39">
        <f>J122</f>
        <v>25474.52</v>
      </c>
      <c r="K148" s="26"/>
      <c r="L148" s="26"/>
      <c r="M148" s="26"/>
      <c r="N148" s="51"/>
      <c r="Q148" s="79">
        <f>H148/48.5%</f>
        <v>52524.783505154643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782.24265000000003</v>
      </c>
      <c r="G155" s="25">
        <v>1</v>
      </c>
      <c r="H155" s="87">
        <f t="shared" ref="H155" si="10">F155/G155</f>
        <v>782.24265000000003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782.24265000000003</v>
      </c>
      <c r="G156" s="26"/>
      <c r="H156" s="30">
        <f>SUM(H155:H155)</f>
        <v>782.24265000000003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60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460.90649999999999</v>
      </c>
      <c r="I159" s="25">
        <v>1</v>
      </c>
      <c r="J159" s="91">
        <f>H159/I159</f>
        <v>460.90649999999999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89.436000000000007</v>
      </c>
      <c r="I160" s="25">
        <v>1</v>
      </c>
      <c r="J160" s="91">
        <f t="shared" ref="J160" si="11">H160/I160</f>
        <v>89.436000000000007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550.34249999999997</v>
      </c>
      <c r="I161" s="93"/>
      <c r="J161" s="85">
        <f>SUM(J159:J160)</f>
        <v>550.34249999999997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60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199950*$O$4-0.009985</f>
        <v>299.91501500000004</v>
      </c>
      <c r="I164" s="25">
        <v>1</v>
      </c>
      <c r="J164" s="91">
        <f>H164/I164</f>
        <v>299.91501500000004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150.11250000000001</v>
      </c>
      <c r="I165" s="25">
        <v>1</v>
      </c>
      <c r="J165" s="91">
        <f t="shared" ref="J165" si="12">H165/I165</f>
        <v>150.11250000000001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450.02751500000005</v>
      </c>
      <c r="I166" s="93"/>
      <c r="J166" s="85">
        <f>SUM(J164:J165)</f>
        <v>450.02751500000005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26442.639999999999</v>
      </c>
      <c r="B172" s="19"/>
      <c r="C172" s="19"/>
      <c r="D172" s="19">
        <f>J59</f>
        <v>83.865000000000009</v>
      </c>
      <c r="E172" s="19">
        <f>J69</f>
        <v>3196.4399849999995</v>
      </c>
      <c r="F172" s="19">
        <f>I80</f>
        <v>500.25540000000001</v>
      </c>
      <c r="G172" s="19">
        <f>I92</f>
        <v>808.56960000000004</v>
      </c>
      <c r="H172" s="19">
        <f>H97</f>
        <v>10.425000000000001</v>
      </c>
      <c r="I172" s="19">
        <f>H117</f>
        <v>136.42500000000001</v>
      </c>
      <c r="J172" s="19">
        <f>H104</f>
        <v>62.493405000000003</v>
      </c>
      <c r="K172" s="124">
        <f>J148</f>
        <v>25474.52</v>
      </c>
      <c r="L172" s="125">
        <f>J161+J166+H156</f>
        <v>1782.6126650000001</v>
      </c>
      <c r="M172" s="125">
        <f>H109</f>
        <v>225</v>
      </c>
      <c r="N172" s="126">
        <f>SUM(D172:M172)+A172+0.01</f>
        <v>58723.256054999998</v>
      </c>
      <c r="O172" s="127">
        <f>J166+J161+H156+J148+H117+H104+H97+I92+I80+J69+J59+J51+H109</f>
        <v>58723.246055000003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N172*1</f>
        <v>58723.256054999998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58723.256055000005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1" s="79" customFormat="1" ht="9.75" customHeight="1" x14ac:dyDescent="0.25"/>
    <row r="178" spans="1:11" s="79" customFormat="1" ht="15.75" x14ac:dyDescent="0.25">
      <c r="A178" s="130" t="s">
        <v>28</v>
      </c>
      <c r="B178" s="53"/>
    </row>
    <row r="179" spans="1:11" s="79" customFormat="1" ht="15.75" x14ac:dyDescent="0.25">
      <c r="A179" s="130" t="s">
        <v>103</v>
      </c>
      <c r="B179" s="53"/>
    </row>
    <row r="180" spans="1:11" s="79" customFormat="1" ht="15.75" x14ac:dyDescent="0.25">
      <c r="A180" s="130" t="s">
        <v>62</v>
      </c>
      <c r="C180" s="53"/>
    </row>
    <row r="181" spans="1:11" s="79" customFormat="1" ht="15.75" x14ac:dyDescent="0.25">
      <c r="A181" s="131"/>
      <c r="B181" s="131"/>
      <c r="C181" s="131"/>
      <c r="J181" s="231">
        <f>J174/O4</f>
        <v>39148837.370000005</v>
      </c>
      <c r="K181" s="231"/>
    </row>
    <row r="182" spans="1:11" s="79" customFormat="1" x14ac:dyDescent="0.25">
      <c r="J182" s="231">
        <f>J181-39148837.37</f>
        <v>0</v>
      </c>
      <c r="K182" s="231"/>
    </row>
    <row r="183" spans="1:11" x14ac:dyDescent="0.25">
      <c r="H183" s="79"/>
      <c r="I183" s="79"/>
      <c r="J183" s="79"/>
    </row>
    <row r="184" spans="1:11" x14ac:dyDescent="0.25">
      <c r="H184" s="79"/>
      <c r="I184" s="79"/>
      <c r="J184" s="79"/>
    </row>
    <row r="185" spans="1:11" x14ac:dyDescent="0.25">
      <c r="H185" s="79"/>
      <c r="I185" s="79"/>
      <c r="J185" s="79"/>
    </row>
    <row r="186" spans="1:11" x14ac:dyDescent="0.25">
      <c r="H186" s="79"/>
      <c r="I186" s="79"/>
      <c r="J186" s="79"/>
    </row>
    <row r="187" spans="1:11" x14ac:dyDescent="0.25">
      <c r="H187" s="79"/>
      <c r="I187" s="79"/>
      <c r="J187" s="79"/>
    </row>
    <row r="188" spans="1:11" x14ac:dyDescent="0.25">
      <c r="H188" s="79"/>
      <c r="I188" s="79"/>
      <c r="J188" s="79"/>
    </row>
    <row r="189" spans="1:11" x14ac:dyDescent="0.25">
      <c r="H189" s="79"/>
      <c r="I189" s="79"/>
      <c r="J189" s="79"/>
    </row>
    <row r="190" spans="1:11" x14ac:dyDescent="0.25">
      <c r="H190" s="79"/>
      <c r="I190" s="79"/>
      <c r="J190" s="79"/>
    </row>
    <row r="191" spans="1:11" x14ac:dyDescent="0.25">
      <c r="H191" s="79"/>
      <c r="I191" s="79"/>
      <c r="J191" s="79"/>
    </row>
    <row r="192" spans="1:11" x14ac:dyDescent="0.25">
      <c r="H192" s="79"/>
      <c r="I192" s="79"/>
      <c r="J192" s="79"/>
    </row>
    <row r="193" spans="8:10" x14ac:dyDescent="0.25">
      <c r="H193" s="79"/>
      <c r="I193" s="79"/>
      <c r="J193" s="79"/>
    </row>
    <row r="194" spans="8:10" x14ac:dyDescent="0.25">
      <c r="H194" s="79"/>
      <c r="I194" s="79"/>
      <c r="J194" s="79"/>
    </row>
    <row r="195" spans="8:10" x14ac:dyDescent="0.25">
      <c r="H195" s="79"/>
      <c r="I195" s="79"/>
      <c r="J195" s="79"/>
    </row>
    <row r="196" spans="8:10" x14ac:dyDescent="0.25">
      <c r="H196" s="79"/>
      <c r="I196" s="79"/>
      <c r="J196" s="79"/>
    </row>
    <row r="197" spans="8:10" x14ac:dyDescent="0.25">
      <c r="H197" s="79"/>
      <c r="I197" s="79"/>
      <c r="J197" s="79"/>
    </row>
    <row r="198" spans="8:10" x14ac:dyDescent="0.25">
      <c r="H198" s="79"/>
      <c r="I198" s="79"/>
      <c r="J198" s="79"/>
    </row>
    <row r="199" spans="8:10" x14ac:dyDescent="0.25">
      <c r="H199" s="79"/>
      <c r="I199" s="79"/>
      <c r="J199" s="79"/>
    </row>
    <row r="200" spans="8:10" x14ac:dyDescent="0.25">
      <c r="H200" s="79"/>
      <c r="I200" s="79"/>
      <c r="J200" s="79"/>
    </row>
    <row r="201" spans="8:10" x14ac:dyDescent="0.25">
      <c r="H201" s="79"/>
      <c r="I201" s="79"/>
      <c r="J201" s="79"/>
    </row>
    <row r="202" spans="8:10" x14ac:dyDescent="0.25">
      <c r="H202" s="79"/>
      <c r="I202" s="79"/>
      <c r="J202" s="79"/>
    </row>
    <row r="203" spans="8:10" x14ac:dyDescent="0.25">
      <c r="H203" s="79"/>
      <c r="I203" s="79"/>
      <c r="J203" s="79"/>
    </row>
    <row r="204" spans="8:10" x14ac:dyDescent="0.25">
      <c r="H204" s="79"/>
      <c r="I204" s="79"/>
      <c r="J204" s="79"/>
    </row>
    <row r="205" spans="8:10" x14ac:dyDescent="0.25">
      <c r="H205" s="79"/>
      <c r="I205" s="79"/>
      <c r="J205" s="79"/>
    </row>
    <row r="207" spans="8:10" x14ac:dyDescent="0.25">
      <c r="J207" s="71">
        <f>J198/O4</f>
        <v>0</v>
      </c>
    </row>
    <row r="210" spans="10:10" x14ac:dyDescent="0.25">
      <c r="J210" s="79">
        <v>37149375</v>
      </c>
    </row>
    <row r="213" spans="10:10" x14ac:dyDescent="0.25">
      <c r="J213">
        <f>J207-J210</f>
        <v>-37149375</v>
      </c>
    </row>
  </sheetData>
  <mergeCells count="177">
    <mergeCell ref="A161:G161"/>
    <mergeCell ref="A166:G166"/>
    <mergeCell ref="A168:N168"/>
    <mergeCell ref="A170:C170"/>
    <mergeCell ref="D170:M170"/>
    <mergeCell ref="J174:K174"/>
    <mergeCell ref="O175:P175"/>
    <mergeCell ref="J181:K181"/>
    <mergeCell ref="J182:K182"/>
    <mergeCell ref="A163:D163"/>
    <mergeCell ref="A164:D164"/>
    <mergeCell ref="A111:N111"/>
    <mergeCell ref="A112:D112"/>
    <mergeCell ref="A116:D116"/>
    <mergeCell ref="A117:D117"/>
    <mergeCell ref="A119:N119"/>
    <mergeCell ref="A122:D122"/>
    <mergeCell ref="A123:D123"/>
    <mergeCell ref="A127:D127"/>
    <mergeCell ref="A128:D12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39:K39"/>
    <mergeCell ref="G40:K40"/>
    <mergeCell ref="G41:K41"/>
    <mergeCell ref="G42:K42"/>
    <mergeCell ref="G43:K43"/>
    <mergeCell ref="A44:E44"/>
    <mergeCell ref="G44:K44"/>
    <mergeCell ref="G38:K38"/>
    <mergeCell ref="A47:N47"/>
    <mergeCell ref="A55:D55"/>
    <mergeCell ref="A56:D56"/>
    <mergeCell ref="A57:D57"/>
    <mergeCell ref="A58:D58"/>
    <mergeCell ref="A48:D48"/>
    <mergeCell ref="A49:D49"/>
    <mergeCell ref="A50:D50"/>
    <mergeCell ref="A51:D51"/>
    <mergeCell ref="A54:N54"/>
    <mergeCell ref="A74:D74"/>
    <mergeCell ref="A68:D68"/>
    <mergeCell ref="A69:D69"/>
    <mergeCell ref="A59:D59"/>
    <mergeCell ref="A62:D62"/>
    <mergeCell ref="A67:D67"/>
    <mergeCell ref="A61:N61"/>
    <mergeCell ref="A63:D63"/>
    <mergeCell ref="A64:D64"/>
    <mergeCell ref="A65:D65"/>
    <mergeCell ref="A66:D66"/>
    <mergeCell ref="A71:N71"/>
    <mergeCell ref="A72:D72"/>
    <mergeCell ref="A73:D73"/>
    <mergeCell ref="A77:D77"/>
    <mergeCell ref="A78:D78"/>
    <mergeCell ref="A75:D75"/>
    <mergeCell ref="A76:D76"/>
    <mergeCell ref="A84:D84"/>
    <mergeCell ref="A85:D85"/>
    <mergeCell ref="A86:D86"/>
    <mergeCell ref="A87:D87"/>
    <mergeCell ref="A88:D88"/>
    <mergeCell ref="A83:D83"/>
    <mergeCell ref="A156:D156"/>
    <mergeCell ref="A91:D91"/>
    <mergeCell ref="A92:D92"/>
    <mergeCell ref="A79:D79"/>
    <mergeCell ref="A82:N82"/>
    <mergeCell ref="A89:D89"/>
    <mergeCell ref="A90:D90"/>
    <mergeCell ref="A141:D141"/>
    <mergeCell ref="A142:D142"/>
    <mergeCell ref="A143:D143"/>
    <mergeCell ref="A97:D97"/>
    <mergeCell ref="A95:D95"/>
    <mergeCell ref="A96:D96"/>
    <mergeCell ref="H108:I108"/>
    <mergeCell ref="H109:I109"/>
    <mergeCell ref="A94:N94"/>
    <mergeCell ref="H95:I95"/>
    <mergeCell ref="H96:I96"/>
    <mergeCell ref="H97:I97"/>
    <mergeCell ref="A99:N99"/>
    <mergeCell ref="A100:D100"/>
    <mergeCell ref="A101:D101"/>
    <mergeCell ref="A106:N106"/>
    <mergeCell ref="H107:I107"/>
    <mergeCell ref="A148:D148"/>
    <mergeCell ref="A146:D146"/>
    <mergeCell ref="A147:D147"/>
    <mergeCell ref="A154:D154"/>
    <mergeCell ref="A155:D155"/>
    <mergeCell ref="A151:K151"/>
    <mergeCell ref="A144:D144"/>
    <mergeCell ref="A120:D120"/>
    <mergeCell ref="A130:D130"/>
    <mergeCell ref="A131:D131"/>
    <mergeCell ref="A132:D132"/>
    <mergeCell ref="A125:D125"/>
    <mergeCell ref="A139:D139"/>
    <mergeCell ref="A140:D140"/>
    <mergeCell ref="A160:D160"/>
    <mergeCell ref="A129:D129"/>
    <mergeCell ref="A165:D165"/>
    <mergeCell ref="A121:D121"/>
    <mergeCell ref="A124:D124"/>
    <mergeCell ref="A102:D102"/>
    <mergeCell ref="A103:D103"/>
    <mergeCell ref="A115:D115"/>
    <mergeCell ref="A104:D104"/>
    <mergeCell ref="A109:D109"/>
    <mergeCell ref="A114:D114"/>
    <mergeCell ref="A107:D107"/>
    <mergeCell ref="A108:D108"/>
    <mergeCell ref="A113:D113"/>
    <mergeCell ref="A126:D126"/>
    <mergeCell ref="A133:D133"/>
    <mergeCell ref="A134:D134"/>
    <mergeCell ref="A135:D135"/>
    <mergeCell ref="A136:D136"/>
    <mergeCell ref="A137:D137"/>
    <mergeCell ref="A138:D138"/>
    <mergeCell ref="A158:D158"/>
    <mergeCell ref="A159:D159"/>
    <mergeCell ref="A145:D145"/>
  </mergeCells>
  <pageMargins left="0.51181102362204722" right="0.31496062992125984" top="0.15748031496062992" bottom="0.3937007874015748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213"/>
  <sheetViews>
    <sheetView view="pageBreakPreview" topLeftCell="A71" zoomScale="60" zoomScaleNormal="80" workbookViewId="0">
      <selection activeCell="A84" sqref="A84:D84"/>
    </sheetView>
  </sheetViews>
  <sheetFormatPr defaultRowHeight="15" x14ac:dyDescent="0.25"/>
  <cols>
    <col min="1" max="1" width="10.42578125" customWidth="1"/>
    <col min="2" max="3" width="4.85546875" customWidth="1"/>
    <col min="4" max="4" width="11.28515625" customWidth="1"/>
    <col min="5" max="5" width="11.42578125" customWidth="1"/>
    <col min="6" max="6" width="11.140625" customWidth="1"/>
    <col min="7" max="7" width="12.28515625" customWidth="1"/>
    <col min="8" max="8" width="13" customWidth="1"/>
    <col min="9" max="9" width="10.140625" customWidth="1"/>
    <col min="10" max="10" width="11.7109375" customWidth="1"/>
    <col min="11" max="11" width="12.28515625" customWidth="1"/>
    <col min="12" max="12" width="12.5703125" customWidth="1"/>
    <col min="13" max="13" width="9.7109375" customWidth="1"/>
    <col min="14" max="14" width="11.85546875" customWidth="1"/>
    <col min="15" max="15" width="13.7109375" customWidth="1"/>
    <col min="16" max="16" width="11.28515625" customWidth="1"/>
    <col min="17" max="17" width="14.85546875" customWidth="1"/>
    <col min="18" max="18" width="16.140625" customWidth="1"/>
  </cols>
  <sheetData>
    <row r="1" spans="1:15" hidden="1" x14ac:dyDescent="0.25"/>
    <row r="2" spans="1:15" ht="15.75" hidden="1" x14ac:dyDescent="0.25">
      <c r="A2" s="218"/>
      <c r="B2" s="218"/>
      <c r="C2" s="218"/>
      <c r="D2" s="218"/>
      <c r="E2" s="218"/>
      <c r="F2" s="218"/>
      <c r="G2" s="218"/>
    </row>
    <row r="3" spans="1:15" ht="15.75" hidden="1" customHeight="1" x14ac:dyDescent="0.25">
      <c r="A3" s="218"/>
      <c r="B3" s="218"/>
      <c r="C3" s="22"/>
      <c r="D3" s="22"/>
      <c r="E3" s="54"/>
      <c r="F3" s="22"/>
      <c r="G3" s="22"/>
    </row>
    <row r="4" spans="1:15" ht="27.75" customHeight="1" x14ac:dyDescent="0.25">
      <c r="A4" s="219"/>
      <c r="B4" s="219"/>
      <c r="C4" s="219"/>
      <c r="D4" s="59"/>
      <c r="E4" s="219"/>
      <c r="F4" s="219"/>
      <c r="G4" s="24"/>
      <c r="H4" s="230"/>
      <c r="I4" s="200"/>
      <c r="J4" s="200"/>
      <c r="K4" s="200"/>
      <c r="L4" s="60"/>
      <c r="O4" s="75">
        <v>1.5E-3</v>
      </c>
    </row>
    <row r="5" spans="1:15" ht="7.5" customHeight="1" x14ac:dyDescent="0.25">
      <c r="A5" s="1"/>
      <c r="B5" s="1"/>
      <c r="C5" s="1"/>
      <c r="D5" s="53"/>
      <c r="E5" s="1"/>
      <c r="F5" s="1"/>
      <c r="G5" s="53"/>
    </row>
    <row r="6" spans="1:15" x14ac:dyDescent="0.25">
      <c r="A6" s="55"/>
      <c r="B6" s="55"/>
      <c r="C6" s="55"/>
      <c r="D6" s="55"/>
      <c r="E6" s="55"/>
      <c r="F6" s="55"/>
      <c r="G6" s="55"/>
    </row>
    <row r="7" spans="1:15" ht="15.75" x14ac:dyDescent="0.25">
      <c r="A7" s="198" t="s">
        <v>88</v>
      </c>
      <c r="B7" s="199"/>
      <c r="C7" s="199"/>
      <c r="D7" s="199"/>
      <c r="E7" s="199"/>
      <c r="F7" s="199"/>
      <c r="G7" s="200"/>
      <c r="H7" s="200"/>
      <c r="I7" s="200"/>
      <c r="J7" s="200"/>
      <c r="K7" s="200"/>
      <c r="L7" s="200"/>
      <c r="M7" s="200"/>
    </row>
    <row r="8" spans="1:15" ht="15.75" x14ac:dyDescent="0.25">
      <c r="A8" s="198" t="s">
        <v>150</v>
      </c>
      <c r="B8" s="199"/>
      <c r="C8" s="199"/>
      <c r="D8" s="199"/>
      <c r="E8" s="199"/>
      <c r="F8" s="199"/>
      <c r="G8" s="200"/>
      <c r="H8" s="200"/>
      <c r="I8" s="200"/>
      <c r="J8" s="200"/>
      <c r="K8" s="200"/>
      <c r="L8" s="200"/>
      <c r="M8" s="200"/>
    </row>
    <row r="9" spans="1:15" ht="12" customHeight="1" x14ac:dyDescent="0.25"/>
    <row r="10" spans="1:15" ht="7.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5" ht="15.75" x14ac:dyDescent="0.25">
      <c r="A11" s="5" t="s">
        <v>95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5" ht="17.25" customHeight="1" x14ac:dyDescent="0.25">
      <c r="A12" s="215" t="s">
        <v>73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5" ht="15.75" x14ac:dyDescent="0.25">
      <c r="A13" s="5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ht="15.75" x14ac:dyDescent="0.25">
      <c r="A14" s="5" t="s">
        <v>72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5" ht="15.75" x14ac:dyDescent="0.25">
      <c r="A15" s="5" t="s">
        <v>141</v>
      </c>
      <c r="B15" s="4"/>
      <c r="C15" s="4"/>
      <c r="D15" s="4"/>
      <c r="E15" s="4"/>
      <c r="F15" s="4"/>
      <c r="G15" s="4"/>
      <c r="H15" s="53"/>
      <c r="I15" s="53"/>
      <c r="J15" s="53"/>
      <c r="K15" s="4"/>
      <c r="L15" s="4"/>
      <c r="M15" s="4"/>
    </row>
    <row r="16" spans="1:15" ht="51.75" customHeight="1" x14ac:dyDescent="0.25">
      <c r="A16" s="221" t="s">
        <v>50</v>
      </c>
      <c r="B16" s="221"/>
      <c r="C16" s="221"/>
      <c r="D16" s="221"/>
      <c r="E16" s="221"/>
      <c r="F16" s="6" t="s">
        <v>49</v>
      </c>
      <c r="G16" s="221" t="s">
        <v>51</v>
      </c>
      <c r="H16" s="221"/>
      <c r="I16" s="221"/>
      <c r="J16" s="221"/>
      <c r="K16" s="221"/>
      <c r="L16" s="6" t="s">
        <v>49</v>
      </c>
      <c r="M16" s="13"/>
      <c r="O16" s="105"/>
    </row>
    <row r="17" spans="1:14" x14ac:dyDescent="0.25">
      <c r="A17" s="217" t="s">
        <v>67</v>
      </c>
      <c r="B17" s="217"/>
      <c r="C17" s="217"/>
      <c r="D17" s="217"/>
      <c r="E17" s="217"/>
      <c r="F17" s="61">
        <f>17.29*O4</f>
        <v>2.5935E-2</v>
      </c>
      <c r="G17" s="222" t="s">
        <v>1</v>
      </c>
      <c r="H17" s="223"/>
      <c r="I17" s="223"/>
      <c r="J17" s="223"/>
      <c r="K17" s="224"/>
      <c r="L17" s="61">
        <f>M17*$O$4</f>
        <v>1.5E-3</v>
      </c>
      <c r="M17" s="134">
        <v>1</v>
      </c>
      <c r="N17" s="68"/>
    </row>
    <row r="18" spans="1:14" ht="15.75" x14ac:dyDescent="0.25">
      <c r="A18" s="210" t="s">
        <v>70</v>
      </c>
      <c r="B18" s="211"/>
      <c r="C18" s="211"/>
      <c r="D18" s="211"/>
      <c r="E18" s="212"/>
      <c r="F18" s="61">
        <f>6.5*O4</f>
        <v>9.75E-3</v>
      </c>
      <c r="G18" s="207" t="s">
        <v>123</v>
      </c>
      <c r="H18" s="208"/>
      <c r="I18" s="208"/>
      <c r="J18" s="208"/>
      <c r="K18" s="209"/>
      <c r="L18" s="61">
        <f t="shared" ref="L18:L41" si="0">M18*$O$4</f>
        <v>1.5E-3</v>
      </c>
      <c r="M18" s="134">
        <v>1</v>
      </c>
      <c r="N18" s="68"/>
    </row>
    <row r="19" spans="1:14" ht="15.75" x14ac:dyDescent="0.25">
      <c r="A19" s="210"/>
      <c r="B19" s="211"/>
      <c r="C19" s="211"/>
      <c r="D19" s="211"/>
      <c r="E19" s="212"/>
      <c r="F19" s="61"/>
      <c r="G19" s="207" t="s">
        <v>124</v>
      </c>
      <c r="H19" s="208"/>
      <c r="I19" s="208"/>
      <c r="J19" s="208"/>
      <c r="K19" s="209"/>
      <c r="L19" s="61">
        <f t="shared" si="0"/>
        <v>1.5E-3</v>
      </c>
      <c r="M19" s="134">
        <v>1</v>
      </c>
      <c r="N19" s="68"/>
    </row>
    <row r="20" spans="1:14" ht="15.75" x14ac:dyDescent="0.25">
      <c r="A20" s="217"/>
      <c r="B20" s="217"/>
      <c r="C20" s="217"/>
      <c r="D20" s="217"/>
      <c r="E20" s="217"/>
      <c r="F20" s="57"/>
      <c r="G20" s="207" t="s">
        <v>125</v>
      </c>
      <c r="H20" s="208"/>
      <c r="I20" s="208"/>
      <c r="J20" s="208"/>
      <c r="K20" s="209"/>
      <c r="L20" s="61">
        <f t="shared" si="0"/>
        <v>1.5E-3</v>
      </c>
      <c r="M20" s="134">
        <v>1</v>
      </c>
    </row>
    <row r="21" spans="1:14" ht="15" customHeight="1" x14ac:dyDescent="0.25">
      <c r="A21" s="217"/>
      <c r="B21" s="217"/>
      <c r="C21" s="217"/>
      <c r="D21" s="217"/>
      <c r="E21" s="217"/>
      <c r="F21" s="57"/>
      <c r="G21" s="204" t="s">
        <v>126</v>
      </c>
      <c r="H21" s="205"/>
      <c r="I21" s="205"/>
      <c r="J21" s="205"/>
      <c r="K21" s="206"/>
      <c r="L21" s="61">
        <f t="shared" si="0"/>
        <v>1.5E-3</v>
      </c>
      <c r="M21" s="134">
        <v>1</v>
      </c>
    </row>
    <row r="22" spans="1:14" ht="15" customHeight="1" x14ac:dyDescent="0.25">
      <c r="A22" s="217"/>
      <c r="B22" s="217"/>
      <c r="C22" s="217"/>
      <c r="D22" s="217"/>
      <c r="E22" s="217"/>
      <c r="F22" s="57"/>
      <c r="G22" s="204" t="s">
        <v>110</v>
      </c>
      <c r="H22" s="205"/>
      <c r="I22" s="205"/>
      <c r="J22" s="205"/>
      <c r="K22" s="206"/>
      <c r="L22" s="61">
        <f t="shared" si="0"/>
        <v>7.5000000000000002E-4</v>
      </c>
      <c r="M22" s="134">
        <v>0.5</v>
      </c>
    </row>
    <row r="23" spans="1:14" ht="15" customHeight="1" x14ac:dyDescent="0.25">
      <c r="A23" s="217"/>
      <c r="B23" s="217"/>
      <c r="C23" s="217"/>
      <c r="D23" s="217"/>
      <c r="E23" s="217"/>
      <c r="F23" s="57"/>
      <c r="G23" s="201" t="s">
        <v>127</v>
      </c>
      <c r="H23" s="202"/>
      <c r="I23" s="202"/>
      <c r="J23" s="202"/>
      <c r="K23" s="203"/>
      <c r="L23" s="61">
        <f t="shared" si="0"/>
        <v>1.5E-3</v>
      </c>
      <c r="M23" s="134">
        <v>1</v>
      </c>
    </row>
    <row r="24" spans="1:14" ht="28.15" customHeight="1" x14ac:dyDescent="0.25">
      <c r="A24" s="210"/>
      <c r="B24" s="211"/>
      <c r="C24" s="211"/>
      <c r="D24" s="211"/>
      <c r="E24" s="220"/>
      <c r="F24" s="57"/>
      <c r="G24" s="201" t="s">
        <v>69</v>
      </c>
      <c r="H24" s="202"/>
      <c r="I24" s="202"/>
      <c r="J24" s="202"/>
      <c r="K24" s="203"/>
      <c r="L24" s="61">
        <f t="shared" si="0"/>
        <v>1.5E-3</v>
      </c>
      <c r="M24" s="134">
        <v>1</v>
      </c>
    </row>
    <row r="25" spans="1:14" ht="15" customHeight="1" x14ac:dyDescent="0.25">
      <c r="A25" s="210"/>
      <c r="B25" s="211"/>
      <c r="C25" s="211"/>
      <c r="D25" s="211"/>
      <c r="E25" s="220"/>
      <c r="F25" s="58"/>
      <c r="G25" s="201" t="s">
        <v>54</v>
      </c>
      <c r="H25" s="202"/>
      <c r="I25" s="202"/>
      <c r="J25" s="202"/>
      <c r="K25" s="203"/>
      <c r="L25" s="61">
        <f t="shared" si="0"/>
        <v>1.5E-3</v>
      </c>
      <c r="M25" s="134">
        <v>1</v>
      </c>
    </row>
    <row r="26" spans="1:14" ht="15.75" customHeight="1" x14ac:dyDescent="0.25">
      <c r="A26" s="210"/>
      <c r="B26" s="211"/>
      <c r="C26" s="211"/>
      <c r="D26" s="211"/>
      <c r="E26" s="220"/>
      <c r="F26" s="58"/>
      <c r="G26" s="201" t="s">
        <v>56</v>
      </c>
      <c r="H26" s="202"/>
      <c r="I26" s="202"/>
      <c r="J26" s="202"/>
      <c r="K26" s="203"/>
      <c r="L26" s="61">
        <f t="shared" si="0"/>
        <v>1.5E-3</v>
      </c>
      <c r="M26" s="134">
        <v>1</v>
      </c>
    </row>
    <row r="27" spans="1:14" ht="15.75" customHeight="1" x14ac:dyDescent="0.25">
      <c r="A27" s="210"/>
      <c r="B27" s="211"/>
      <c r="C27" s="211"/>
      <c r="D27" s="211"/>
      <c r="E27" s="220"/>
      <c r="F27" s="58"/>
      <c r="G27" s="201" t="s">
        <v>128</v>
      </c>
      <c r="H27" s="202"/>
      <c r="I27" s="202"/>
      <c r="J27" s="202"/>
      <c r="K27" s="203"/>
      <c r="L27" s="61">
        <f t="shared" si="0"/>
        <v>7.5000000000000002E-4</v>
      </c>
      <c r="M27" s="134">
        <v>0.5</v>
      </c>
    </row>
    <row r="28" spans="1:14" ht="15" customHeight="1" x14ac:dyDescent="0.25">
      <c r="A28" s="152"/>
      <c r="B28" s="152"/>
      <c r="C28" s="152"/>
      <c r="D28" s="152"/>
      <c r="E28" s="152"/>
      <c r="F28" s="58"/>
      <c r="G28" s="201" t="s">
        <v>68</v>
      </c>
      <c r="H28" s="202"/>
      <c r="I28" s="202"/>
      <c r="J28" s="202"/>
      <c r="K28" s="203"/>
      <c r="L28" s="61">
        <f t="shared" si="0"/>
        <v>1.5E-3</v>
      </c>
      <c r="M28" s="134">
        <v>1</v>
      </c>
    </row>
    <row r="29" spans="1:14" ht="15.75" customHeight="1" x14ac:dyDescent="0.25">
      <c r="A29" s="152"/>
      <c r="B29" s="152"/>
      <c r="C29" s="152"/>
      <c r="D29" s="152"/>
      <c r="E29" s="152"/>
      <c r="F29" s="58"/>
      <c r="G29" s="201" t="s">
        <v>129</v>
      </c>
      <c r="H29" s="202"/>
      <c r="I29" s="202"/>
      <c r="J29" s="202"/>
      <c r="K29" s="203"/>
      <c r="L29" s="61">
        <f t="shared" si="0"/>
        <v>3.0000000000000001E-3</v>
      </c>
      <c r="M29" s="134">
        <v>2</v>
      </c>
    </row>
    <row r="30" spans="1:14" ht="15.75" x14ac:dyDescent="0.25">
      <c r="A30" s="173"/>
      <c r="B30" s="173"/>
      <c r="C30" s="173"/>
      <c r="D30" s="173"/>
      <c r="E30" s="173"/>
      <c r="F30" s="21"/>
      <c r="G30" s="204" t="s">
        <v>130</v>
      </c>
      <c r="H30" s="205"/>
      <c r="I30" s="205"/>
      <c r="J30" s="205"/>
      <c r="K30" s="206"/>
      <c r="L30" s="61">
        <f t="shared" si="0"/>
        <v>1.5E-3</v>
      </c>
      <c r="M30" s="134">
        <v>1</v>
      </c>
    </row>
    <row r="31" spans="1:14" ht="14.45" customHeight="1" x14ac:dyDescent="0.25">
      <c r="A31" s="173"/>
      <c r="B31" s="173"/>
      <c r="C31" s="173"/>
      <c r="D31" s="173"/>
      <c r="E31" s="173"/>
      <c r="F31" s="21"/>
      <c r="G31" s="204" t="s">
        <v>131</v>
      </c>
      <c r="H31" s="205"/>
      <c r="I31" s="205"/>
      <c r="J31" s="205"/>
      <c r="K31" s="206"/>
      <c r="L31" s="61">
        <f t="shared" si="0"/>
        <v>1.5E-3</v>
      </c>
      <c r="M31" s="134">
        <v>1</v>
      </c>
    </row>
    <row r="32" spans="1:14" ht="12.75" customHeight="1" x14ac:dyDescent="0.25">
      <c r="A32" s="173"/>
      <c r="B32" s="173"/>
      <c r="C32" s="173"/>
      <c r="D32" s="173"/>
      <c r="E32" s="173"/>
      <c r="F32" s="21"/>
      <c r="G32" s="201" t="s">
        <v>55</v>
      </c>
      <c r="H32" s="202"/>
      <c r="I32" s="202"/>
      <c r="J32" s="202"/>
      <c r="K32" s="203"/>
      <c r="L32" s="61">
        <f t="shared" si="0"/>
        <v>1.5E-3</v>
      </c>
      <c r="M32" s="134">
        <v>1</v>
      </c>
    </row>
    <row r="33" spans="1:17" ht="15" customHeight="1" x14ac:dyDescent="0.25">
      <c r="A33" s="173"/>
      <c r="B33" s="173"/>
      <c r="C33" s="173"/>
      <c r="D33" s="173"/>
      <c r="E33" s="173"/>
      <c r="F33" s="21"/>
      <c r="G33" s="204" t="s">
        <v>132</v>
      </c>
      <c r="H33" s="205"/>
      <c r="I33" s="205"/>
      <c r="J33" s="205"/>
      <c r="K33" s="206"/>
      <c r="L33" s="61">
        <f t="shared" si="0"/>
        <v>7.1250000000000003E-3</v>
      </c>
      <c r="M33" s="134">
        <v>4.75</v>
      </c>
    </row>
    <row r="34" spans="1:17" ht="15.75" x14ac:dyDescent="0.25">
      <c r="A34" s="174"/>
      <c r="B34" s="175"/>
      <c r="C34" s="175"/>
      <c r="D34" s="175"/>
      <c r="E34" s="176"/>
      <c r="F34" s="21"/>
      <c r="G34" s="204" t="s">
        <v>133</v>
      </c>
      <c r="H34" s="205"/>
      <c r="I34" s="205"/>
      <c r="J34" s="205"/>
      <c r="K34" s="206"/>
      <c r="L34" s="61">
        <f t="shared" si="0"/>
        <v>5.2500000000000003E-3</v>
      </c>
      <c r="M34" s="134">
        <v>3.5</v>
      </c>
    </row>
    <row r="35" spans="1:17" ht="15" customHeight="1" x14ac:dyDescent="0.25">
      <c r="A35" s="174"/>
      <c r="B35" s="175"/>
      <c r="C35" s="175"/>
      <c r="D35" s="175"/>
      <c r="E35" s="176"/>
      <c r="F35" s="21"/>
      <c r="G35" s="204" t="s">
        <v>134</v>
      </c>
      <c r="H35" s="205"/>
      <c r="I35" s="205"/>
      <c r="J35" s="205"/>
      <c r="K35" s="206"/>
      <c r="L35" s="61">
        <f t="shared" si="0"/>
        <v>6.0000000000000001E-3</v>
      </c>
      <c r="M35" s="134">
        <v>4</v>
      </c>
    </row>
    <row r="36" spans="1:17" ht="15" customHeight="1" x14ac:dyDescent="0.25">
      <c r="A36" s="174"/>
      <c r="B36" s="175"/>
      <c r="C36" s="175"/>
      <c r="D36" s="175"/>
      <c r="E36" s="176"/>
      <c r="F36" s="21"/>
      <c r="G36" s="204" t="s">
        <v>135</v>
      </c>
      <c r="H36" s="205"/>
      <c r="I36" s="205"/>
      <c r="J36" s="205"/>
      <c r="K36" s="206"/>
      <c r="L36" s="61">
        <f t="shared" si="0"/>
        <v>1.5E-3</v>
      </c>
      <c r="M36" s="134">
        <v>1</v>
      </c>
    </row>
    <row r="37" spans="1:17" ht="15" customHeight="1" x14ac:dyDescent="0.25">
      <c r="A37" s="174"/>
      <c r="B37" s="175"/>
      <c r="C37" s="175"/>
      <c r="D37" s="175"/>
      <c r="E37" s="176"/>
      <c r="F37" s="21"/>
      <c r="G37" s="204" t="s">
        <v>136</v>
      </c>
      <c r="H37" s="205"/>
      <c r="I37" s="205"/>
      <c r="J37" s="205"/>
      <c r="K37" s="206"/>
      <c r="L37" s="61">
        <f t="shared" si="0"/>
        <v>1.5E-3</v>
      </c>
      <c r="M37" s="134">
        <v>1</v>
      </c>
    </row>
    <row r="38" spans="1:17" ht="15" customHeight="1" x14ac:dyDescent="0.25">
      <c r="A38" s="101"/>
      <c r="B38" s="102"/>
      <c r="C38" s="102"/>
      <c r="D38" s="102"/>
      <c r="E38" s="103"/>
      <c r="F38" s="21"/>
      <c r="G38" s="183" t="s">
        <v>137</v>
      </c>
      <c r="H38" s="184"/>
      <c r="I38" s="184"/>
      <c r="J38" s="184"/>
      <c r="K38" s="185"/>
      <c r="L38" s="61">
        <f t="shared" si="0"/>
        <v>7.5000000000000002E-4</v>
      </c>
      <c r="M38" s="134">
        <v>0.5</v>
      </c>
    </row>
    <row r="39" spans="1:17" ht="15" customHeight="1" x14ac:dyDescent="0.25">
      <c r="A39" s="101"/>
      <c r="B39" s="102"/>
      <c r="C39" s="102"/>
      <c r="D39" s="102"/>
      <c r="E39" s="103"/>
      <c r="F39" s="21"/>
      <c r="G39" s="183" t="s">
        <v>138</v>
      </c>
      <c r="H39" s="184"/>
      <c r="I39" s="184"/>
      <c r="J39" s="184"/>
      <c r="K39" s="185"/>
      <c r="L39" s="61">
        <f t="shared" si="0"/>
        <v>7.5000000000000002E-4</v>
      </c>
      <c r="M39" s="134">
        <v>0.5</v>
      </c>
    </row>
    <row r="40" spans="1:17" ht="15" customHeight="1" x14ac:dyDescent="0.25">
      <c r="A40" s="101"/>
      <c r="B40" s="102"/>
      <c r="C40" s="102"/>
      <c r="D40" s="102"/>
      <c r="E40" s="103"/>
      <c r="F40" s="21"/>
      <c r="G40" s="183" t="s">
        <v>139</v>
      </c>
      <c r="H40" s="184"/>
      <c r="I40" s="184"/>
      <c r="J40" s="184"/>
      <c r="K40" s="185"/>
      <c r="L40" s="61">
        <f t="shared" si="0"/>
        <v>1.6500000000000001E-2</v>
      </c>
      <c r="M40" s="134">
        <v>11</v>
      </c>
    </row>
    <row r="41" spans="1:17" ht="15" customHeight="1" x14ac:dyDescent="0.25">
      <c r="A41" s="101"/>
      <c r="B41" s="102"/>
      <c r="C41" s="102"/>
      <c r="D41" s="102"/>
      <c r="E41" s="103"/>
      <c r="F41" s="21"/>
      <c r="G41" s="183" t="s">
        <v>140</v>
      </c>
      <c r="H41" s="184"/>
      <c r="I41" s="184"/>
      <c r="J41" s="184"/>
      <c r="K41" s="185"/>
      <c r="L41" s="61">
        <f t="shared" si="0"/>
        <v>3.0000000000000001E-3</v>
      </c>
      <c r="M41" s="134">
        <v>2</v>
      </c>
    </row>
    <row r="42" spans="1:17" ht="15" customHeight="1" x14ac:dyDescent="0.25">
      <c r="A42" s="101"/>
      <c r="B42" s="102"/>
      <c r="C42" s="102"/>
      <c r="D42" s="102"/>
      <c r="E42" s="103"/>
      <c r="F42" s="21"/>
      <c r="G42" s="183"/>
      <c r="H42" s="184"/>
      <c r="I42" s="184"/>
      <c r="J42" s="184"/>
      <c r="K42" s="185"/>
      <c r="L42" s="61"/>
      <c r="M42" s="134"/>
    </row>
    <row r="43" spans="1:17" ht="15" customHeight="1" x14ac:dyDescent="0.25">
      <c r="A43" s="101"/>
      <c r="B43" s="102"/>
      <c r="C43" s="102"/>
      <c r="D43" s="102"/>
      <c r="E43" s="103"/>
      <c r="F43" s="21"/>
      <c r="G43" s="183"/>
      <c r="H43" s="184"/>
      <c r="I43" s="184"/>
      <c r="J43" s="184"/>
      <c r="K43" s="185"/>
      <c r="L43" s="61"/>
      <c r="M43" s="134"/>
      <c r="O43" s="67">
        <f>L44+F44</f>
        <v>0.10206000000000001</v>
      </c>
      <c r="P43">
        <f>L44/O4</f>
        <v>44.250000000000007</v>
      </c>
    </row>
    <row r="44" spans="1:17" s="79" customFormat="1" ht="15" customHeight="1" x14ac:dyDescent="0.25">
      <c r="A44" s="186" t="s">
        <v>2</v>
      </c>
      <c r="B44" s="186"/>
      <c r="C44" s="186"/>
      <c r="D44" s="186"/>
      <c r="E44" s="186"/>
      <c r="F44" s="66">
        <f>SUM(F17:F37)</f>
        <v>3.5685000000000001E-2</v>
      </c>
      <c r="G44" s="187" t="s">
        <v>2</v>
      </c>
      <c r="H44" s="187"/>
      <c r="I44" s="187"/>
      <c r="J44" s="187"/>
      <c r="K44" s="187"/>
      <c r="L44" s="65">
        <f>SUM(L17:L41)</f>
        <v>6.6375000000000017E-2</v>
      </c>
      <c r="M44" s="135">
        <f>SUM(M17:M43)</f>
        <v>44.25</v>
      </c>
      <c r="O44" s="107">
        <f>O43/O4</f>
        <v>68.040000000000006</v>
      </c>
      <c r="Q44" s="107"/>
    </row>
    <row r="45" spans="1:17" ht="20.2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7" ht="20.2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7" ht="15.75" x14ac:dyDescent="0.25">
      <c r="A47" s="188" t="s">
        <v>60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</row>
    <row r="48" spans="1:17" ht="75" x14ac:dyDescent="0.25">
      <c r="A48" s="192" t="s">
        <v>3</v>
      </c>
      <c r="B48" s="192"/>
      <c r="C48" s="192"/>
      <c r="D48" s="192"/>
      <c r="E48" s="6" t="s">
        <v>4</v>
      </c>
      <c r="F48" s="7" t="s">
        <v>0</v>
      </c>
      <c r="G48" s="16" t="s">
        <v>37</v>
      </c>
      <c r="H48" s="16" t="s">
        <v>29</v>
      </c>
      <c r="I48" s="6" t="s">
        <v>47</v>
      </c>
      <c r="J48" s="6" t="s">
        <v>53</v>
      </c>
      <c r="K48" s="6" t="s">
        <v>31</v>
      </c>
      <c r="L48" s="13"/>
      <c r="M48" s="13"/>
      <c r="N48" s="13"/>
    </row>
    <row r="49" spans="1:21" x14ac:dyDescent="0.25">
      <c r="A49" s="213">
        <v>1</v>
      </c>
      <c r="B49" s="214"/>
      <c r="C49" s="214"/>
      <c r="D49" s="214"/>
      <c r="E49" s="11">
        <v>2</v>
      </c>
      <c r="F49" s="9">
        <v>3</v>
      </c>
      <c r="G49" s="11">
        <v>4</v>
      </c>
      <c r="H49" s="11">
        <v>5</v>
      </c>
      <c r="I49" s="12">
        <v>6</v>
      </c>
      <c r="J49" s="17">
        <v>7</v>
      </c>
      <c r="K49" s="18">
        <v>8</v>
      </c>
      <c r="L49" s="62"/>
      <c r="M49" s="62"/>
      <c r="N49" s="13"/>
    </row>
    <row r="50" spans="1:21" s="79" customFormat="1" ht="34.15" customHeight="1" thickBot="1" x14ac:dyDescent="0.3">
      <c r="A50" s="139" t="s">
        <v>50</v>
      </c>
      <c r="B50" s="139"/>
      <c r="C50" s="139"/>
      <c r="D50" s="139"/>
      <c r="E50" s="19">
        <f>G50/12/F50</f>
        <v>42310.9375</v>
      </c>
      <c r="F50" s="19">
        <v>0.04</v>
      </c>
      <c r="G50" s="70">
        <v>20309.25</v>
      </c>
      <c r="H50" s="19">
        <v>26442.639999999999</v>
      </c>
      <c r="I50" s="25">
        <v>1</v>
      </c>
      <c r="J50" s="19">
        <f>H50/I50</f>
        <v>26442.639999999999</v>
      </c>
      <c r="K50" s="72">
        <f>H50/17628429.26*100</f>
        <v>0.14999997793337147</v>
      </c>
      <c r="L50" s="63"/>
      <c r="M50" s="63"/>
      <c r="N50" s="51"/>
    </row>
    <row r="51" spans="1:21" s="79" customFormat="1" ht="15.75" thickBot="1" x14ac:dyDescent="0.3">
      <c r="A51" s="169" t="s">
        <v>32</v>
      </c>
      <c r="B51" s="169"/>
      <c r="C51" s="169"/>
      <c r="D51" s="169"/>
      <c r="E51" s="38"/>
      <c r="F51" s="100"/>
      <c r="G51" s="100"/>
      <c r="H51" s="41">
        <f>H50</f>
        <v>26442.639999999999</v>
      </c>
      <c r="I51" s="28"/>
      <c r="J51" s="39">
        <f>J50</f>
        <v>26442.639999999999</v>
      </c>
      <c r="K51" s="26"/>
      <c r="L51" s="26"/>
      <c r="M51" s="26"/>
      <c r="N51" s="51"/>
    </row>
    <row r="52" spans="1:21" s="79" customFormat="1" ht="20.2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21" s="79" customFormat="1" ht="20.2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21" s="79" customFormat="1" x14ac:dyDescent="0.25">
      <c r="A54" s="149" t="s">
        <v>66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21" s="79" customFormat="1" ht="73.5" customHeight="1" x14ac:dyDescent="0.25">
      <c r="A55" s="152" t="s">
        <v>7</v>
      </c>
      <c r="B55" s="152"/>
      <c r="C55" s="152"/>
      <c r="D55" s="152"/>
      <c r="E55" s="10" t="s">
        <v>61</v>
      </c>
      <c r="F55" s="10" t="s">
        <v>40</v>
      </c>
      <c r="G55" s="10" t="s">
        <v>27</v>
      </c>
      <c r="H55" s="10" t="s">
        <v>33</v>
      </c>
      <c r="I55" s="10" t="s">
        <v>47</v>
      </c>
      <c r="J55" s="10" t="s">
        <v>53</v>
      </c>
      <c r="K55" s="26"/>
      <c r="L55" s="26"/>
      <c r="M55" s="26"/>
      <c r="N55" s="26"/>
      <c r="O55" s="107"/>
    </row>
    <row r="56" spans="1:21" s="79" customFormat="1" ht="18.75" customHeight="1" x14ac:dyDescent="0.25">
      <c r="A56" s="180">
        <v>1</v>
      </c>
      <c r="B56" s="181"/>
      <c r="C56" s="181"/>
      <c r="D56" s="181"/>
      <c r="E56" s="10">
        <v>2</v>
      </c>
      <c r="F56" s="10">
        <v>3</v>
      </c>
      <c r="G56" s="81">
        <v>4</v>
      </c>
      <c r="H56" s="81">
        <v>5</v>
      </c>
      <c r="I56" s="82">
        <v>6</v>
      </c>
      <c r="J56" s="82" t="s">
        <v>30</v>
      </c>
      <c r="K56" s="26"/>
      <c r="L56" s="26"/>
      <c r="M56" s="26"/>
      <c r="N56" s="108"/>
    </row>
    <row r="57" spans="1:21" s="79" customFormat="1" x14ac:dyDescent="0.25">
      <c r="A57" s="182" t="s">
        <v>36</v>
      </c>
      <c r="B57" s="182"/>
      <c r="C57" s="182"/>
      <c r="D57" s="182"/>
      <c r="E57" s="15">
        <v>5</v>
      </c>
      <c r="F57" s="14">
        <f>12</f>
        <v>12</v>
      </c>
      <c r="G57" s="19">
        <f>H57/F57</f>
        <v>1.87</v>
      </c>
      <c r="H57" s="70">
        <f>14960*O4</f>
        <v>22.44</v>
      </c>
      <c r="I57" s="25">
        <v>1</v>
      </c>
      <c r="J57" s="19">
        <f>H57/I57</f>
        <v>22.44</v>
      </c>
      <c r="K57" s="26"/>
      <c r="L57" s="26"/>
      <c r="M57" s="26"/>
      <c r="N57" s="109"/>
    </row>
    <row r="58" spans="1:21" s="79" customFormat="1" ht="15.75" thickBot="1" x14ac:dyDescent="0.3">
      <c r="A58" s="182" t="s">
        <v>44</v>
      </c>
      <c r="B58" s="182"/>
      <c r="C58" s="182"/>
      <c r="D58" s="182"/>
      <c r="E58" s="15">
        <v>1</v>
      </c>
      <c r="F58" s="14">
        <f>12</f>
        <v>12</v>
      </c>
      <c r="G58" s="19">
        <f>H58/F58</f>
        <v>5.1187500000000004</v>
      </c>
      <c r="H58" s="70">
        <f>40950*O4</f>
        <v>61.425000000000004</v>
      </c>
      <c r="I58" s="25">
        <v>1</v>
      </c>
      <c r="J58" s="19">
        <f>H58/I58</f>
        <v>61.425000000000004</v>
      </c>
      <c r="K58" s="26"/>
      <c r="L58" s="26"/>
      <c r="M58" s="26"/>
      <c r="N58" s="26"/>
    </row>
    <row r="59" spans="1:21" s="79" customFormat="1" ht="15.75" thickBot="1" x14ac:dyDescent="0.3">
      <c r="A59" s="178" t="s">
        <v>15</v>
      </c>
      <c r="B59" s="179"/>
      <c r="C59" s="179"/>
      <c r="D59" s="179"/>
      <c r="E59" s="32"/>
      <c r="F59" s="32"/>
      <c r="G59" s="32"/>
      <c r="H59" s="41">
        <f>SUM(H57:H58)</f>
        <v>83.865000000000009</v>
      </c>
      <c r="I59" s="28"/>
      <c r="J59" s="33">
        <f>SUM(J57:J58)</f>
        <v>83.865000000000009</v>
      </c>
      <c r="K59" s="26"/>
      <c r="L59" s="26"/>
      <c r="M59" s="26"/>
      <c r="N59" s="26"/>
    </row>
    <row r="60" spans="1:21" s="79" customFormat="1" ht="17.2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1" s="79" customFormat="1" x14ac:dyDescent="0.25">
      <c r="A61" s="149" t="s">
        <v>6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21" s="79" customFormat="1" ht="73.5" customHeight="1" x14ac:dyDescent="0.25">
      <c r="A62" s="152" t="s">
        <v>7</v>
      </c>
      <c r="B62" s="152"/>
      <c r="C62" s="152"/>
      <c r="D62" s="152"/>
      <c r="E62" s="10" t="s">
        <v>5</v>
      </c>
      <c r="F62" s="10" t="s">
        <v>40</v>
      </c>
      <c r="G62" s="10" t="s">
        <v>27</v>
      </c>
      <c r="H62" s="10" t="s">
        <v>33</v>
      </c>
      <c r="I62" s="10" t="s">
        <v>47</v>
      </c>
      <c r="J62" s="10" t="s">
        <v>53</v>
      </c>
      <c r="K62" s="26"/>
      <c r="L62" s="26"/>
      <c r="M62" s="26"/>
      <c r="N62" s="26"/>
      <c r="S62" s="114">
        <f>K66+K67</f>
        <v>0</v>
      </c>
      <c r="U62" s="79">
        <v>364000</v>
      </c>
    </row>
    <row r="63" spans="1:21" s="79" customFormat="1" ht="18.75" customHeight="1" x14ac:dyDescent="0.25">
      <c r="A63" s="180">
        <v>1</v>
      </c>
      <c r="B63" s="181"/>
      <c r="C63" s="181"/>
      <c r="D63" s="181"/>
      <c r="E63" s="10">
        <v>2</v>
      </c>
      <c r="F63" s="10">
        <v>3</v>
      </c>
      <c r="G63" s="81">
        <v>4</v>
      </c>
      <c r="H63" s="81">
        <v>5</v>
      </c>
      <c r="I63" s="82">
        <v>6</v>
      </c>
      <c r="J63" s="82" t="s">
        <v>30</v>
      </c>
      <c r="K63" s="26"/>
      <c r="L63" s="26"/>
      <c r="M63" s="26"/>
      <c r="N63" s="108"/>
      <c r="U63" s="79" t="e">
        <f>U62/S62*K66</f>
        <v>#DIV/0!</v>
      </c>
    </row>
    <row r="64" spans="1:21" s="79" customFormat="1" x14ac:dyDescent="0.25">
      <c r="A64" s="182" t="s">
        <v>9</v>
      </c>
      <c r="B64" s="182"/>
      <c r="C64" s="182"/>
      <c r="D64" s="182"/>
      <c r="E64" s="15" t="s">
        <v>12</v>
      </c>
      <c r="F64" s="14">
        <f>H64/G64</f>
        <v>0.11203849701585911</v>
      </c>
      <c r="G64" s="19">
        <v>6569.73</v>
      </c>
      <c r="H64" s="70">
        <f>490708.45*O4</f>
        <v>736.06267500000001</v>
      </c>
      <c r="I64" s="25">
        <v>1</v>
      </c>
      <c r="J64" s="19">
        <f t="shared" ref="J64:J68" si="1">H64/I64</f>
        <v>736.06267500000001</v>
      </c>
      <c r="K64" s="133"/>
      <c r="L64" s="26"/>
      <c r="M64" s="26"/>
      <c r="N64" s="109"/>
      <c r="U64" s="79" t="e">
        <f>U62/S62*K67</f>
        <v>#DIV/0!</v>
      </c>
    </row>
    <row r="65" spans="1:17" s="79" customFormat="1" x14ac:dyDescent="0.25">
      <c r="A65" s="182" t="s">
        <v>10</v>
      </c>
      <c r="B65" s="182"/>
      <c r="C65" s="182"/>
      <c r="D65" s="182"/>
      <c r="E65" s="15" t="s">
        <v>13</v>
      </c>
      <c r="F65" s="15">
        <f>H65/G65</f>
        <v>1.0553663288504822</v>
      </c>
      <c r="G65" s="19">
        <v>1768.22</v>
      </c>
      <c r="H65" s="70">
        <f>1244079.9*O4</f>
        <v>1866.1198499999998</v>
      </c>
      <c r="I65" s="25">
        <v>1</v>
      </c>
      <c r="J65" s="19">
        <f t="shared" si="1"/>
        <v>1866.1198499999998</v>
      </c>
      <c r="K65" s="133"/>
      <c r="L65" s="26"/>
      <c r="M65" s="26"/>
      <c r="N65" s="26"/>
    </row>
    <row r="66" spans="1:17" s="79" customFormat="1" x14ac:dyDescent="0.25">
      <c r="A66" s="182" t="s">
        <v>34</v>
      </c>
      <c r="B66" s="182"/>
      <c r="C66" s="182"/>
      <c r="D66" s="182"/>
      <c r="E66" s="15" t="s">
        <v>14</v>
      </c>
      <c r="F66" s="15">
        <v>3000</v>
      </c>
      <c r="G66" s="19">
        <v>42.84</v>
      </c>
      <c r="H66" s="70">
        <f>148187.4*O4</f>
        <v>222.28110000000001</v>
      </c>
      <c r="I66" s="25">
        <v>1</v>
      </c>
      <c r="J66" s="19">
        <f t="shared" si="1"/>
        <v>222.28110000000001</v>
      </c>
      <c r="K66" s="133"/>
      <c r="L66" s="26"/>
      <c r="M66" s="26"/>
      <c r="N66" s="26"/>
      <c r="P66" s="79">
        <f>361800</f>
        <v>361800</v>
      </c>
      <c r="Q66" s="79">
        <f>42.84+62.39</f>
        <v>105.23</v>
      </c>
    </row>
    <row r="67" spans="1:17" s="79" customFormat="1" x14ac:dyDescent="0.25">
      <c r="A67" s="177" t="s">
        <v>11</v>
      </c>
      <c r="B67" s="177"/>
      <c r="C67" s="177"/>
      <c r="D67" s="177"/>
      <c r="E67" s="31" t="s">
        <v>14</v>
      </c>
      <c r="F67" s="15">
        <v>3500</v>
      </c>
      <c r="G67" s="27">
        <v>62.39</v>
      </c>
      <c r="H67" s="70">
        <f>215812.6*O4</f>
        <v>323.71890000000002</v>
      </c>
      <c r="I67" s="25">
        <v>1</v>
      </c>
      <c r="J67" s="27">
        <f t="shared" si="1"/>
        <v>323.71890000000002</v>
      </c>
      <c r="K67" s="133"/>
      <c r="L67" s="26"/>
      <c r="M67" s="26"/>
      <c r="N67" s="26"/>
      <c r="Q67" s="79">
        <f>P66/Q66*42.84</f>
        <v>147291.76090468498</v>
      </c>
    </row>
    <row r="68" spans="1:17" s="79" customFormat="1" ht="15.75" thickBot="1" x14ac:dyDescent="0.3">
      <c r="A68" s="170" t="s">
        <v>74</v>
      </c>
      <c r="B68" s="171"/>
      <c r="C68" s="171"/>
      <c r="D68" s="172"/>
      <c r="E68" s="29" t="s">
        <v>17</v>
      </c>
      <c r="F68" s="81">
        <v>1</v>
      </c>
      <c r="G68" s="10">
        <v>2625.76</v>
      </c>
      <c r="H68" s="70">
        <f>32171.64*O4</f>
        <v>48.257460000000002</v>
      </c>
      <c r="I68" s="25">
        <v>1</v>
      </c>
      <c r="J68" s="27">
        <f t="shared" si="1"/>
        <v>48.257460000000002</v>
      </c>
      <c r="K68" s="133"/>
      <c r="L68" s="26"/>
      <c r="M68" s="26"/>
      <c r="N68" s="26"/>
    </row>
    <row r="69" spans="1:17" s="79" customFormat="1" ht="15.75" thickBot="1" x14ac:dyDescent="0.3">
      <c r="A69" s="178" t="s">
        <v>15</v>
      </c>
      <c r="B69" s="179"/>
      <c r="C69" s="179"/>
      <c r="D69" s="179"/>
      <c r="E69" s="32"/>
      <c r="F69" s="32"/>
      <c r="G69" s="32"/>
      <c r="H69" s="41">
        <f>SUM(H64:H68)+0.01</f>
        <v>3196.4499849999997</v>
      </c>
      <c r="I69" s="28"/>
      <c r="J69" s="33">
        <f>SUM(J64:J68)</f>
        <v>3196.4399849999995</v>
      </c>
      <c r="K69" s="133"/>
      <c r="L69" s="26"/>
      <c r="M69" s="26"/>
      <c r="N69" s="26"/>
    </row>
    <row r="70" spans="1:17" s="79" customFormat="1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7" s="79" customFormat="1" x14ac:dyDescent="0.25">
      <c r="A71" s="149" t="s">
        <v>16</v>
      </c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7" s="79" customFormat="1" ht="90" x14ac:dyDescent="0.25">
      <c r="A72" s="196" t="s">
        <v>18</v>
      </c>
      <c r="B72" s="196"/>
      <c r="C72" s="196"/>
      <c r="D72" s="196"/>
      <c r="E72" s="81" t="s">
        <v>5</v>
      </c>
      <c r="F72" s="81" t="s">
        <v>8</v>
      </c>
      <c r="G72" s="10" t="s">
        <v>33</v>
      </c>
      <c r="H72" s="10" t="s">
        <v>58</v>
      </c>
      <c r="I72" s="10" t="s">
        <v>53</v>
      </c>
      <c r="J72" s="26"/>
      <c r="K72" s="26"/>
      <c r="L72" s="26"/>
      <c r="M72" s="26"/>
    </row>
    <row r="73" spans="1:17" s="79" customFormat="1" ht="15" customHeight="1" x14ac:dyDescent="0.25">
      <c r="A73" s="170" t="s">
        <v>75</v>
      </c>
      <c r="B73" s="171"/>
      <c r="C73" s="171"/>
      <c r="D73" s="172"/>
      <c r="E73" s="29" t="s">
        <v>17</v>
      </c>
      <c r="F73" s="29">
        <v>1</v>
      </c>
      <c r="G73" s="110">
        <f>147940*$O$4</f>
        <v>221.91</v>
      </c>
      <c r="H73" s="25">
        <v>1</v>
      </c>
      <c r="I73" s="84">
        <f>G73/H73</f>
        <v>221.91</v>
      </c>
      <c r="J73" s="26"/>
      <c r="K73" s="26"/>
      <c r="L73" s="26"/>
      <c r="M73" s="26"/>
    </row>
    <row r="74" spans="1:17" s="79" customFormat="1" ht="15" customHeight="1" x14ac:dyDescent="0.25">
      <c r="A74" s="170" t="s">
        <v>76</v>
      </c>
      <c r="B74" s="171"/>
      <c r="C74" s="171"/>
      <c r="D74" s="172"/>
      <c r="E74" s="29" t="s">
        <v>17</v>
      </c>
      <c r="F74" s="29">
        <v>1</v>
      </c>
      <c r="G74" s="110">
        <f>107250*$O$4</f>
        <v>160.875</v>
      </c>
      <c r="H74" s="25">
        <v>1</v>
      </c>
      <c r="I74" s="84">
        <f t="shared" ref="I74:I79" si="2">G74/H74</f>
        <v>160.875</v>
      </c>
      <c r="J74" s="26"/>
      <c r="K74" s="26"/>
      <c r="L74" s="26"/>
      <c r="M74" s="26"/>
    </row>
    <row r="75" spans="1:17" s="79" customFormat="1" ht="15" customHeight="1" x14ac:dyDescent="0.25">
      <c r="A75" s="170" t="s">
        <v>77</v>
      </c>
      <c r="B75" s="171"/>
      <c r="C75" s="171"/>
      <c r="D75" s="172"/>
      <c r="E75" s="29" t="s">
        <v>17</v>
      </c>
      <c r="F75" s="29">
        <v>1</v>
      </c>
      <c r="G75" s="110">
        <f>10400*$O$4</f>
        <v>15.6</v>
      </c>
      <c r="H75" s="25">
        <v>1</v>
      </c>
      <c r="I75" s="84">
        <f t="shared" si="2"/>
        <v>15.6</v>
      </c>
      <c r="J75" s="26"/>
      <c r="K75" s="26"/>
      <c r="L75" s="26"/>
      <c r="M75" s="26"/>
    </row>
    <row r="76" spans="1:17" s="79" customFormat="1" ht="15" customHeight="1" x14ac:dyDescent="0.25">
      <c r="A76" s="158" t="s">
        <v>78</v>
      </c>
      <c r="B76" s="159"/>
      <c r="C76" s="159"/>
      <c r="D76" s="197"/>
      <c r="E76" s="29" t="s">
        <v>17</v>
      </c>
      <c r="F76" s="29">
        <v>1</v>
      </c>
      <c r="G76" s="110">
        <f>40000*$O$4</f>
        <v>60</v>
      </c>
      <c r="H76" s="25">
        <v>1</v>
      </c>
      <c r="I76" s="84">
        <f t="shared" si="2"/>
        <v>60</v>
      </c>
      <c r="J76" s="26"/>
      <c r="K76" s="26"/>
      <c r="L76" s="26"/>
      <c r="M76" s="26"/>
    </row>
    <row r="77" spans="1:17" s="79" customFormat="1" ht="28.5" customHeight="1" x14ac:dyDescent="0.25">
      <c r="A77" s="170" t="s">
        <v>112</v>
      </c>
      <c r="B77" s="171"/>
      <c r="C77" s="171"/>
      <c r="D77" s="172"/>
      <c r="E77" s="29" t="s">
        <v>17</v>
      </c>
      <c r="F77" s="29">
        <v>1</v>
      </c>
      <c r="G77" s="110">
        <f>3000*$O$4</f>
        <v>4.5</v>
      </c>
      <c r="H77" s="25">
        <v>1</v>
      </c>
      <c r="I77" s="84">
        <f>G77/H77</f>
        <v>4.5</v>
      </c>
      <c r="J77" s="26"/>
      <c r="K77" s="51"/>
      <c r="L77" s="51"/>
      <c r="M77" s="51"/>
    </row>
    <row r="78" spans="1:17" s="79" customFormat="1" ht="16.5" customHeight="1" x14ac:dyDescent="0.25">
      <c r="A78" s="189" t="s">
        <v>97</v>
      </c>
      <c r="B78" s="190"/>
      <c r="C78" s="190"/>
      <c r="D78" s="191"/>
      <c r="E78" s="29" t="s">
        <v>17</v>
      </c>
      <c r="F78" s="29">
        <v>1</v>
      </c>
      <c r="G78" s="110">
        <f>3772*$O$4</f>
        <v>5.6580000000000004</v>
      </c>
      <c r="H78" s="25">
        <v>1</v>
      </c>
      <c r="I78" s="84">
        <f t="shared" si="2"/>
        <v>5.6580000000000004</v>
      </c>
      <c r="J78" s="26"/>
      <c r="K78" s="26"/>
      <c r="L78" s="26"/>
      <c r="M78" s="26"/>
    </row>
    <row r="79" spans="1:17" s="79" customFormat="1" ht="30" customHeight="1" thickBot="1" x14ac:dyDescent="0.3">
      <c r="A79" s="193" t="s">
        <v>98</v>
      </c>
      <c r="B79" s="194"/>
      <c r="C79" s="194"/>
      <c r="D79" s="195"/>
      <c r="E79" s="29" t="s">
        <v>17</v>
      </c>
      <c r="F79" s="29">
        <v>1</v>
      </c>
      <c r="G79" s="110">
        <f>21141.6*$O$4</f>
        <v>31.712399999999999</v>
      </c>
      <c r="H79" s="25">
        <v>1</v>
      </c>
      <c r="I79" s="84">
        <f t="shared" si="2"/>
        <v>31.712399999999999</v>
      </c>
      <c r="J79" s="26"/>
      <c r="K79" s="26"/>
      <c r="L79" s="26"/>
      <c r="M79" s="26"/>
    </row>
    <row r="80" spans="1:17" s="79" customFormat="1" ht="15" customHeight="1" thickBot="1" x14ac:dyDescent="0.3">
      <c r="A80" s="98" t="s">
        <v>39</v>
      </c>
      <c r="B80" s="99"/>
      <c r="C80" s="99"/>
      <c r="D80" s="99"/>
      <c r="E80" s="99"/>
      <c r="F80" s="99"/>
      <c r="G80" s="111">
        <f>SUM(G73:G79)</f>
        <v>500.25540000000001</v>
      </c>
      <c r="I80" s="85">
        <f>SUM(I73:I79)</f>
        <v>500.25540000000001</v>
      </c>
      <c r="J80" s="107"/>
      <c r="K80" s="26"/>
      <c r="L80" s="26"/>
      <c r="M80" s="26"/>
      <c r="N80" s="26"/>
    </row>
    <row r="81" spans="1:14" s="79" customFormat="1" ht="37.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s="79" customFormat="1" ht="15" customHeight="1" x14ac:dyDescent="0.25">
      <c r="A82" s="149" t="s">
        <v>35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79" customFormat="1" ht="90" x14ac:dyDescent="0.25">
      <c r="A83" s="141" t="s">
        <v>18</v>
      </c>
      <c r="B83" s="142"/>
      <c r="C83" s="142"/>
      <c r="D83" s="142"/>
      <c r="E83" s="81" t="s">
        <v>5</v>
      </c>
      <c r="F83" s="10" t="s">
        <v>41</v>
      </c>
      <c r="G83" s="10" t="s">
        <v>33</v>
      </c>
      <c r="H83" s="10" t="s">
        <v>58</v>
      </c>
      <c r="I83" s="10" t="s">
        <v>53</v>
      </c>
      <c r="J83" s="26"/>
      <c r="K83" s="26"/>
      <c r="L83" s="26"/>
      <c r="M83" s="26"/>
      <c r="N83" s="26"/>
    </row>
    <row r="84" spans="1:14" s="79" customFormat="1" ht="44.45" customHeight="1" x14ac:dyDescent="0.25">
      <c r="A84" s="137" t="s">
        <v>142</v>
      </c>
      <c r="B84" s="138"/>
      <c r="C84" s="138"/>
      <c r="D84" s="138"/>
      <c r="E84" s="29" t="s">
        <v>17</v>
      </c>
      <c r="F84" s="29">
        <v>1</v>
      </c>
      <c r="G84" s="110">
        <f>27816*$O$4</f>
        <v>41.724000000000004</v>
      </c>
      <c r="H84" s="25">
        <v>1</v>
      </c>
      <c r="I84" s="87">
        <f>G84/H84</f>
        <v>41.724000000000004</v>
      </c>
      <c r="J84" s="26"/>
      <c r="K84" s="26"/>
      <c r="L84" s="26"/>
      <c r="M84" s="26"/>
      <c r="N84" s="26"/>
    </row>
    <row r="85" spans="1:14" s="79" customFormat="1" ht="39" customHeight="1" x14ac:dyDescent="0.25">
      <c r="A85" s="137" t="s">
        <v>79</v>
      </c>
      <c r="B85" s="138"/>
      <c r="C85" s="138"/>
      <c r="D85" s="138"/>
      <c r="E85" s="29" t="s">
        <v>17</v>
      </c>
      <c r="F85" s="29">
        <v>1</v>
      </c>
      <c r="G85" s="110">
        <f>35568*$O$4</f>
        <v>53.352000000000004</v>
      </c>
      <c r="H85" s="25">
        <v>1</v>
      </c>
      <c r="I85" s="87">
        <f t="shared" ref="I85:I91" si="3">G85/H85</f>
        <v>53.352000000000004</v>
      </c>
      <c r="J85" s="26"/>
      <c r="K85" s="26"/>
      <c r="L85" s="26"/>
      <c r="M85" s="26"/>
      <c r="N85" s="26"/>
    </row>
    <row r="86" spans="1:14" s="79" customFormat="1" ht="29.45" customHeight="1" x14ac:dyDescent="0.25">
      <c r="A86" s="137" t="s">
        <v>80</v>
      </c>
      <c r="B86" s="138"/>
      <c r="C86" s="138"/>
      <c r="D86" s="138"/>
      <c r="E86" s="29" t="s">
        <v>17</v>
      </c>
      <c r="F86" s="29">
        <v>1</v>
      </c>
      <c r="G86" s="110">
        <f>126978*$O$4</f>
        <v>190.46700000000001</v>
      </c>
      <c r="H86" s="25">
        <v>1</v>
      </c>
      <c r="I86" s="87">
        <f t="shared" si="3"/>
        <v>190.46700000000001</v>
      </c>
      <c r="J86" s="26"/>
      <c r="K86" s="26"/>
      <c r="L86" s="26"/>
      <c r="M86" s="26"/>
      <c r="N86" s="26"/>
    </row>
    <row r="87" spans="1:14" s="79" customFormat="1" ht="27" customHeight="1" x14ac:dyDescent="0.25">
      <c r="A87" s="137" t="s">
        <v>81</v>
      </c>
      <c r="B87" s="138"/>
      <c r="C87" s="138"/>
      <c r="D87" s="138"/>
      <c r="E87" s="29" t="s">
        <v>17</v>
      </c>
      <c r="F87" s="29">
        <v>1</v>
      </c>
      <c r="G87" s="110">
        <f>245630.4*$O$4</f>
        <v>368.44560000000001</v>
      </c>
      <c r="H87" s="25">
        <v>1</v>
      </c>
      <c r="I87" s="87">
        <f t="shared" si="3"/>
        <v>368.44560000000001</v>
      </c>
      <c r="J87" s="26"/>
      <c r="K87" s="26"/>
      <c r="L87" s="26"/>
      <c r="M87" s="26"/>
      <c r="N87" s="26"/>
    </row>
    <row r="88" spans="1:14" s="79" customFormat="1" ht="18" customHeight="1" x14ac:dyDescent="0.25">
      <c r="A88" s="137" t="s">
        <v>143</v>
      </c>
      <c r="B88" s="138"/>
      <c r="C88" s="138"/>
      <c r="D88" s="138"/>
      <c r="E88" s="29" t="s">
        <v>17</v>
      </c>
      <c r="F88" s="29">
        <v>1</v>
      </c>
      <c r="G88" s="110">
        <f>84640*$O$4</f>
        <v>126.96000000000001</v>
      </c>
      <c r="H88" s="25">
        <v>1</v>
      </c>
      <c r="I88" s="87">
        <f t="shared" si="3"/>
        <v>126.96000000000001</v>
      </c>
      <c r="J88" s="26"/>
      <c r="K88" s="26"/>
      <c r="L88" s="26"/>
      <c r="M88" s="26"/>
      <c r="N88" s="26"/>
    </row>
    <row r="89" spans="1:14" s="79" customFormat="1" ht="18" customHeight="1" x14ac:dyDescent="0.25">
      <c r="A89" s="137" t="s">
        <v>113</v>
      </c>
      <c r="B89" s="138"/>
      <c r="C89" s="138"/>
      <c r="D89" s="138"/>
      <c r="E89" s="29" t="s">
        <v>17</v>
      </c>
      <c r="F89" s="29">
        <v>1</v>
      </c>
      <c r="G89" s="110">
        <f>7000*$O$4</f>
        <v>10.5</v>
      </c>
      <c r="H89" s="25">
        <v>1</v>
      </c>
      <c r="I89" s="87">
        <f t="shared" si="3"/>
        <v>10.5</v>
      </c>
      <c r="J89" s="26"/>
      <c r="K89" s="26"/>
      <c r="L89" s="26"/>
      <c r="M89" s="26"/>
      <c r="N89" s="26"/>
    </row>
    <row r="90" spans="1:14" s="79" customFormat="1" ht="49.5" customHeight="1" x14ac:dyDescent="0.25">
      <c r="A90" s="137" t="s">
        <v>144</v>
      </c>
      <c r="B90" s="138"/>
      <c r="C90" s="138"/>
      <c r="D90" s="144"/>
      <c r="E90" s="29" t="s">
        <v>17</v>
      </c>
      <c r="F90" s="29">
        <v>1</v>
      </c>
      <c r="G90" s="110">
        <f>2964*$O$4</f>
        <v>4.4459999999999997</v>
      </c>
      <c r="H90" s="25">
        <v>1</v>
      </c>
      <c r="I90" s="87">
        <f>G90/H90</f>
        <v>4.4459999999999997</v>
      </c>
      <c r="J90" s="26"/>
      <c r="K90" s="26"/>
      <c r="L90" s="26"/>
      <c r="M90" s="26"/>
      <c r="N90" s="26"/>
    </row>
    <row r="91" spans="1:14" s="79" customFormat="1" ht="42" customHeight="1" thickBot="1" x14ac:dyDescent="0.3">
      <c r="A91" s="137" t="s">
        <v>82</v>
      </c>
      <c r="B91" s="138"/>
      <c r="C91" s="138"/>
      <c r="D91" s="138"/>
      <c r="E91" s="29" t="s">
        <v>17</v>
      </c>
      <c r="F91" s="29">
        <v>1</v>
      </c>
      <c r="G91" s="110">
        <f>8450*$O$4</f>
        <v>12.675000000000001</v>
      </c>
      <c r="H91" s="25">
        <v>1</v>
      </c>
      <c r="I91" s="87">
        <f t="shared" si="3"/>
        <v>12.675000000000001</v>
      </c>
      <c r="J91" s="26"/>
      <c r="K91" s="26"/>
      <c r="L91" s="26"/>
      <c r="M91" s="26"/>
      <c r="N91" s="26"/>
    </row>
    <row r="92" spans="1:14" s="79" customFormat="1" ht="20.25" customHeight="1" thickBot="1" x14ac:dyDescent="0.3">
      <c r="A92" s="150" t="s">
        <v>38</v>
      </c>
      <c r="B92" s="151"/>
      <c r="C92" s="151"/>
      <c r="D92" s="151"/>
      <c r="E92" s="56"/>
      <c r="F92" s="112"/>
      <c r="G92" s="41">
        <f>SUM(G84:G91)</f>
        <v>808.56960000000004</v>
      </c>
      <c r="H92" s="26"/>
      <c r="I92" s="85">
        <f>SUM(I84:I91)</f>
        <v>808.56960000000004</v>
      </c>
      <c r="J92" s="26"/>
      <c r="K92" s="78"/>
      <c r="L92" s="78"/>
      <c r="M92" s="78"/>
      <c r="N92" s="26"/>
    </row>
    <row r="93" spans="1:14" s="86" customFormat="1" ht="20.25" customHeight="1" x14ac:dyDescent="0.25">
      <c r="A93" s="46"/>
      <c r="B93" s="46"/>
      <c r="C93" s="46"/>
      <c r="D93" s="46"/>
      <c r="E93" s="46"/>
      <c r="F93" s="46"/>
      <c r="G93" s="46"/>
      <c r="H93" s="46"/>
      <c r="I93" s="43"/>
      <c r="J93" s="44"/>
      <c r="K93" s="45"/>
      <c r="L93" s="45"/>
      <c r="M93" s="45"/>
      <c r="N93" s="44"/>
    </row>
    <row r="94" spans="1:14" s="79" customFormat="1" ht="15" customHeight="1" x14ac:dyDescent="0.25">
      <c r="A94" s="149" t="s">
        <v>99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s="79" customFormat="1" ht="55.9" customHeight="1" x14ac:dyDescent="0.25">
      <c r="A95" s="141" t="s">
        <v>18</v>
      </c>
      <c r="B95" s="142"/>
      <c r="C95" s="142"/>
      <c r="D95" s="142"/>
      <c r="E95" s="10" t="s">
        <v>59</v>
      </c>
      <c r="F95" s="10" t="s">
        <v>33</v>
      </c>
      <c r="G95" s="113" t="s">
        <v>58</v>
      </c>
      <c r="H95" s="226" t="s">
        <v>53</v>
      </c>
      <c r="I95" s="226"/>
      <c r="J95" s="26"/>
      <c r="K95" s="26"/>
      <c r="L95" s="26"/>
      <c r="M95" s="26"/>
    </row>
    <row r="96" spans="1:14" s="79" customFormat="1" ht="43.9" customHeight="1" thickBot="1" x14ac:dyDescent="0.3">
      <c r="A96" s="137" t="s">
        <v>100</v>
      </c>
      <c r="B96" s="138"/>
      <c r="C96" s="138"/>
      <c r="D96" s="138"/>
      <c r="E96" s="29" t="s">
        <v>17</v>
      </c>
      <c r="F96" s="110">
        <f>6950*O4</f>
        <v>10.425000000000001</v>
      </c>
      <c r="G96" s="25">
        <v>1</v>
      </c>
      <c r="H96" s="227">
        <f t="shared" ref="H96" si="4">F96/G96</f>
        <v>10.425000000000001</v>
      </c>
      <c r="I96" s="227"/>
      <c r="J96" s="26"/>
      <c r="K96" s="26"/>
      <c r="L96" s="26"/>
      <c r="M96" s="26"/>
    </row>
    <row r="97" spans="1:14" s="79" customFormat="1" ht="20.25" customHeight="1" thickBot="1" x14ac:dyDescent="0.3">
      <c r="A97" s="150" t="s">
        <v>101</v>
      </c>
      <c r="B97" s="151"/>
      <c r="C97" s="151"/>
      <c r="D97" s="151"/>
      <c r="E97" s="112"/>
      <c r="F97" s="41">
        <f>SUM(F96:F96)</f>
        <v>10.425000000000001</v>
      </c>
      <c r="G97" s="26"/>
      <c r="H97" s="228">
        <f>SUM(H96:H96)</f>
        <v>10.425000000000001</v>
      </c>
      <c r="I97" s="229"/>
      <c r="J97" s="78"/>
      <c r="K97" s="26"/>
      <c r="L97" s="26"/>
      <c r="M97" s="26"/>
    </row>
    <row r="98" spans="1:14" s="86" customFormat="1" ht="20.25" customHeight="1" x14ac:dyDescent="0.25">
      <c r="A98" s="46"/>
      <c r="B98" s="46"/>
      <c r="C98" s="46"/>
      <c r="D98" s="46"/>
      <c r="E98" s="46"/>
      <c r="F98" s="43"/>
      <c r="G98" s="44"/>
      <c r="H98" s="45"/>
      <c r="I98" s="44"/>
      <c r="J98" s="46"/>
      <c r="K98" s="44"/>
      <c r="L98" s="44"/>
      <c r="M98" s="44"/>
    </row>
    <row r="99" spans="1:14" s="79" customFormat="1" ht="15" customHeight="1" x14ac:dyDescent="0.25">
      <c r="A99" s="149" t="s">
        <v>102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s="79" customFormat="1" ht="60" x14ac:dyDescent="0.25">
      <c r="A100" s="141" t="s">
        <v>18</v>
      </c>
      <c r="B100" s="142"/>
      <c r="C100" s="142"/>
      <c r="D100" s="142"/>
      <c r="E100" s="10" t="s">
        <v>59</v>
      </c>
      <c r="F100" s="10" t="s">
        <v>33</v>
      </c>
      <c r="G100" s="10" t="s">
        <v>58</v>
      </c>
      <c r="H100" s="10" t="s">
        <v>53</v>
      </c>
      <c r="I100" s="26"/>
      <c r="J100" s="26"/>
      <c r="K100" s="26"/>
      <c r="L100" s="26"/>
      <c r="M100" s="26"/>
    </row>
    <row r="101" spans="1:14" s="79" customFormat="1" x14ac:dyDescent="0.25">
      <c r="A101" s="137" t="s">
        <v>117</v>
      </c>
      <c r="B101" s="138"/>
      <c r="C101" s="138"/>
      <c r="D101" s="138"/>
      <c r="E101" s="29" t="s">
        <v>17</v>
      </c>
      <c r="F101" s="110">
        <f>4800*O4</f>
        <v>7.2</v>
      </c>
      <c r="G101" s="25">
        <v>1</v>
      </c>
      <c r="H101" s="87">
        <f t="shared" ref="H101:H103" si="5">F101/G101</f>
        <v>7.2</v>
      </c>
      <c r="I101" s="26"/>
      <c r="J101" s="26"/>
      <c r="K101" s="26"/>
      <c r="L101" s="26"/>
      <c r="M101" s="26"/>
    </row>
    <row r="102" spans="1:14" s="79" customFormat="1" x14ac:dyDescent="0.25">
      <c r="A102" s="137" t="s">
        <v>147</v>
      </c>
      <c r="B102" s="138"/>
      <c r="C102" s="138"/>
      <c r="D102" s="144"/>
      <c r="E102" s="29" t="s">
        <v>17</v>
      </c>
      <c r="F102" s="110">
        <f>26862.27*O4</f>
        <v>40.293405</v>
      </c>
      <c r="G102" s="25">
        <v>1</v>
      </c>
      <c r="H102" s="87">
        <f t="shared" si="5"/>
        <v>40.293405</v>
      </c>
      <c r="I102" s="26"/>
      <c r="J102" s="26"/>
      <c r="K102" s="26"/>
      <c r="L102" s="26"/>
      <c r="M102" s="26"/>
    </row>
    <row r="103" spans="1:14" s="79" customFormat="1" ht="15.75" thickBot="1" x14ac:dyDescent="0.3">
      <c r="A103" s="137" t="s">
        <v>114</v>
      </c>
      <c r="B103" s="138"/>
      <c r="C103" s="138"/>
      <c r="D103" s="138"/>
      <c r="E103" s="29" t="s">
        <v>17</v>
      </c>
      <c r="F103" s="110">
        <f>10000*O4</f>
        <v>15</v>
      </c>
      <c r="G103" s="25">
        <v>1</v>
      </c>
      <c r="H103" s="87">
        <f t="shared" si="5"/>
        <v>15</v>
      </c>
      <c r="I103" s="26"/>
      <c r="J103" s="26"/>
      <c r="K103" s="26"/>
      <c r="L103" s="26"/>
      <c r="M103" s="26"/>
    </row>
    <row r="104" spans="1:14" s="79" customFormat="1" ht="20.25" customHeight="1" thickBot="1" x14ac:dyDescent="0.3">
      <c r="A104" s="150" t="s">
        <v>38</v>
      </c>
      <c r="B104" s="151"/>
      <c r="C104" s="151"/>
      <c r="D104" s="151"/>
      <c r="E104" s="112"/>
      <c r="F104" s="41">
        <f>SUM(F101:F103)</f>
        <v>62.493405000000003</v>
      </c>
      <c r="G104" s="26"/>
      <c r="H104" s="30">
        <f>SUM(H101:H103)</f>
        <v>62.493405000000003</v>
      </c>
      <c r="I104" s="26"/>
      <c r="J104" s="78"/>
      <c r="K104" s="26"/>
      <c r="L104" s="26"/>
      <c r="M104" s="26"/>
    </row>
    <row r="105" spans="1:14" s="79" customFormat="1" ht="25.15" customHeight="1" x14ac:dyDescent="0.25">
      <c r="A105" s="47"/>
      <c r="B105" s="47"/>
      <c r="C105" s="47"/>
      <c r="D105" s="47"/>
      <c r="E105" s="48"/>
      <c r="F105" s="49"/>
      <c r="G105" s="50"/>
      <c r="H105" s="49"/>
      <c r="I105" s="51"/>
      <c r="J105" s="40"/>
      <c r="K105" s="52"/>
      <c r="L105" s="52"/>
      <c r="M105" s="52"/>
      <c r="N105" s="26"/>
    </row>
    <row r="106" spans="1:14" s="79" customFormat="1" ht="15" customHeight="1" x14ac:dyDescent="0.25">
      <c r="A106" s="149" t="s">
        <v>115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s="79" customFormat="1" ht="55.9" customHeight="1" x14ac:dyDescent="0.25">
      <c r="A107" s="141" t="s">
        <v>18</v>
      </c>
      <c r="B107" s="142"/>
      <c r="C107" s="142"/>
      <c r="D107" s="142"/>
      <c r="E107" s="10" t="s">
        <v>59</v>
      </c>
      <c r="F107" s="10" t="s">
        <v>33</v>
      </c>
      <c r="G107" s="113" t="s">
        <v>58</v>
      </c>
      <c r="H107" s="226" t="s">
        <v>53</v>
      </c>
      <c r="I107" s="226"/>
      <c r="J107" s="26"/>
      <c r="K107" s="26"/>
      <c r="L107" s="26"/>
      <c r="M107" s="26"/>
    </row>
    <row r="108" spans="1:14" s="79" customFormat="1" ht="43.9" customHeight="1" thickBot="1" x14ac:dyDescent="0.3">
      <c r="A108" s="137" t="s">
        <v>145</v>
      </c>
      <c r="B108" s="138"/>
      <c r="C108" s="138"/>
      <c r="D108" s="138"/>
      <c r="E108" s="29" t="s">
        <v>17</v>
      </c>
      <c r="F108" s="110">
        <f>150000*O4</f>
        <v>225</v>
      </c>
      <c r="G108" s="25">
        <v>1</v>
      </c>
      <c r="H108" s="227">
        <f>F108/G108</f>
        <v>225</v>
      </c>
      <c r="I108" s="227"/>
      <c r="J108" s="26"/>
      <c r="K108" s="26"/>
      <c r="L108" s="26"/>
      <c r="M108" s="26"/>
    </row>
    <row r="109" spans="1:14" s="79" customFormat="1" ht="20.25" customHeight="1" thickBot="1" x14ac:dyDescent="0.3">
      <c r="A109" s="150" t="s">
        <v>101</v>
      </c>
      <c r="B109" s="151"/>
      <c r="C109" s="151"/>
      <c r="D109" s="151"/>
      <c r="E109" s="112"/>
      <c r="F109" s="41">
        <f>SUM(F108:F108)</f>
        <v>225</v>
      </c>
      <c r="G109" s="26"/>
      <c r="H109" s="228">
        <f>SUM(H108:H108)</f>
        <v>225</v>
      </c>
      <c r="I109" s="229"/>
      <c r="J109" s="78"/>
      <c r="K109" s="26"/>
      <c r="L109" s="26"/>
      <c r="M109" s="26"/>
    </row>
    <row r="110" spans="1:14" s="79" customFormat="1" ht="25.15" customHeight="1" x14ac:dyDescent="0.25">
      <c r="A110" s="47"/>
      <c r="B110" s="47"/>
      <c r="C110" s="47"/>
      <c r="D110" s="47"/>
      <c r="E110" s="48"/>
      <c r="F110" s="49"/>
      <c r="G110" s="50"/>
      <c r="H110" s="49"/>
      <c r="I110" s="51"/>
      <c r="J110" s="40"/>
      <c r="K110" s="52"/>
      <c r="L110" s="52"/>
      <c r="M110" s="52"/>
      <c r="N110" s="26"/>
    </row>
    <row r="111" spans="1:14" s="79" customFormat="1" ht="15" customHeight="1" x14ac:dyDescent="0.25">
      <c r="A111" s="149" t="s">
        <v>106</v>
      </c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1:14" s="79" customFormat="1" ht="60" x14ac:dyDescent="0.25">
      <c r="A112" s="141" t="s">
        <v>18</v>
      </c>
      <c r="B112" s="142"/>
      <c r="C112" s="142"/>
      <c r="D112" s="142"/>
      <c r="E112" s="10" t="s">
        <v>59</v>
      </c>
      <c r="F112" s="10" t="s">
        <v>33</v>
      </c>
      <c r="G112" s="10" t="s">
        <v>58</v>
      </c>
      <c r="H112" s="10" t="s">
        <v>53</v>
      </c>
      <c r="I112" s="26"/>
      <c r="J112" s="26"/>
      <c r="K112" s="26"/>
      <c r="L112" s="26"/>
      <c r="M112" s="26"/>
    </row>
    <row r="113" spans="1:17" s="79" customFormat="1" x14ac:dyDescent="0.25">
      <c r="A113" s="137" t="s">
        <v>105</v>
      </c>
      <c r="B113" s="138"/>
      <c r="C113" s="138"/>
      <c r="D113" s="138"/>
      <c r="E113" s="29" t="s">
        <v>17</v>
      </c>
      <c r="F113" s="110">
        <f>4500*$O$4</f>
        <v>6.75</v>
      </c>
      <c r="G113" s="25">
        <v>1</v>
      </c>
      <c r="H113" s="87">
        <f t="shared" ref="H113:H116" si="6">F113/G113</f>
        <v>6.75</v>
      </c>
      <c r="I113" s="26"/>
      <c r="J113" s="26"/>
      <c r="K113" s="26"/>
      <c r="L113" s="26"/>
      <c r="M113" s="26"/>
    </row>
    <row r="114" spans="1:17" s="79" customFormat="1" ht="14.45" customHeight="1" x14ac:dyDescent="0.25">
      <c r="A114" s="137" t="s">
        <v>107</v>
      </c>
      <c r="B114" s="138"/>
      <c r="C114" s="138"/>
      <c r="D114" s="138"/>
      <c r="E114" s="29" t="s">
        <v>17</v>
      </c>
      <c r="F114" s="110">
        <f>61450*$O$4</f>
        <v>92.174999999999997</v>
      </c>
      <c r="G114" s="25">
        <v>1</v>
      </c>
      <c r="H114" s="87">
        <f t="shared" si="6"/>
        <v>92.174999999999997</v>
      </c>
      <c r="I114" s="26"/>
      <c r="J114" s="26"/>
      <c r="K114" s="26"/>
      <c r="L114" s="26"/>
      <c r="M114" s="26"/>
    </row>
    <row r="115" spans="1:17" s="79" customFormat="1" ht="15.75" customHeight="1" x14ac:dyDescent="0.25">
      <c r="A115" s="137" t="s">
        <v>146</v>
      </c>
      <c r="B115" s="138"/>
      <c r="C115" s="138"/>
      <c r="D115" s="138"/>
      <c r="E115" s="29" t="s">
        <v>17</v>
      </c>
      <c r="F115" s="110">
        <f>10000*$O$4</f>
        <v>15</v>
      </c>
      <c r="G115" s="25">
        <v>1</v>
      </c>
      <c r="H115" s="87">
        <f t="shared" si="6"/>
        <v>15</v>
      </c>
      <c r="I115" s="26"/>
      <c r="J115" s="26"/>
      <c r="K115" s="26"/>
      <c r="L115" s="26"/>
      <c r="M115" s="26"/>
    </row>
    <row r="116" spans="1:17" s="79" customFormat="1" ht="15.75" customHeight="1" thickBot="1" x14ac:dyDescent="0.3">
      <c r="A116" s="137" t="s">
        <v>116</v>
      </c>
      <c r="B116" s="138"/>
      <c r="C116" s="138"/>
      <c r="D116" s="138"/>
      <c r="E116" s="29" t="s">
        <v>17</v>
      </c>
      <c r="F116" s="110">
        <f>15000*$O$4</f>
        <v>22.5</v>
      </c>
      <c r="G116" s="25">
        <v>1</v>
      </c>
      <c r="H116" s="87">
        <f t="shared" si="6"/>
        <v>22.5</v>
      </c>
      <c r="I116" s="26"/>
      <c r="J116" s="26"/>
      <c r="K116" s="26"/>
      <c r="L116" s="26"/>
      <c r="M116" s="26"/>
    </row>
    <row r="117" spans="1:17" s="79" customFormat="1" ht="20.25" customHeight="1" thickBot="1" x14ac:dyDescent="0.3">
      <c r="A117" s="150" t="s">
        <v>38</v>
      </c>
      <c r="B117" s="151"/>
      <c r="C117" s="151"/>
      <c r="D117" s="151"/>
      <c r="E117" s="112"/>
      <c r="F117" s="41">
        <f>SUM(F113:F116)</f>
        <v>136.42500000000001</v>
      </c>
      <c r="G117" s="26"/>
      <c r="H117" s="30">
        <f>SUM(H113:H116)</f>
        <v>136.42500000000001</v>
      </c>
      <c r="I117" s="26"/>
      <c r="J117" s="78"/>
      <c r="K117" s="26"/>
      <c r="L117" s="26"/>
      <c r="M117" s="26"/>
    </row>
    <row r="118" spans="1:17" s="79" customFormat="1" ht="25.15" customHeight="1" x14ac:dyDescent="0.25">
      <c r="A118" s="47"/>
      <c r="B118" s="47"/>
      <c r="C118" s="47"/>
      <c r="D118" s="47"/>
      <c r="E118" s="48"/>
      <c r="F118" s="49"/>
      <c r="G118" s="50"/>
      <c r="H118" s="49"/>
      <c r="I118" s="51"/>
      <c r="J118" s="40"/>
      <c r="K118" s="52"/>
      <c r="L118" s="52"/>
      <c r="M118" s="52"/>
      <c r="N118" s="26"/>
    </row>
    <row r="119" spans="1:17" s="79" customFormat="1" ht="15.75" x14ac:dyDescent="0.25">
      <c r="A119" s="136" t="s">
        <v>52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7" s="79" customFormat="1" ht="75" x14ac:dyDescent="0.25">
      <c r="A120" s="152" t="s">
        <v>3</v>
      </c>
      <c r="B120" s="152"/>
      <c r="C120" s="152"/>
      <c r="D120" s="152"/>
      <c r="E120" s="10" t="s">
        <v>4</v>
      </c>
      <c r="F120" s="58" t="s">
        <v>0</v>
      </c>
      <c r="G120" s="80" t="s">
        <v>37</v>
      </c>
      <c r="H120" s="80" t="s">
        <v>29</v>
      </c>
      <c r="I120" s="10" t="s">
        <v>47</v>
      </c>
      <c r="J120" s="10" t="s">
        <v>53</v>
      </c>
      <c r="K120" s="10" t="s">
        <v>31</v>
      </c>
      <c r="L120" s="108"/>
      <c r="M120" s="108"/>
      <c r="N120" s="108"/>
      <c r="O120" s="114">
        <v>21290323</v>
      </c>
      <c r="P120" s="79">
        <v>62.83</v>
      </c>
    </row>
    <row r="121" spans="1:17" s="79" customFormat="1" x14ac:dyDescent="0.25">
      <c r="A121" s="153">
        <v>1</v>
      </c>
      <c r="B121" s="154"/>
      <c r="C121" s="154"/>
      <c r="D121" s="154"/>
      <c r="E121" s="81">
        <v>2</v>
      </c>
      <c r="F121" s="29">
        <v>3</v>
      </c>
      <c r="G121" s="81">
        <v>4</v>
      </c>
      <c r="H121" s="81">
        <v>5</v>
      </c>
      <c r="I121" s="82">
        <v>6</v>
      </c>
      <c r="J121" s="83">
        <v>7</v>
      </c>
      <c r="K121" s="115">
        <v>8</v>
      </c>
      <c r="L121" s="116"/>
      <c r="M121" s="116"/>
      <c r="N121" s="108"/>
      <c r="O121" s="79">
        <f>11540394-1482000</f>
        <v>10058394</v>
      </c>
      <c r="P121" s="79">
        <v>21.58</v>
      </c>
      <c r="Q121" s="79">
        <f>O121*1.302</f>
        <v>13096028.988</v>
      </c>
    </row>
    <row r="122" spans="1:17" s="79" customFormat="1" ht="31.15" customHeight="1" thickBot="1" x14ac:dyDescent="0.3">
      <c r="A122" s="139" t="s">
        <v>51</v>
      </c>
      <c r="B122" s="139"/>
      <c r="C122" s="139"/>
      <c r="D122" s="139"/>
      <c r="E122" s="19">
        <f>G122/12/F122</f>
        <v>23292.476190476187</v>
      </c>
      <c r="F122" s="19">
        <v>7.0000000000000007E-2</v>
      </c>
      <c r="G122" s="70">
        <v>19565.68</v>
      </c>
      <c r="H122" s="19">
        <v>25474.52</v>
      </c>
      <c r="I122" s="25">
        <v>1</v>
      </c>
      <c r="J122" s="19">
        <f>H122/I122</f>
        <v>25474.52</v>
      </c>
      <c r="K122" s="72">
        <f>H122/16983010.74*100</f>
        <v>0.15000002290524372</v>
      </c>
      <c r="L122" s="63"/>
      <c r="M122" s="63"/>
      <c r="N122" s="51"/>
      <c r="O122" s="114">
        <f>O120-O121</f>
        <v>11231929</v>
      </c>
      <c r="P122" s="79">
        <v>41.25</v>
      </c>
      <c r="Q122" s="79">
        <f>O122*1.302</f>
        <v>14623971.558</v>
      </c>
    </row>
    <row r="123" spans="1:17" s="79" customFormat="1" ht="15.75" hidden="1" thickBot="1" x14ac:dyDescent="0.3">
      <c r="A123" s="155"/>
      <c r="B123" s="156"/>
      <c r="C123" s="156"/>
      <c r="D123" s="156"/>
      <c r="E123" s="19">
        <v>17865.98</v>
      </c>
      <c r="F123" s="34">
        <v>4</v>
      </c>
      <c r="G123" s="25"/>
      <c r="H123" s="20">
        <f>H37</f>
        <v>0</v>
      </c>
      <c r="I123" s="19" t="e">
        <f t="shared" ref="I123:I144" si="7">F123/G123*H123</f>
        <v>#DIV/0!</v>
      </c>
      <c r="J123" s="19">
        <f t="shared" ref="J123:J144" si="8">E123*F123*12*1.302</f>
        <v>1116552.28608</v>
      </c>
      <c r="K123" s="35" t="s">
        <v>26</v>
      </c>
      <c r="L123" s="64"/>
      <c r="M123" s="64"/>
      <c r="N123" s="117" t="e">
        <f t="shared" ref="N123:N147" si="9">I123*J123</f>
        <v>#DIV/0!</v>
      </c>
    </row>
    <row r="124" spans="1:17" s="79" customFormat="1" ht="15.75" hidden="1" thickBot="1" x14ac:dyDescent="0.3">
      <c r="A124" s="140"/>
      <c r="B124" s="140"/>
      <c r="C124" s="140"/>
      <c r="D124" s="140"/>
      <c r="E124" s="19">
        <v>9544</v>
      </c>
      <c r="F124" s="34">
        <v>1</v>
      </c>
      <c r="G124" s="25"/>
      <c r="H124" s="20">
        <f>H37</f>
        <v>0</v>
      </c>
      <c r="I124" s="19" t="e">
        <f t="shared" si="7"/>
        <v>#DIV/0!</v>
      </c>
      <c r="J124" s="19">
        <f t="shared" si="8"/>
        <v>149115.45600000001</v>
      </c>
      <c r="K124" s="20">
        <f>H124/11277167.39*100</f>
        <v>0</v>
      </c>
      <c r="L124" s="20"/>
      <c r="M124" s="20"/>
      <c r="N124" s="19" t="e">
        <f t="shared" si="9"/>
        <v>#DIV/0!</v>
      </c>
    </row>
    <row r="125" spans="1:17" s="79" customFormat="1" ht="15" hidden="1" customHeight="1" thickBot="1" x14ac:dyDescent="0.3">
      <c r="A125" s="158"/>
      <c r="B125" s="159"/>
      <c r="C125" s="159"/>
      <c r="D125" s="159"/>
      <c r="E125" s="19">
        <v>11560</v>
      </c>
      <c r="F125" s="34">
        <v>1</v>
      </c>
      <c r="G125" s="25"/>
      <c r="H125" s="20">
        <f>H37</f>
        <v>0</v>
      </c>
      <c r="I125" s="19" t="e">
        <f t="shared" si="7"/>
        <v>#DIV/0!</v>
      </c>
      <c r="J125" s="19">
        <f t="shared" si="8"/>
        <v>180613.44</v>
      </c>
      <c r="K125" s="15"/>
      <c r="L125" s="15"/>
      <c r="M125" s="15"/>
      <c r="N125" s="19" t="e">
        <f t="shared" si="9"/>
        <v>#DIV/0!</v>
      </c>
    </row>
    <row r="126" spans="1:17" s="79" customFormat="1" ht="15.75" hidden="1" thickBot="1" x14ac:dyDescent="0.3">
      <c r="A126" s="139"/>
      <c r="B126" s="139"/>
      <c r="C126" s="139"/>
      <c r="D126" s="139"/>
      <c r="E126" s="19">
        <v>9544</v>
      </c>
      <c r="F126" s="36">
        <v>0.5</v>
      </c>
      <c r="G126" s="25"/>
      <c r="H126" s="20">
        <f>H37</f>
        <v>0</v>
      </c>
      <c r="I126" s="19" t="e">
        <f t="shared" si="7"/>
        <v>#DIV/0!</v>
      </c>
      <c r="J126" s="19">
        <f t="shared" si="8"/>
        <v>74557.728000000003</v>
      </c>
      <c r="K126" s="15"/>
      <c r="L126" s="15"/>
      <c r="M126" s="15"/>
      <c r="N126" s="19" t="e">
        <f t="shared" si="9"/>
        <v>#DIV/0!</v>
      </c>
    </row>
    <row r="127" spans="1:17" s="79" customFormat="1" ht="15.75" hidden="1" thickBot="1" x14ac:dyDescent="0.3">
      <c r="A127" s="139"/>
      <c r="B127" s="139"/>
      <c r="C127" s="139"/>
      <c r="D127" s="139"/>
      <c r="E127" s="19">
        <v>9544</v>
      </c>
      <c r="F127" s="34">
        <v>1</v>
      </c>
      <c r="G127" s="25"/>
      <c r="H127" s="20">
        <f>H37</f>
        <v>0</v>
      </c>
      <c r="I127" s="19" t="e">
        <f t="shared" si="7"/>
        <v>#DIV/0!</v>
      </c>
      <c r="J127" s="19">
        <f t="shared" si="8"/>
        <v>149115.45600000001</v>
      </c>
      <c r="K127" s="19"/>
      <c r="L127" s="19"/>
      <c r="M127" s="19"/>
      <c r="N127" s="19" t="e">
        <f t="shared" si="9"/>
        <v>#DIV/0!</v>
      </c>
    </row>
    <row r="128" spans="1:17" s="79" customFormat="1" ht="14.25" hidden="1" customHeight="1" x14ac:dyDescent="0.3">
      <c r="A128" s="139"/>
      <c r="B128" s="139"/>
      <c r="C128" s="139"/>
      <c r="D128" s="139"/>
      <c r="E128" s="19">
        <v>9544</v>
      </c>
      <c r="F128" s="34">
        <v>1</v>
      </c>
      <c r="G128" s="25"/>
      <c r="H128" s="20">
        <f>H37</f>
        <v>0</v>
      </c>
      <c r="I128" s="19" t="e">
        <f t="shared" si="7"/>
        <v>#DIV/0!</v>
      </c>
      <c r="J128" s="19">
        <f t="shared" si="8"/>
        <v>149115.45600000001</v>
      </c>
      <c r="K128" s="26"/>
      <c r="L128" s="26"/>
      <c r="M128" s="26"/>
      <c r="N128" s="19" t="e">
        <f t="shared" si="9"/>
        <v>#DIV/0!</v>
      </c>
    </row>
    <row r="129" spans="1:14" s="79" customFormat="1" ht="15.75" hidden="1" thickBot="1" x14ac:dyDescent="0.3">
      <c r="A129" s="137"/>
      <c r="B129" s="138"/>
      <c r="C129" s="138"/>
      <c r="D129" s="138"/>
      <c r="E129" s="19">
        <v>9544</v>
      </c>
      <c r="F129" s="19"/>
      <c r="G129" s="25"/>
      <c r="H129" s="20">
        <f>H37</f>
        <v>0</v>
      </c>
      <c r="I129" s="19" t="e">
        <f t="shared" si="7"/>
        <v>#DIV/0!</v>
      </c>
      <c r="J129" s="19">
        <f t="shared" si="8"/>
        <v>0</v>
      </c>
      <c r="K129" s="26"/>
      <c r="L129" s="26"/>
      <c r="M129" s="26"/>
      <c r="N129" s="19" t="e">
        <f t="shared" si="9"/>
        <v>#DIV/0!</v>
      </c>
    </row>
    <row r="130" spans="1:14" s="79" customFormat="1" ht="15.75" hidden="1" thickBot="1" x14ac:dyDescent="0.3">
      <c r="A130" s="137"/>
      <c r="B130" s="138"/>
      <c r="C130" s="138"/>
      <c r="D130" s="138"/>
      <c r="E130" s="19">
        <v>9544</v>
      </c>
      <c r="F130" s="37">
        <v>0.25</v>
      </c>
      <c r="G130" s="25"/>
      <c r="H130" s="20">
        <f>H37</f>
        <v>0</v>
      </c>
      <c r="I130" s="19" t="e">
        <f t="shared" si="7"/>
        <v>#DIV/0!</v>
      </c>
      <c r="J130" s="19">
        <f t="shared" si="8"/>
        <v>37278.864000000001</v>
      </c>
      <c r="K130" s="26"/>
      <c r="L130" s="26"/>
      <c r="M130" s="26"/>
      <c r="N130" s="19" t="e">
        <f t="shared" si="9"/>
        <v>#DIV/0!</v>
      </c>
    </row>
    <row r="131" spans="1:14" s="79" customFormat="1" ht="15.75" hidden="1" thickBot="1" x14ac:dyDescent="0.3">
      <c r="A131" s="137"/>
      <c r="B131" s="138"/>
      <c r="C131" s="138"/>
      <c r="D131" s="138"/>
      <c r="E131" s="19">
        <v>9544</v>
      </c>
      <c r="F131" s="19"/>
      <c r="G131" s="25"/>
      <c r="H131" s="20">
        <f>H37</f>
        <v>0</v>
      </c>
      <c r="I131" s="19" t="e">
        <f t="shared" si="7"/>
        <v>#DIV/0!</v>
      </c>
      <c r="J131" s="19">
        <f t="shared" si="8"/>
        <v>0</v>
      </c>
      <c r="K131" s="26"/>
      <c r="L131" s="26"/>
      <c r="M131" s="26"/>
      <c r="N131" s="19" t="e">
        <f t="shared" si="9"/>
        <v>#DIV/0!</v>
      </c>
    </row>
    <row r="132" spans="1:14" s="79" customFormat="1" ht="15.75" hidden="1" thickBot="1" x14ac:dyDescent="0.3">
      <c r="A132" s="137"/>
      <c r="B132" s="138"/>
      <c r="C132" s="138"/>
      <c r="D132" s="138"/>
      <c r="E132" s="19">
        <v>9544</v>
      </c>
      <c r="F132" s="36">
        <v>0.5</v>
      </c>
      <c r="G132" s="25"/>
      <c r="H132" s="20">
        <f>H37</f>
        <v>0</v>
      </c>
      <c r="I132" s="19" t="e">
        <f t="shared" si="7"/>
        <v>#DIV/0!</v>
      </c>
      <c r="J132" s="19">
        <f t="shared" si="8"/>
        <v>74557.728000000003</v>
      </c>
      <c r="K132" s="26"/>
      <c r="L132" s="26"/>
      <c r="M132" s="26"/>
      <c r="N132" s="19" t="e">
        <f t="shared" si="9"/>
        <v>#DIV/0!</v>
      </c>
    </row>
    <row r="133" spans="1:14" s="79" customFormat="1" ht="15.75" hidden="1" customHeight="1" x14ac:dyDescent="0.3">
      <c r="A133" s="137"/>
      <c r="B133" s="138"/>
      <c r="C133" s="138"/>
      <c r="D133" s="138"/>
      <c r="E133" s="19">
        <v>9544</v>
      </c>
      <c r="F133" s="34">
        <v>1</v>
      </c>
      <c r="G133" s="25"/>
      <c r="H133" s="20">
        <f>H37</f>
        <v>0</v>
      </c>
      <c r="I133" s="19" t="e">
        <f t="shared" si="7"/>
        <v>#DIV/0!</v>
      </c>
      <c r="J133" s="19">
        <f t="shared" si="8"/>
        <v>149115.45600000001</v>
      </c>
      <c r="K133" s="26"/>
      <c r="L133" s="26"/>
      <c r="M133" s="26"/>
      <c r="N133" s="19" t="e">
        <f t="shared" si="9"/>
        <v>#DIV/0!</v>
      </c>
    </row>
    <row r="134" spans="1:14" s="79" customFormat="1" ht="15" hidden="1" customHeight="1" x14ac:dyDescent="0.3">
      <c r="A134" s="139"/>
      <c r="B134" s="139"/>
      <c r="C134" s="139"/>
      <c r="D134" s="139"/>
      <c r="E134" s="19">
        <v>9544</v>
      </c>
      <c r="F134" s="34">
        <v>1</v>
      </c>
      <c r="G134" s="25"/>
      <c r="H134" s="20">
        <f>H37</f>
        <v>0</v>
      </c>
      <c r="I134" s="19" t="e">
        <f t="shared" si="7"/>
        <v>#DIV/0!</v>
      </c>
      <c r="J134" s="19">
        <f t="shared" si="8"/>
        <v>149115.45600000001</v>
      </c>
      <c r="K134" s="26"/>
      <c r="L134" s="26"/>
      <c r="M134" s="26"/>
      <c r="N134" s="19" t="e">
        <f t="shared" si="9"/>
        <v>#DIV/0!</v>
      </c>
    </row>
    <row r="135" spans="1:14" s="79" customFormat="1" ht="15" hidden="1" customHeight="1" x14ac:dyDescent="0.3">
      <c r="A135" s="139"/>
      <c r="B135" s="139"/>
      <c r="C135" s="139"/>
      <c r="D135" s="139"/>
      <c r="E135" s="19">
        <v>9544</v>
      </c>
      <c r="F135" s="36">
        <v>5.5</v>
      </c>
      <c r="G135" s="25"/>
      <c r="H135" s="20">
        <f>H37</f>
        <v>0</v>
      </c>
      <c r="I135" s="19" t="e">
        <f t="shared" si="7"/>
        <v>#DIV/0!</v>
      </c>
      <c r="J135" s="19">
        <f t="shared" si="8"/>
        <v>820135.00800000003</v>
      </c>
      <c r="K135" s="26"/>
      <c r="L135" s="26"/>
      <c r="M135" s="26"/>
      <c r="N135" s="19" t="e">
        <f t="shared" si="9"/>
        <v>#DIV/0!</v>
      </c>
    </row>
    <row r="136" spans="1:14" s="79" customFormat="1" ht="15" hidden="1" customHeight="1" x14ac:dyDescent="0.3">
      <c r="A136" s="139"/>
      <c r="B136" s="139"/>
      <c r="C136" s="139"/>
      <c r="D136" s="139"/>
      <c r="E136" s="19">
        <v>9544</v>
      </c>
      <c r="F136" s="34">
        <v>1</v>
      </c>
      <c r="G136" s="25"/>
      <c r="H136" s="20">
        <f>H37</f>
        <v>0</v>
      </c>
      <c r="I136" s="19" t="e">
        <f t="shared" si="7"/>
        <v>#DIV/0!</v>
      </c>
      <c r="J136" s="19">
        <f t="shared" si="8"/>
        <v>149115.45600000001</v>
      </c>
      <c r="K136" s="26"/>
      <c r="L136" s="26"/>
      <c r="M136" s="26"/>
      <c r="N136" s="19" t="e">
        <f t="shared" si="9"/>
        <v>#DIV/0!</v>
      </c>
    </row>
    <row r="137" spans="1:14" s="79" customFormat="1" ht="15" hidden="1" customHeight="1" thickBot="1" x14ac:dyDescent="0.3">
      <c r="A137" s="139"/>
      <c r="B137" s="139"/>
      <c r="C137" s="139"/>
      <c r="D137" s="139"/>
      <c r="E137" s="19">
        <v>9544</v>
      </c>
      <c r="F137" s="36">
        <v>0.5</v>
      </c>
      <c r="G137" s="25"/>
      <c r="H137" s="20">
        <f>H37</f>
        <v>0</v>
      </c>
      <c r="I137" s="19" t="e">
        <f t="shared" si="7"/>
        <v>#DIV/0!</v>
      </c>
      <c r="J137" s="19">
        <f t="shared" si="8"/>
        <v>74557.728000000003</v>
      </c>
      <c r="K137" s="26"/>
      <c r="L137" s="26"/>
      <c r="M137" s="26"/>
      <c r="N137" s="19" t="e">
        <f t="shared" si="9"/>
        <v>#DIV/0!</v>
      </c>
    </row>
    <row r="138" spans="1:14" s="79" customFormat="1" ht="15" hidden="1" customHeight="1" thickBot="1" x14ac:dyDescent="0.3">
      <c r="A138" s="139"/>
      <c r="B138" s="139"/>
      <c r="C138" s="139"/>
      <c r="D138" s="139"/>
      <c r="E138" s="19">
        <v>9544</v>
      </c>
      <c r="F138" s="36">
        <v>0.5</v>
      </c>
      <c r="G138" s="25"/>
      <c r="H138" s="20">
        <f>H37</f>
        <v>0</v>
      </c>
      <c r="I138" s="19" t="e">
        <f t="shared" si="7"/>
        <v>#DIV/0!</v>
      </c>
      <c r="J138" s="19">
        <f t="shared" si="8"/>
        <v>74557.728000000003</v>
      </c>
      <c r="K138" s="26"/>
      <c r="L138" s="26"/>
      <c r="M138" s="26"/>
      <c r="N138" s="19" t="e">
        <f t="shared" si="9"/>
        <v>#DIV/0!</v>
      </c>
    </row>
    <row r="139" spans="1:14" s="79" customFormat="1" ht="15.75" hidden="1" thickBot="1" x14ac:dyDescent="0.3">
      <c r="A139" s="139"/>
      <c r="B139" s="139"/>
      <c r="C139" s="139"/>
      <c r="D139" s="139"/>
      <c r="E139" s="19">
        <v>9544</v>
      </c>
      <c r="F139" s="34">
        <v>1</v>
      </c>
      <c r="G139" s="25"/>
      <c r="H139" s="20">
        <f>H37</f>
        <v>0</v>
      </c>
      <c r="I139" s="19" t="e">
        <f t="shared" si="7"/>
        <v>#DIV/0!</v>
      </c>
      <c r="J139" s="19">
        <f t="shared" si="8"/>
        <v>149115.45600000001</v>
      </c>
      <c r="K139" s="26"/>
      <c r="L139" s="26"/>
      <c r="M139" s="26"/>
      <c r="N139" s="19" t="e">
        <f t="shared" si="9"/>
        <v>#DIV/0!</v>
      </c>
    </row>
    <row r="140" spans="1:14" s="79" customFormat="1" ht="15.75" hidden="1" customHeight="1" x14ac:dyDescent="0.3">
      <c r="A140" s="139"/>
      <c r="B140" s="139"/>
      <c r="C140" s="139"/>
      <c r="D140" s="139"/>
      <c r="E140" s="19">
        <v>9544</v>
      </c>
      <c r="F140" s="34">
        <v>4</v>
      </c>
      <c r="G140" s="25"/>
      <c r="H140" s="20">
        <f>H37</f>
        <v>0</v>
      </c>
      <c r="I140" s="19" t="e">
        <f t="shared" si="7"/>
        <v>#DIV/0!</v>
      </c>
      <c r="J140" s="19">
        <f t="shared" si="8"/>
        <v>596461.82400000002</v>
      </c>
      <c r="K140" s="26"/>
      <c r="L140" s="26"/>
      <c r="M140" s="26"/>
      <c r="N140" s="19" t="e">
        <f t="shared" si="9"/>
        <v>#DIV/0!</v>
      </c>
    </row>
    <row r="141" spans="1:14" s="79" customFormat="1" ht="16.5" hidden="1" customHeight="1" x14ac:dyDescent="0.3">
      <c r="A141" s="137"/>
      <c r="B141" s="138"/>
      <c r="C141" s="138"/>
      <c r="D141" s="138"/>
      <c r="E141" s="19">
        <v>9544</v>
      </c>
      <c r="F141" s="34">
        <v>1</v>
      </c>
      <c r="G141" s="25"/>
      <c r="H141" s="20">
        <f>H37</f>
        <v>0</v>
      </c>
      <c r="I141" s="19" t="e">
        <f t="shared" si="7"/>
        <v>#DIV/0!</v>
      </c>
      <c r="J141" s="19">
        <f t="shared" si="8"/>
        <v>149115.45600000001</v>
      </c>
      <c r="K141" s="26"/>
      <c r="L141" s="26"/>
      <c r="M141" s="26"/>
      <c r="N141" s="19" t="e">
        <f t="shared" si="9"/>
        <v>#DIV/0!</v>
      </c>
    </row>
    <row r="142" spans="1:14" s="79" customFormat="1" ht="16.5" hidden="1" customHeight="1" x14ac:dyDescent="0.3">
      <c r="A142" s="137"/>
      <c r="B142" s="138"/>
      <c r="C142" s="138"/>
      <c r="D142" s="138"/>
      <c r="E142" s="19">
        <v>9544</v>
      </c>
      <c r="F142" s="37">
        <v>1.75</v>
      </c>
      <c r="G142" s="25"/>
      <c r="H142" s="20">
        <f>H37</f>
        <v>0</v>
      </c>
      <c r="I142" s="19" t="e">
        <f t="shared" si="7"/>
        <v>#DIV/0!</v>
      </c>
      <c r="J142" s="19">
        <f t="shared" si="8"/>
        <v>260952.04800000001</v>
      </c>
      <c r="K142" s="26"/>
      <c r="L142" s="26"/>
      <c r="M142" s="26"/>
      <c r="N142" s="19" t="e">
        <f t="shared" si="9"/>
        <v>#DIV/0!</v>
      </c>
    </row>
    <row r="143" spans="1:14" s="79" customFormat="1" ht="16.5" hidden="1" customHeight="1" thickBot="1" x14ac:dyDescent="0.3">
      <c r="A143" s="137"/>
      <c r="B143" s="138"/>
      <c r="C143" s="138"/>
      <c r="D143" s="138"/>
      <c r="E143" s="19">
        <v>9544</v>
      </c>
      <c r="F143" s="20"/>
      <c r="G143" s="25"/>
      <c r="H143" s="20">
        <f>H37</f>
        <v>0</v>
      </c>
      <c r="I143" s="19" t="e">
        <f t="shared" si="7"/>
        <v>#DIV/0!</v>
      </c>
      <c r="J143" s="19">
        <f t="shared" si="8"/>
        <v>0</v>
      </c>
      <c r="K143" s="26"/>
      <c r="L143" s="26"/>
      <c r="M143" s="26"/>
      <c r="N143" s="19" t="e">
        <f t="shared" si="9"/>
        <v>#DIV/0!</v>
      </c>
    </row>
    <row r="144" spans="1:14" s="79" customFormat="1" ht="16.5" hidden="1" customHeight="1" thickBot="1" x14ac:dyDescent="0.3">
      <c r="A144" s="137"/>
      <c r="B144" s="138"/>
      <c r="C144" s="138"/>
      <c r="D144" s="138"/>
      <c r="E144" s="19">
        <v>9544</v>
      </c>
      <c r="F144" s="36">
        <v>0.5</v>
      </c>
      <c r="G144" s="25"/>
      <c r="H144" s="20">
        <f>H37</f>
        <v>0</v>
      </c>
      <c r="I144" s="19" t="e">
        <f t="shared" si="7"/>
        <v>#DIV/0!</v>
      </c>
      <c r="J144" s="19">
        <f t="shared" si="8"/>
        <v>74557.728000000003</v>
      </c>
      <c r="K144" s="26"/>
      <c r="L144" s="26"/>
      <c r="M144" s="26"/>
      <c r="N144" s="19" t="e">
        <f t="shared" si="9"/>
        <v>#DIV/0!</v>
      </c>
    </row>
    <row r="145" spans="1:17" s="79" customFormat="1" ht="15" hidden="1" customHeight="1" thickBot="1" x14ac:dyDescent="0.3">
      <c r="A145" s="137"/>
      <c r="B145" s="138"/>
      <c r="C145" s="138"/>
      <c r="D145" s="138"/>
      <c r="E145" s="19"/>
      <c r="F145" s="19"/>
      <c r="G145" s="19"/>
      <c r="H145" s="19"/>
      <c r="I145" s="19"/>
      <c r="J145" s="19"/>
      <c r="K145" s="26"/>
      <c r="L145" s="26"/>
      <c r="M145" s="26"/>
      <c r="N145" s="19">
        <f t="shared" si="9"/>
        <v>0</v>
      </c>
    </row>
    <row r="146" spans="1:17" s="79" customFormat="1" ht="15.75" hidden="1" customHeight="1" thickBot="1" x14ac:dyDescent="0.3">
      <c r="A146" s="137"/>
      <c r="B146" s="138"/>
      <c r="C146" s="138"/>
      <c r="D146" s="138"/>
      <c r="E146" s="19"/>
      <c r="F146" s="19"/>
      <c r="G146" s="19"/>
      <c r="H146" s="19"/>
      <c r="I146" s="19"/>
      <c r="J146" s="19"/>
      <c r="K146" s="26"/>
      <c r="L146" s="26"/>
      <c r="M146" s="26"/>
      <c r="N146" s="19">
        <f t="shared" si="9"/>
        <v>0</v>
      </c>
    </row>
    <row r="147" spans="1:17" s="79" customFormat="1" ht="14.25" hidden="1" customHeight="1" thickBot="1" x14ac:dyDescent="0.3">
      <c r="A147" s="137"/>
      <c r="B147" s="138"/>
      <c r="C147" s="138"/>
      <c r="D147" s="138"/>
      <c r="E147" s="19"/>
      <c r="F147" s="19"/>
      <c r="G147" s="19"/>
      <c r="H147" s="19"/>
      <c r="I147" s="25">
        <v>105</v>
      </c>
      <c r="J147" s="27">
        <f>H147/I147</f>
        <v>0</v>
      </c>
      <c r="K147" s="26"/>
      <c r="L147" s="26"/>
      <c r="M147" s="26"/>
      <c r="N147" s="27">
        <f t="shared" si="9"/>
        <v>0</v>
      </c>
    </row>
    <row r="148" spans="1:17" s="79" customFormat="1" ht="15.75" thickBot="1" x14ac:dyDescent="0.3">
      <c r="A148" s="169" t="s">
        <v>32</v>
      </c>
      <c r="B148" s="169"/>
      <c r="C148" s="169"/>
      <c r="D148" s="169"/>
      <c r="E148" s="38"/>
      <c r="F148" s="100"/>
      <c r="G148" s="100"/>
      <c r="H148" s="41">
        <f>H122</f>
        <v>25474.52</v>
      </c>
      <c r="I148" s="28"/>
      <c r="J148" s="39">
        <f>J122</f>
        <v>25474.52</v>
      </c>
      <c r="K148" s="26"/>
      <c r="L148" s="26"/>
      <c r="M148" s="26"/>
      <c r="N148" s="51"/>
      <c r="Q148" s="79">
        <f>H148/48.5%</f>
        <v>52524.783505154643</v>
      </c>
    </row>
    <row r="149" spans="1:17" s="79" customFormat="1" ht="22.15" customHeight="1" x14ac:dyDescent="0.25">
      <c r="A149" s="26"/>
      <c r="B149" s="26"/>
      <c r="C149" s="26"/>
      <c r="D149" s="26"/>
      <c r="E149" s="26"/>
      <c r="F149" s="26"/>
      <c r="G149" s="26"/>
      <c r="H149" s="88"/>
      <c r="I149" s="88"/>
      <c r="J149" s="88"/>
      <c r="K149" s="26"/>
      <c r="L149" s="26"/>
      <c r="M149" s="26"/>
      <c r="N149" s="26"/>
    </row>
    <row r="150" spans="1:17" s="79" customFormat="1" ht="22.15" customHeight="1" x14ac:dyDescent="0.25">
      <c r="A150" s="26"/>
      <c r="B150" s="26"/>
      <c r="C150" s="26"/>
      <c r="D150" s="26"/>
      <c r="E150" s="26"/>
      <c r="F150" s="26"/>
      <c r="G150" s="26"/>
      <c r="H150" s="88"/>
      <c r="I150" s="88"/>
      <c r="J150" s="88"/>
      <c r="K150" s="26"/>
      <c r="L150" s="26"/>
      <c r="M150" s="26"/>
      <c r="N150" s="26"/>
    </row>
    <row r="151" spans="1:17" s="79" customFormat="1" x14ac:dyDescent="0.25">
      <c r="A151" s="157" t="s">
        <v>45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18"/>
      <c r="M151" s="118"/>
      <c r="N151" s="26"/>
    </row>
    <row r="152" spans="1:17" s="86" customFormat="1" x14ac:dyDescent="0.25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/>
    </row>
    <row r="153" spans="1:17" s="86" customFormat="1" x14ac:dyDescent="0.25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/>
    </row>
    <row r="154" spans="1:17" s="79" customFormat="1" ht="60" x14ac:dyDescent="0.25">
      <c r="A154" s="141" t="s">
        <v>18</v>
      </c>
      <c r="B154" s="142"/>
      <c r="C154" s="142"/>
      <c r="D154" s="142"/>
      <c r="E154" s="10" t="s">
        <v>59</v>
      </c>
      <c r="F154" s="10" t="s">
        <v>33</v>
      </c>
      <c r="G154" s="10" t="s">
        <v>58</v>
      </c>
      <c r="H154" s="10" t="s">
        <v>53</v>
      </c>
      <c r="I154" s="26"/>
      <c r="J154" s="26"/>
      <c r="K154" s="26"/>
      <c r="L154" s="26"/>
      <c r="M154" s="26"/>
    </row>
    <row r="155" spans="1:17" s="79" customFormat="1" ht="67.5" customHeight="1" thickBot="1" x14ac:dyDescent="0.3">
      <c r="A155" s="137" t="s">
        <v>109</v>
      </c>
      <c r="B155" s="138"/>
      <c r="C155" s="138"/>
      <c r="D155" s="138"/>
      <c r="E155" s="29" t="s">
        <v>17</v>
      </c>
      <c r="F155" s="110">
        <f>521495.1*O4</f>
        <v>782.24265000000003</v>
      </c>
      <c r="G155" s="25">
        <v>1</v>
      </c>
      <c r="H155" s="87">
        <f t="shared" ref="H155" si="10">F155/G155</f>
        <v>782.24265000000003</v>
      </c>
      <c r="I155" s="26"/>
      <c r="J155" s="26"/>
      <c r="K155" s="26"/>
      <c r="L155" s="26"/>
      <c r="M155" s="26"/>
    </row>
    <row r="156" spans="1:17" s="79" customFormat="1" ht="20.25" customHeight="1" thickBot="1" x14ac:dyDescent="0.3">
      <c r="A156" s="150" t="s">
        <v>38</v>
      </c>
      <c r="B156" s="151"/>
      <c r="C156" s="151"/>
      <c r="D156" s="151"/>
      <c r="E156" s="112"/>
      <c r="F156" s="41">
        <f>SUM(F155:F155)</f>
        <v>782.24265000000003</v>
      </c>
      <c r="G156" s="26"/>
      <c r="H156" s="30">
        <f>SUM(H155:H155)</f>
        <v>782.24265000000003</v>
      </c>
      <c r="I156" s="26"/>
      <c r="J156" s="78"/>
      <c r="K156" s="26"/>
      <c r="L156" s="26"/>
      <c r="M156" s="26"/>
    </row>
    <row r="157" spans="1:17" s="86" customFormat="1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/>
    </row>
    <row r="158" spans="1:17" s="79" customFormat="1" ht="75" x14ac:dyDescent="0.25">
      <c r="A158" s="141" t="s">
        <v>46</v>
      </c>
      <c r="B158" s="142"/>
      <c r="C158" s="142"/>
      <c r="D158" s="143"/>
      <c r="E158" s="104" t="s">
        <v>5</v>
      </c>
      <c r="F158" s="104" t="s">
        <v>40</v>
      </c>
      <c r="G158" s="104" t="s">
        <v>27</v>
      </c>
      <c r="H158" s="104" t="s">
        <v>33</v>
      </c>
      <c r="I158" s="10" t="s">
        <v>47</v>
      </c>
      <c r="J158" s="10" t="s">
        <v>53</v>
      </c>
      <c r="K158" s="119"/>
      <c r="L158" s="108"/>
      <c r="M158" s="108"/>
      <c r="N158" s="26"/>
    </row>
    <row r="159" spans="1:17" s="79" customFormat="1" ht="51.75" customHeight="1" x14ac:dyDescent="0.25">
      <c r="A159" s="137" t="s">
        <v>83</v>
      </c>
      <c r="B159" s="138"/>
      <c r="C159" s="138"/>
      <c r="D159" s="144"/>
      <c r="E159" s="104"/>
      <c r="F159" s="104"/>
      <c r="G159" s="104"/>
      <c r="H159" s="90">
        <f>307271*$O$4</f>
        <v>460.90649999999999</v>
      </c>
      <c r="I159" s="25">
        <v>1</v>
      </c>
      <c r="J159" s="91">
        <f>H159/I159</f>
        <v>460.90649999999999</v>
      </c>
      <c r="K159" s="119"/>
      <c r="L159" s="108"/>
      <c r="M159" s="108"/>
      <c r="N159" s="26"/>
    </row>
    <row r="160" spans="1:17" s="79" customFormat="1" ht="48" customHeight="1" thickBot="1" x14ac:dyDescent="0.3">
      <c r="A160" s="137" t="s">
        <v>84</v>
      </c>
      <c r="B160" s="138"/>
      <c r="C160" s="138"/>
      <c r="D160" s="144"/>
      <c r="E160" s="104"/>
      <c r="F160" s="104"/>
      <c r="G160" s="104"/>
      <c r="H160" s="90">
        <f>(24024+35600)*$O$4</f>
        <v>89.436000000000007</v>
      </c>
      <c r="I160" s="25">
        <v>1</v>
      </c>
      <c r="J160" s="91">
        <f t="shared" ref="J160" si="11">H160/I160</f>
        <v>89.436000000000007</v>
      </c>
      <c r="K160" s="119"/>
      <c r="L160" s="108"/>
      <c r="M160" s="108"/>
      <c r="N160" s="26"/>
    </row>
    <row r="161" spans="1:18" s="79" customFormat="1" ht="15.75" thickBot="1" x14ac:dyDescent="0.3">
      <c r="A161" s="145" t="s">
        <v>42</v>
      </c>
      <c r="B161" s="146"/>
      <c r="C161" s="146"/>
      <c r="D161" s="146"/>
      <c r="E161" s="146"/>
      <c r="F161" s="146"/>
      <c r="G161" s="147"/>
      <c r="H161" s="92">
        <f>H160+H159</f>
        <v>550.34249999999997</v>
      </c>
      <c r="I161" s="93"/>
      <c r="J161" s="85">
        <f>SUM(J159:J160)</f>
        <v>550.34249999999997</v>
      </c>
      <c r="K161" s="26"/>
      <c r="L161" s="26"/>
      <c r="M161" s="26"/>
      <c r="N161" s="26"/>
    </row>
    <row r="162" spans="1:18" s="79" customFormat="1" ht="32.450000000000003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8" s="79" customFormat="1" ht="75" x14ac:dyDescent="0.25">
      <c r="A163" s="141" t="s">
        <v>46</v>
      </c>
      <c r="B163" s="142"/>
      <c r="C163" s="142"/>
      <c r="D163" s="143"/>
      <c r="E163" s="104" t="s">
        <v>85</v>
      </c>
      <c r="F163" s="104" t="s">
        <v>40</v>
      </c>
      <c r="G163" s="104" t="s">
        <v>27</v>
      </c>
      <c r="H163" s="104" t="s">
        <v>33</v>
      </c>
      <c r="I163" s="10" t="s">
        <v>47</v>
      </c>
      <c r="J163" s="10" t="s">
        <v>53</v>
      </c>
      <c r="K163" s="119"/>
      <c r="L163" s="108"/>
      <c r="M163" s="108"/>
      <c r="N163" s="26"/>
    </row>
    <row r="164" spans="1:18" s="79" customFormat="1" x14ac:dyDescent="0.25">
      <c r="A164" s="137" t="s">
        <v>148</v>
      </c>
      <c r="B164" s="138"/>
      <c r="C164" s="138"/>
      <c r="D164" s="144"/>
      <c r="E164" s="104"/>
      <c r="F164" s="104"/>
      <c r="G164" s="104"/>
      <c r="H164" s="90">
        <f>199950*$O$4-0.009985</f>
        <v>299.91501500000004</v>
      </c>
      <c r="I164" s="25">
        <v>1</v>
      </c>
      <c r="J164" s="91">
        <f>H164/I164</f>
        <v>299.91501500000004</v>
      </c>
      <c r="K164" s="119"/>
      <c r="L164" s="108"/>
      <c r="M164" s="108"/>
      <c r="N164" s="26"/>
    </row>
    <row r="165" spans="1:18" s="79" customFormat="1" ht="15.75" thickBot="1" x14ac:dyDescent="0.3">
      <c r="A165" s="137" t="s">
        <v>149</v>
      </c>
      <c r="B165" s="138"/>
      <c r="C165" s="138"/>
      <c r="D165" s="144"/>
      <c r="E165" s="104"/>
      <c r="F165" s="104"/>
      <c r="G165" s="104"/>
      <c r="H165" s="90">
        <f>100075*$O$4</f>
        <v>150.11250000000001</v>
      </c>
      <c r="I165" s="25">
        <v>1</v>
      </c>
      <c r="J165" s="91">
        <f t="shared" ref="J165" si="12">H165/I165</f>
        <v>150.11250000000001</v>
      </c>
      <c r="K165" s="119"/>
      <c r="L165" s="108"/>
      <c r="M165" s="108"/>
      <c r="N165" s="26"/>
    </row>
    <row r="166" spans="1:18" s="79" customFormat="1" ht="15.75" thickBot="1" x14ac:dyDescent="0.3">
      <c r="A166" s="145" t="s">
        <v>42</v>
      </c>
      <c r="B166" s="146"/>
      <c r="C166" s="146"/>
      <c r="D166" s="146"/>
      <c r="E166" s="146"/>
      <c r="F166" s="146"/>
      <c r="G166" s="147"/>
      <c r="H166" s="92">
        <f>SUM(H164:H165)</f>
        <v>450.02751500000005</v>
      </c>
      <c r="I166" s="93"/>
      <c r="J166" s="85">
        <f>SUM(J164:J165)</f>
        <v>450.02751500000005</v>
      </c>
      <c r="K166" s="26"/>
      <c r="L166" s="26"/>
      <c r="M166" s="26"/>
      <c r="N166" s="26"/>
    </row>
    <row r="167" spans="1:18" s="79" customFormat="1" ht="25.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8" s="79" customFormat="1" x14ac:dyDescent="0.25">
      <c r="A168" s="149" t="s">
        <v>19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</row>
    <row r="169" spans="1:18" s="79" customForma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8" s="79" customFormat="1" ht="60" customHeight="1" x14ac:dyDescent="0.25">
      <c r="A170" s="166" t="s">
        <v>20</v>
      </c>
      <c r="B170" s="167"/>
      <c r="C170" s="168"/>
      <c r="D170" s="160" t="s">
        <v>21</v>
      </c>
      <c r="E170" s="161"/>
      <c r="F170" s="161"/>
      <c r="G170" s="161"/>
      <c r="H170" s="161"/>
      <c r="I170" s="161"/>
      <c r="J170" s="161"/>
      <c r="K170" s="161"/>
      <c r="L170" s="161"/>
      <c r="M170" s="162"/>
      <c r="N170" s="120" t="s">
        <v>25</v>
      </c>
      <c r="O170" s="121"/>
      <c r="R170" s="114">
        <f>H167+H162+H149+F118+F105+F98+G93+G81+H70+H60+H52</f>
        <v>0</v>
      </c>
    </row>
    <row r="171" spans="1:18" s="79" customFormat="1" ht="24" customHeight="1" x14ac:dyDescent="0.25">
      <c r="A171" s="58" t="s">
        <v>22</v>
      </c>
      <c r="B171" s="122" t="s">
        <v>23</v>
      </c>
      <c r="C171" s="58" t="s">
        <v>24</v>
      </c>
      <c r="D171" s="10" t="s">
        <v>89</v>
      </c>
      <c r="E171" s="10" t="s">
        <v>90</v>
      </c>
      <c r="F171" s="10" t="s">
        <v>91</v>
      </c>
      <c r="G171" s="10" t="s">
        <v>92</v>
      </c>
      <c r="H171" s="10" t="s">
        <v>104</v>
      </c>
      <c r="I171" s="10" t="s">
        <v>108</v>
      </c>
      <c r="J171" s="10" t="s">
        <v>93</v>
      </c>
      <c r="K171" s="80" t="s">
        <v>94</v>
      </c>
      <c r="L171" s="104" t="s">
        <v>92</v>
      </c>
      <c r="M171" s="104" t="s">
        <v>118</v>
      </c>
      <c r="N171" s="123"/>
      <c r="O171" s="121"/>
    </row>
    <row r="172" spans="1:18" s="79" customFormat="1" ht="15.75" thickBot="1" x14ac:dyDescent="0.3">
      <c r="A172" s="19">
        <f>J51</f>
        <v>26442.639999999999</v>
      </c>
      <c r="B172" s="19"/>
      <c r="C172" s="19"/>
      <c r="D172" s="19">
        <f>J59</f>
        <v>83.865000000000009</v>
      </c>
      <c r="E172" s="19">
        <f>J69</f>
        <v>3196.4399849999995</v>
      </c>
      <c r="F172" s="19">
        <f>I80</f>
        <v>500.25540000000001</v>
      </c>
      <c r="G172" s="19">
        <f>I92</f>
        <v>808.56960000000004</v>
      </c>
      <c r="H172" s="19">
        <f>H97</f>
        <v>10.425000000000001</v>
      </c>
      <c r="I172" s="19">
        <f>H117</f>
        <v>136.42500000000001</v>
      </c>
      <c r="J172" s="19">
        <f>H104</f>
        <v>62.493405000000003</v>
      </c>
      <c r="K172" s="124">
        <f>J148</f>
        <v>25474.52</v>
      </c>
      <c r="L172" s="125">
        <f>J161+J166+H156</f>
        <v>1782.6126650000001</v>
      </c>
      <c r="M172" s="125">
        <f>H109</f>
        <v>225</v>
      </c>
      <c r="N172" s="126">
        <f>SUM(D172:M172)+A172+0.01</f>
        <v>58723.256054999998</v>
      </c>
      <c r="O172" s="127">
        <f>J166+J161+H156+J148+H117+H104+H97+I92+I80+J69+J59+J51+H109</f>
        <v>58723.246055000003</v>
      </c>
    </row>
    <row r="173" spans="1:18" s="79" customFormat="1" ht="15.75" thickBot="1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Q173" s="128">
        <f>N172*1</f>
        <v>58723.256054999998</v>
      </c>
    </row>
    <row r="174" spans="1:18" s="79" customFormat="1" ht="15.75" thickBot="1" x14ac:dyDescent="0.3">
      <c r="A174" s="129" t="s">
        <v>48</v>
      </c>
      <c r="B174" s="129"/>
      <c r="C174" s="129"/>
      <c r="D174" s="26"/>
      <c r="E174" s="26"/>
      <c r="F174" s="26"/>
      <c r="G174" s="26"/>
      <c r="H174" s="26"/>
      <c r="I174" s="26"/>
      <c r="J174" s="163">
        <f>H59+H69+G80+G92+F104+H51+H148+H161+H166+F97+F117+F156+F109</f>
        <v>58723.256055000005</v>
      </c>
      <c r="K174" s="164"/>
      <c r="L174" s="26"/>
      <c r="M174" s="26"/>
      <c r="N174" s="26"/>
    </row>
    <row r="175" spans="1:18" s="79" customFormat="1" ht="26.2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K175" s="26"/>
      <c r="L175" s="26"/>
      <c r="M175" s="26"/>
      <c r="O175" s="148"/>
      <c r="P175" s="148"/>
      <c r="Q175" s="114" t="e">
        <f>J174+'Услуга №2'!#REF!+'Работа №1'!J198+'Работа №2'!J198+'Работа №3'!J198+'Работа №4'!J185</f>
        <v>#REF!</v>
      </c>
    </row>
    <row r="176" spans="1:18" s="79" customFormat="1" ht="17.25" customHeight="1" x14ac:dyDescent="0.3">
      <c r="A176" s="94" t="s">
        <v>86</v>
      </c>
      <c r="B176" s="94"/>
      <c r="C176" s="94"/>
      <c r="I176" s="94" t="s">
        <v>87</v>
      </c>
    </row>
    <row r="177" spans="1:11" s="79" customFormat="1" ht="9.75" customHeight="1" x14ac:dyDescent="0.25"/>
    <row r="178" spans="1:11" s="79" customFormat="1" ht="15.75" x14ac:dyDescent="0.25">
      <c r="A178" s="130" t="s">
        <v>28</v>
      </c>
      <c r="B178" s="53"/>
    </row>
    <row r="179" spans="1:11" s="79" customFormat="1" ht="15.75" x14ac:dyDescent="0.25">
      <c r="A179" s="130" t="s">
        <v>103</v>
      </c>
      <c r="B179" s="53"/>
    </row>
    <row r="180" spans="1:11" s="79" customFormat="1" ht="15.75" x14ac:dyDescent="0.25">
      <c r="A180" s="130" t="s">
        <v>62</v>
      </c>
      <c r="C180" s="53"/>
    </row>
    <row r="181" spans="1:11" s="79" customFormat="1" ht="15.75" x14ac:dyDescent="0.25">
      <c r="A181" s="131"/>
      <c r="B181" s="131"/>
      <c r="C181" s="131"/>
      <c r="J181" s="231">
        <f>J174/O4</f>
        <v>39148837.370000005</v>
      </c>
      <c r="K181" s="231"/>
    </row>
    <row r="182" spans="1:11" s="79" customFormat="1" x14ac:dyDescent="0.25">
      <c r="J182" s="231">
        <f>J181-39148837.37</f>
        <v>0</v>
      </c>
      <c r="K182" s="231"/>
    </row>
    <row r="183" spans="1:11" x14ac:dyDescent="0.25">
      <c r="H183" s="79"/>
      <c r="I183" s="79"/>
      <c r="J183" s="79"/>
    </row>
    <row r="184" spans="1:11" x14ac:dyDescent="0.25">
      <c r="H184" s="79"/>
      <c r="I184" s="79"/>
      <c r="J184" s="79"/>
    </row>
    <row r="185" spans="1:11" x14ac:dyDescent="0.25">
      <c r="H185" s="79"/>
      <c r="I185" s="79"/>
      <c r="J185" s="79"/>
    </row>
    <row r="186" spans="1:11" x14ac:dyDescent="0.25">
      <c r="H186" s="79"/>
      <c r="I186" s="79"/>
      <c r="J186" s="79"/>
    </row>
    <row r="187" spans="1:11" x14ac:dyDescent="0.25">
      <c r="H187" s="79"/>
      <c r="I187" s="79"/>
      <c r="J187" s="79"/>
    </row>
    <row r="188" spans="1:11" x14ac:dyDescent="0.25">
      <c r="H188" s="79"/>
      <c r="I188" s="79"/>
      <c r="J188" s="79"/>
    </row>
    <row r="189" spans="1:11" x14ac:dyDescent="0.25">
      <c r="H189" s="79"/>
      <c r="I189" s="79"/>
      <c r="J189" s="79"/>
    </row>
    <row r="190" spans="1:11" x14ac:dyDescent="0.25">
      <c r="H190" s="79"/>
      <c r="I190" s="79"/>
      <c r="J190" s="79"/>
    </row>
    <row r="191" spans="1:11" x14ac:dyDescent="0.25">
      <c r="H191" s="79"/>
      <c r="I191" s="79"/>
      <c r="J191" s="79"/>
    </row>
    <row r="192" spans="1:11" x14ac:dyDescent="0.25">
      <c r="H192" s="79"/>
      <c r="I192" s="79"/>
      <c r="J192" s="79"/>
    </row>
    <row r="193" spans="8:10" x14ac:dyDescent="0.25">
      <c r="H193" s="79"/>
      <c r="I193" s="79"/>
      <c r="J193" s="79"/>
    </row>
    <row r="194" spans="8:10" x14ac:dyDescent="0.25">
      <c r="H194" s="79"/>
      <c r="I194" s="79"/>
      <c r="J194" s="79"/>
    </row>
    <row r="195" spans="8:10" x14ac:dyDescent="0.25">
      <c r="H195" s="79"/>
      <c r="I195" s="79"/>
      <c r="J195" s="79"/>
    </row>
    <row r="196" spans="8:10" x14ac:dyDescent="0.25">
      <c r="H196" s="79"/>
      <c r="I196" s="79"/>
      <c r="J196" s="79"/>
    </row>
    <row r="197" spans="8:10" x14ac:dyDescent="0.25">
      <c r="H197" s="79"/>
      <c r="I197" s="79"/>
      <c r="J197" s="79"/>
    </row>
    <row r="198" spans="8:10" x14ac:dyDescent="0.25">
      <c r="H198" s="79"/>
      <c r="I198" s="79"/>
      <c r="J198" s="79"/>
    </row>
    <row r="199" spans="8:10" x14ac:dyDescent="0.25">
      <c r="H199" s="79"/>
      <c r="I199" s="79"/>
      <c r="J199" s="79"/>
    </row>
    <row r="200" spans="8:10" x14ac:dyDescent="0.25">
      <c r="H200" s="79"/>
      <c r="I200" s="79"/>
      <c r="J200" s="79"/>
    </row>
    <row r="201" spans="8:10" x14ac:dyDescent="0.25">
      <c r="H201" s="79"/>
      <c r="I201" s="79"/>
      <c r="J201" s="79"/>
    </row>
    <row r="202" spans="8:10" x14ac:dyDescent="0.25">
      <c r="H202" s="79"/>
      <c r="I202" s="79"/>
      <c r="J202" s="79"/>
    </row>
    <row r="203" spans="8:10" x14ac:dyDescent="0.25">
      <c r="H203" s="79"/>
      <c r="I203" s="79"/>
      <c r="J203" s="79"/>
    </row>
    <row r="204" spans="8:10" x14ac:dyDescent="0.25">
      <c r="H204" s="79"/>
      <c r="I204" s="79"/>
      <c r="J204" s="79"/>
    </row>
    <row r="205" spans="8:10" x14ac:dyDescent="0.25">
      <c r="H205" s="79"/>
      <c r="I205" s="79"/>
      <c r="J205" s="79"/>
    </row>
    <row r="207" spans="8:10" x14ac:dyDescent="0.25">
      <c r="J207" s="71">
        <f>J198/O4</f>
        <v>0</v>
      </c>
    </row>
    <row r="210" spans="10:10" x14ac:dyDescent="0.25">
      <c r="J210" s="79">
        <v>37149375</v>
      </c>
    </row>
    <row r="213" spans="10:10" x14ac:dyDescent="0.25">
      <c r="J213">
        <f>J207-J210</f>
        <v>-37149375</v>
      </c>
    </row>
  </sheetData>
  <mergeCells count="177">
    <mergeCell ref="O175:P175"/>
    <mergeCell ref="J181:K181"/>
    <mergeCell ref="J182:K182"/>
    <mergeCell ref="A117:D117"/>
    <mergeCell ref="A119:N119"/>
    <mergeCell ref="A122:D122"/>
    <mergeCell ref="A123:D123"/>
    <mergeCell ref="A127:D127"/>
    <mergeCell ref="A128:D128"/>
    <mergeCell ref="A139:D139"/>
    <mergeCell ref="A140:D140"/>
    <mergeCell ref="A151:K151"/>
    <mergeCell ref="A143:D143"/>
    <mergeCell ref="A144:D144"/>
    <mergeCell ref="A145:D145"/>
    <mergeCell ref="A164:D164"/>
    <mergeCell ref="A165:D165"/>
    <mergeCell ref="A146:D146"/>
    <mergeCell ref="A132:D132"/>
    <mergeCell ref="A137:D137"/>
    <mergeCell ref="A135:D135"/>
    <mergeCell ref="A136:D136"/>
    <mergeCell ref="A133:D133"/>
    <mergeCell ref="A134:D134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39:K39"/>
    <mergeCell ref="G40:K40"/>
    <mergeCell ref="G41:K41"/>
    <mergeCell ref="G42:K42"/>
    <mergeCell ref="G43:K43"/>
    <mergeCell ref="A44:E44"/>
    <mergeCell ref="G44:K44"/>
    <mergeCell ref="G38:K38"/>
    <mergeCell ref="A47:N47"/>
    <mergeCell ref="A55:D55"/>
    <mergeCell ref="A56:D56"/>
    <mergeCell ref="A57:D57"/>
    <mergeCell ref="A58:D58"/>
    <mergeCell ref="A48:D48"/>
    <mergeCell ref="A49:D49"/>
    <mergeCell ref="A50:D50"/>
    <mergeCell ref="A51:D51"/>
    <mergeCell ref="A54:N54"/>
    <mergeCell ref="A74:D74"/>
    <mergeCell ref="A68:D68"/>
    <mergeCell ref="A69:D69"/>
    <mergeCell ref="A59:D59"/>
    <mergeCell ref="A62:D62"/>
    <mergeCell ref="A67:D67"/>
    <mergeCell ref="A61:N61"/>
    <mergeCell ref="A63:D63"/>
    <mergeCell ref="A64:D64"/>
    <mergeCell ref="A65:D65"/>
    <mergeCell ref="A66:D66"/>
    <mergeCell ref="A71:N71"/>
    <mergeCell ref="A72:D72"/>
    <mergeCell ref="A73:D73"/>
    <mergeCell ref="H109:I109"/>
    <mergeCell ref="A111:N111"/>
    <mergeCell ref="A112:D112"/>
    <mergeCell ref="A116:D116"/>
    <mergeCell ref="A75:D75"/>
    <mergeCell ref="A76:D76"/>
    <mergeCell ref="A84:D84"/>
    <mergeCell ref="A85:D85"/>
    <mergeCell ref="A86:D86"/>
    <mergeCell ref="A87:D87"/>
    <mergeCell ref="A88:D88"/>
    <mergeCell ref="A83:D83"/>
    <mergeCell ref="A92:D92"/>
    <mergeCell ref="A91:D91"/>
    <mergeCell ref="A79:D79"/>
    <mergeCell ref="A82:N82"/>
    <mergeCell ref="A89:D89"/>
    <mergeCell ref="A90:D90"/>
    <mergeCell ref="A77:D77"/>
    <mergeCell ref="A78:D78"/>
    <mergeCell ref="A155:D155"/>
    <mergeCell ref="A156:D156"/>
    <mergeCell ref="A161:G161"/>
    <mergeCell ref="A160:D160"/>
    <mergeCell ref="A154:D154"/>
    <mergeCell ref="A166:G166"/>
    <mergeCell ref="A94:N94"/>
    <mergeCell ref="A129:D129"/>
    <mergeCell ref="A130:D130"/>
    <mergeCell ref="A131:D131"/>
    <mergeCell ref="A124:D124"/>
    <mergeCell ref="A125:D125"/>
    <mergeCell ref="A120:D120"/>
    <mergeCell ref="A121:D121"/>
    <mergeCell ref="A126:D126"/>
    <mergeCell ref="H95:I95"/>
    <mergeCell ref="H96:I96"/>
    <mergeCell ref="H97:I97"/>
    <mergeCell ref="A99:N99"/>
    <mergeCell ref="A100:D100"/>
    <mergeCell ref="A101:D101"/>
    <mergeCell ref="A106:N106"/>
    <mergeCell ref="H107:I107"/>
    <mergeCell ref="H108:I108"/>
    <mergeCell ref="A168:N168"/>
    <mergeCell ref="A170:C170"/>
    <mergeCell ref="D170:M170"/>
    <mergeCell ref="J174:K174"/>
    <mergeCell ref="A102:D102"/>
    <mergeCell ref="A103:D103"/>
    <mergeCell ref="A95:D95"/>
    <mergeCell ref="A96:D96"/>
    <mergeCell ref="A97:D97"/>
    <mergeCell ref="A114:D114"/>
    <mergeCell ref="A104:D104"/>
    <mergeCell ref="A109:D109"/>
    <mergeCell ref="A113:D113"/>
    <mergeCell ref="A107:D107"/>
    <mergeCell ref="A108:D108"/>
    <mergeCell ref="A115:D115"/>
    <mergeCell ref="A147:D147"/>
    <mergeCell ref="A148:D148"/>
    <mergeCell ref="A158:D158"/>
    <mergeCell ref="A159:D159"/>
    <mergeCell ref="A163:D163"/>
    <mergeCell ref="A138:D138"/>
    <mergeCell ref="A141:D141"/>
    <mergeCell ref="A142:D142"/>
  </mergeCells>
  <pageMargins left="0.51181102362204722" right="0.11811023622047245" top="0.35433070866141736" bottom="0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8"/>
  <sheetViews>
    <sheetView zoomScale="60" zoomScaleNormal="60" workbookViewId="0">
      <selection activeCell="A9" sqref="A9"/>
    </sheetView>
  </sheetViews>
  <sheetFormatPr defaultRowHeight="15" x14ac:dyDescent="0.25"/>
  <cols>
    <col min="1" max="1" width="45.28515625" customWidth="1"/>
  </cols>
  <sheetData>
    <row r="3" spans="1:1" x14ac:dyDescent="0.25">
      <c r="A3" s="69" t="e">
        <f>'Услуга №1'!J174+'Услуга №2'!#REF!+'Работа №1'!J198+'Работа №2'!J198+'Работа №3'!J198+'Работа №4'!J185</f>
        <v>#REF!</v>
      </c>
    </row>
    <row r="6" spans="1:1" x14ac:dyDescent="0.25">
      <c r="A6" s="69" t="e">
        <f>'Услуга №1'!J174+'Услуга №2'!#REF!+'Работа №1'!J198+'Работа №2'!J198+'Работа №3'!J198+'Работа №4'!J198</f>
        <v>#REF!</v>
      </c>
    </row>
    <row r="8" spans="1:1" x14ac:dyDescent="0.25">
      <c r="A8" s="67">
        <f>'Услуга №1'!F44+'Услуга №1'!L44+'Услуга №2'!F38+'Услуга №2'!L38+'Работа №1'!F38+'Работа №1'!L38+'Работа №2'!F38+'Работа №2'!L38+'Работа №3'!F38+'Работа №3'!L38+'Работа №4'!F38+'Работа №4'!L38</f>
        <v>46.906734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Услуга №1</vt:lpstr>
      <vt:lpstr>Услуга №2</vt:lpstr>
      <vt:lpstr>Работа №1</vt:lpstr>
      <vt:lpstr>Работа №2</vt:lpstr>
      <vt:lpstr>Работа №3</vt:lpstr>
      <vt:lpstr>Работа №4</vt:lpstr>
      <vt:lpstr>ВСЕГО</vt:lpstr>
      <vt:lpstr>'Работа №1'!Область_печати</vt:lpstr>
      <vt:lpstr>'Работа №2'!Область_печати</vt:lpstr>
      <vt:lpstr>'Работа №3'!Область_печати</vt:lpstr>
      <vt:lpstr>'Работа №4'!Область_печати</vt:lpstr>
      <vt:lpstr>'Услуга №1'!Область_печати</vt:lpstr>
      <vt:lpstr>'Услуга №2'!Область_печати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2022-01-11T07:32:43Z</dcterms:modified>
</cp:coreProperties>
</file>