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790" activeTab="1"/>
  </bookViews>
  <sheets>
    <sheet name="СВОД" sheetId="14" r:id="rId1"/>
    <sheet name="Услуга №1  " sheetId="11" r:id="rId2"/>
    <sheet name="Работа №1" sheetId="12" r:id="rId3"/>
    <sheet name="Работа №2" sheetId="13" r:id="rId4"/>
  </sheets>
  <calcPr calcId="162913"/>
</workbook>
</file>

<file path=xl/calcChain.xml><?xml version="1.0" encoding="utf-8"?>
<calcChain xmlns="http://schemas.openxmlformats.org/spreadsheetml/2006/main">
  <c r="I98" i="11" l="1"/>
  <c r="H115" i="11"/>
  <c r="I98" i="13" l="1"/>
  <c r="I98" i="12"/>
  <c r="J108" i="11" l="1"/>
  <c r="K110" i="11"/>
  <c r="I110" i="11"/>
  <c r="M110" i="11" s="1"/>
  <c r="K108" i="11"/>
  <c r="J109" i="11"/>
  <c r="K109" i="11" s="1"/>
  <c r="A104" i="13"/>
  <c r="G77" i="13"/>
  <c r="G32" i="13"/>
  <c r="F19" i="13"/>
  <c r="F18" i="13"/>
  <c r="F17" i="13"/>
  <c r="F16" i="13"/>
  <c r="L15" i="13"/>
  <c r="F15" i="13"/>
  <c r="L14" i="13"/>
  <c r="F14" i="13"/>
  <c r="F22" i="13" s="1"/>
  <c r="J32" i="13"/>
  <c r="I32" i="13"/>
  <c r="K32" i="13" s="1"/>
  <c r="J31" i="13"/>
  <c r="F31" i="13"/>
  <c r="H31" i="13" s="1"/>
  <c r="I31" i="13" s="1"/>
  <c r="K31" i="13" s="1"/>
  <c r="F30" i="13"/>
  <c r="H30" i="13" s="1"/>
  <c r="I30" i="13" s="1"/>
  <c r="F29" i="13"/>
  <c r="H29" i="13" s="1"/>
  <c r="I29" i="13" s="1"/>
  <c r="F28" i="13"/>
  <c r="H28" i="13" s="1"/>
  <c r="I28" i="13" s="1"/>
  <c r="F27" i="13"/>
  <c r="H27" i="13" s="1"/>
  <c r="I27" i="13" s="1"/>
  <c r="K27" i="13" s="1"/>
  <c r="J26" i="13"/>
  <c r="J27" i="13" s="1"/>
  <c r="F26" i="13"/>
  <c r="H26" i="13" s="1"/>
  <c r="I26" i="13" s="1"/>
  <c r="K26" i="13" s="1"/>
  <c r="I99" i="13"/>
  <c r="I106" i="13" s="1"/>
  <c r="I93" i="13"/>
  <c r="I94" i="13" s="1"/>
  <c r="I88" i="13"/>
  <c r="I87" i="13"/>
  <c r="I86" i="13"/>
  <c r="J82" i="13"/>
  <c r="I82" i="13"/>
  <c r="M82" i="13" s="1"/>
  <c r="K81" i="13"/>
  <c r="I77" i="13"/>
  <c r="I76" i="13"/>
  <c r="F76" i="13"/>
  <c r="H76" i="13" s="1"/>
  <c r="I75" i="13"/>
  <c r="I69" i="13"/>
  <c r="I68" i="13"/>
  <c r="I67" i="13"/>
  <c r="I61" i="13"/>
  <c r="I60" i="13"/>
  <c r="I58" i="13"/>
  <c r="I57" i="13"/>
  <c r="I49" i="13"/>
  <c r="I48" i="13"/>
  <c r="I47" i="13"/>
  <c r="I46" i="13"/>
  <c r="I45" i="13"/>
  <c r="I40" i="13"/>
  <c r="G40" i="13" s="1"/>
  <c r="I39" i="13"/>
  <c r="G39" i="13"/>
  <c r="I38" i="13"/>
  <c r="G38" i="13" s="1"/>
  <c r="I37" i="13"/>
  <c r="G37" i="13" s="1"/>
  <c r="K36" i="13"/>
  <c r="J36" i="13"/>
  <c r="J37" i="13" s="1"/>
  <c r="I36" i="13"/>
  <c r="G36" i="13" s="1"/>
  <c r="I104" i="12"/>
  <c r="H104" i="12"/>
  <c r="G104" i="12"/>
  <c r="E104" i="12"/>
  <c r="D104" i="12"/>
  <c r="I93" i="12"/>
  <c r="I88" i="12"/>
  <c r="I87" i="12"/>
  <c r="I86" i="12"/>
  <c r="G77" i="12"/>
  <c r="I69" i="12"/>
  <c r="I68" i="12"/>
  <c r="I67" i="12"/>
  <c r="I61" i="12"/>
  <c r="I60" i="12"/>
  <c r="I58" i="12"/>
  <c r="I57" i="12"/>
  <c r="I49" i="12"/>
  <c r="I48" i="12"/>
  <c r="I47" i="12"/>
  <c r="I46" i="12"/>
  <c r="I45" i="12"/>
  <c r="I41" i="12"/>
  <c r="I40" i="12"/>
  <c r="I39" i="12"/>
  <c r="I38" i="12"/>
  <c r="G38" i="12" s="1"/>
  <c r="I37" i="12"/>
  <c r="I36" i="12"/>
  <c r="G36" i="12" s="1"/>
  <c r="J37" i="12"/>
  <c r="J36" i="12"/>
  <c r="G32" i="12"/>
  <c r="I99" i="12"/>
  <c r="I106" i="12" s="1"/>
  <c r="I94" i="12"/>
  <c r="I89" i="12"/>
  <c r="J82" i="12"/>
  <c r="I82" i="12"/>
  <c r="M82" i="12" s="1"/>
  <c r="K81" i="12"/>
  <c r="I77" i="12"/>
  <c r="I76" i="12"/>
  <c r="F76" i="12" s="1"/>
  <c r="H76" i="12" s="1"/>
  <c r="I75" i="12"/>
  <c r="F75" i="12"/>
  <c r="H75" i="12" s="1"/>
  <c r="G40" i="12"/>
  <c r="J45" i="12"/>
  <c r="I103" i="11"/>
  <c r="I93" i="11"/>
  <c r="I86" i="11"/>
  <c r="I88" i="11"/>
  <c r="I87" i="11"/>
  <c r="G77" i="11"/>
  <c r="I49" i="11"/>
  <c r="I69" i="11"/>
  <c r="I68" i="11"/>
  <c r="I67" i="11"/>
  <c r="I61" i="11"/>
  <c r="I60" i="11"/>
  <c r="I58" i="11"/>
  <c r="I57" i="11"/>
  <c r="I48" i="11"/>
  <c r="I47" i="11"/>
  <c r="I46" i="11"/>
  <c r="I45" i="11"/>
  <c r="I40" i="11"/>
  <c r="G40" i="11" s="1"/>
  <c r="I39" i="11"/>
  <c r="G39" i="11" s="1"/>
  <c r="I38" i="11"/>
  <c r="G38" i="11" s="1"/>
  <c r="I37" i="11"/>
  <c r="G37" i="11" s="1"/>
  <c r="I36" i="11"/>
  <c r="G36" i="11" s="1"/>
  <c r="F19" i="11"/>
  <c r="F19" i="12"/>
  <c r="F22" i="12"/>
  <c r="L15" i="12"/>
  <c r="L14" i="12"/>
  <c r="F18" i="12"/>
  <c r="F17" i="12"/>
  <c r="F16" i="12"/>
  <c r="F14" i="12"/>
  <c r="F15" i="12"/>
  <c r="L15" i="11"/>
  <c r="L14" i="11"/>
  <c r="F16" i="11"/>
  <c r="F18" i="11"/>
  <c r="F17" i="11"/>
  <c r="F14" i="11"/>
  <c r="F15" i="11"/>
  <c r="I41" i="13" l="1"/>
  <c r="I70" i="13"/>
  <c r="I89" i="13"/>
  <c r="K82" i="13"/>
  <c r="J30" i="13"/>
  <c r="K30" i="13" s="1"/>
  <c r="J28" i="13"/>
  <c r="J29" i="13" s="1"/>
  <c r="K29" i="13" s="1"/>
  <c r="J45" i="13"/>
  <c r="K45" i="13" s="1"/>
  <c r="J38" i="13"/>
  <c r="K37" i="13"/>
  <c r="J39" i="13"/>
  <c r="I53" i="13"/>
  <c r="K53" i="13" s="1"/>
  <c r="E104" i="13" s="1"/>
  <c r="K41" i="13"/>
  <c r="D104" i="13" s="1"/>
  <c r="F75" i="13"/>
  <c r="H75" i="13" s="1"/>
  <c r="I63" i="13"/>
  <c r="K45" i="12"/>
  <c r="I53" i="12"/>
  <c r="K53" i="12" s="1"/>
  <c r="I63" i="12"/>
  <c r="G37" i="12"/>
  <c r="G39" i="12"/>
  <c r="K41" i="12"/>
  <c r="K82" i="12"/>
  <c r="K36" i="12"/>
  <c r="I70" i="12"/>
  <c r="I53" i="11"/>
  <c r="F22" i="11"/>
  <c r="K28" i="13" l="1"/>
  <c r="K39" i="13"/>
  <c r="J41" i="13"/>
  <c r="J40" i="13"/>
  <c r="K40" i="13" s="1"/>
  <c r="K38" i="13"/>
  <c r="J46" i="13"/>
  <c r="J39" i="12"/>
  <c r="J38" i="12"/>
  <c r="K37" i="12"/>
  <c r="J47" i="13" l="1"/>
  <c r="K46" i="13"/>
  <c r="J40" i="12"/>
  <c r="K40" i="12" s="1"/>
  <c r="J46" i="12"/>
  <c r="K38" i="12"/>
  <c r="J41" i="12"/>
  <c r="K39" i="12"/>
  <c r="J48" i="13" l="1"/>
  <c r="K47" i="13"/>
  <c r="J49" i="13"/>
  <c r="J47" i="12"/>
  <c r="K46" i="12"/>
  <c r="J52" i="13" l="1"/>
  <c r="K48" i="13"/>
  <c r="J50" i="13"/>
  <c r="J53" i="13"/>
  <c r="J61" i="13" s="1"/>
  <c r="K61" i="13" s="1"/>
  <c r="K49" i="13"/>
  <c r="J48" i="12"/>
  <c r="J49" i="12"/>
  <c r="K47" i="12"/>
  <c r="J60" i="13" l="1"/>
  <c r="K60" i="13" s="1"/>
  <c r="J57" i="13"/>
  <c r="K57" i="13" s="1"/>
  <c r="K52" i="13"/>
  <c r="J51" i="13"/>
  <c r="K50" i="13"/>
  <c r="J58" i="13"/>
  <c r="J53" i="12"/>
  <c r="J61" i="12" s="1"/>
  <c r="K61" i="12" s="1"/>
  <c r="J50" i="12"/>
  <c r="K49" i="12"/>
  <c r="J52" i="12"/>
  <c r="K48" i="12"/>
  <c r="J62" i="13" l="1"/>
  <c r="K58" i="13"/>
  <c r="K51" i="13"/>
  <c r="J59" i="13"/>
  <c r="J51" i="12"/>
  <c r="K50" i="12"/>
  <c r="J58" i="12"/>
  <c r="K52" i="12"/>
  <c r="J57" i="12"/>
  <c r="K57" i="12" s="1"/>
  <c r="J60" i="12"/>
  <c r="K60" i="12" s="1"/>
  <c r="J63" i="13" l="1"/>
  <c r="K59" i="13"/>
  <c r="K62" i="13"/>
  <c r="J67" i="13"/>
  <c r="J62" i="12"/>
  <c r="K58" i="12"/>
  <c r="J59" i="12"/>
  <c r="K51" i="12"/>
  <c r="K63" i="13" l="1"/>
  <c r="H104" i="13" s="1"/>
  <c r="J69" i="13"/>
  <c r="J68" i="13"/>
  <c r="K68" i="13" s="1"/>
  <c r="K67" i="13"/>
  <c r="K70" i="13"/>
  <c r="G104" i="13" s="1"/>
  <c r="K59" i="12"/>
  <c r="K63" i="12" s="1"/>
  <c r="J63" i="12"/>
  <c r="K62" i="12"/>
  <c r="J67" i="12"/>
  <c r="J77" i="13" l="1"/>
  <c r="J86" i="13" s="1"/>
  <c r="K77" i="13"/>
  <c r="I104" i="13" s="1"/>
  <c r="J75" i="13"/>
  <c r="J70" i="13"/>
  <c r="K69" i="13"/>
  <c r="J68" i="12"/>
  <c r="K68" i="12" s="1"/>
  <c r="J69" i="12"/>
  <c r="K67" i="12"/>
  <c r="K70" i="12"/>
  <c r="J76" i="13" l="1"/>
  <c r="K76" i="13" s="1"/>
  <c r="K75" i="13"/>
  <c r="K86" i="13"/>
  <c r="J87" i="13"/>
  <c r="K89" i="13"/>
  <c r="J70" i="12"/>
  <c r="J75" i="12"/>
  <c r="J77" i="12"/>
  <c r="J86" i="12" s="1"/>
  <c r="K69" i="12"/>
  <c r="K77" i="12"/>
  <c r="J88" i="13" l="1"/>
  <c r="K87" i="13"/>
  <c r="K86" i="12"/>
  <c r="J87" i="12"/>
  <c r="K89" i="12"/>
  <c r="J76" i="12"/>
  <c r="K76" i="12" s="1"/>
  <c r="K75" i="12"/>
  <c r="J89" i="13" l="1"/>
  <c r="J93" i="13" s="1"/>
  <c r="K88" i="13"/>
  <c r="J88" i="12"/>
  <c r="K87" i="12"/>
  <c r="J94" i="13" l="1"/>
  <c r="J98" i="13" s="1"/>
  <c r="K93" i="13"/>
  <c r="K94" i="13"/>
  <c r="J89" i="12"/>
  <c r="J93" i="12" s="1"/>
  <c r="K88" i="12"/>
  <c r="J99" i="13" l="1"/>
  <c r="K98" i="13"/>
  <c r="K99" i="13"/>
  <c r="J104" i="13" s="1"/>
  <c r="K104" i="13" s="1"/>
  <c r="K106" i="13" s="1"/>
  <c r="J94" i="12"/>
  <c r="J98" i="12" s="1"/>
  <c r="K93" i="12"/>
  <c r="K94" i="12"/>
  <c r="J99" i="12" l="1"/>
  <c r="K98" i="12"/>
  <c r="K99" i="12"/>
  <c r="J104" i="12" s="1"/>
  <c r="K104" i="12" s="1"/>
  <c r="K106" i="12" s="1"/>
  <c r="I99" i="11" l="1"/>
  <c r="I117" i="11" s="1"/>
  <c r="I89" i="11" l="1"/>
  <c r="I63" i="11"/>
  <c r="I41" i="11" l="1"/>
  <c r="J82" i="11" l="1"/>
  <c r="K41" i="11"/>
  <c r="M99" i="11" l="1"/>
  <c r="I94" i="11"/>
  <c r="I82" i="11"/>
  <c r="K81" i="11"/>
  <c r="I32" i="12"/>
  <c r="J32" i="12"/>
  <c r="J31" i="12"/>
  <c r="K82" i="11" l="1"/>
  <c r="A2" i="14"/>
  <c r="M94" i="11"/>
  <c r="K32" i="12"/>
  <c r="A104" i="12" s="1"/>
  <c r="M89" i="11" l="1"/>
  <c r="M82" i="11"/>
  <c r="J32" i="11" l="1"/>
  <c r="I76" i="11" l="1"/>
  <c r="F76" i="11" s="1"/>
  <c r="I75" i="11"/>
  <c r="F75" i="11" s="1"/>
  <c r="J36" i="11" l="1"/>
  <c r="F27" i="12" l="1"/>
  <c r="F28" i="12"/>
  <c r="F29" i="12"/>
  <c r="F30" i="12"/>
  <c r="F31" i="12"/>
  <c r="F26" i="12"/>
  <c r="I105" i="11" l="1"/>
  <c r="H76" i="11"/>
  <c r="H75" i="11"/>
  <c r="I70" i="11"/>
  <c r="H31" i="12"/>
  <c r="I31" i="12" s="1"/>
  <c r="H30" i="12"/>
  <c r="I30" i="12" s="1"/>
  <c r="H29" i="12"/>
  <c r="I29" i="12" s="1"/>
  <c r="H28" i="12"/>
  <c r="I28" i="12" s="1"/>
  <c r="H27" i="12"/>
  <c r="I27" i="12" s="1"/>
  <c r="J26" i="12"/>
  <c r="J27" i="12" s="1"/>
  <c r="H26" i="12"/>
  <c r="I26" i="12" s="1"/>
  <c r="M105" i="11" l="1"/>
  <c r="K53" i="11"/>
  <c r="J30" i="12"/>
  <c r="K30" i="12" s="1"/>
  <c r="J28" i="12"/>
  <c r="K26" i="12"/>
  <c r="K27" i="12"/>
  <c r="M63" i="11" l="1"/>
  <c r="M70" i="11"/>
  <c r="M39" i="11"/>
  <c r="M53" i="11"/>
  <c r="N53" i="11" s="1"/>
  <c r="J29" i="12"/>
  <c r="K28" i="12"/>
  <c r="K31" i="12" l="1"/>
  <c r="K29" i="12"/>
  <c r="J45" i="11" l="1"/>
  <c r="K45" i="11" s="1"/>
  <c r="J37" i="11"/>
  <c r="K36" i="11"/>
  <c r="J38" i="11" l="1"/>
  <c r="J40" i="11" s="1"/>
  <c r="K40" i="11" s="1"/>
  <c r="J39" i="11"/>
  <c r="K37" i="11"/>
  <c r="K39" i="11" l="1"/>
  <c r="J41" i="11"/>
  <c r="J46" i="11"/>
  <c r="K38" i="11"/>
  <c r="D115" i="11" s="1"/>
  <c r="J47" i="11" l="1"/>
  <c r="J48" i="11" s="1"/>
  <c r="K46" i="11"/>
  <c r="J49" i="11" l="1"/>
  <c r="J53" i="11" s="1"/>
  <c r="J61" i="11" s="1"/>
  <c r="K61" i="11" s="1"/>
  <c r="K47" i="11"/>
  <c r="J52" i="11" l="1"/>
  <c r="J60" i="11" s="1"/>
  <c r="K60" i="11" s="1"/>
  <c r="K48" i="11"/>
  <c r="J50" i="11"/>
  <c r="J51" i="11" s="1"/>
  <c r="K49" i="11"/>
  <c r="J59" i="11" l="1"/>
  <c r="K51" i="11"/>
  <c r="J58" i="11"/>
  <c r="K50" i="11"/>
  <c r="J57" i="11"/>
  <c r="K57" i="11" s="1"/>
  <c r="K52" i="11"/>
  <c r="J63" i="11" l="1"/>
  <c r="K59" i="11"/>
  <c r="E115" i="11"/>
  <c r="J62" i="11"/>
  <c r="K58" i="11"/>
  <c r="J67" i="11" l="1"/>
  <c r="K62" i="11"/>
  <c r="K63" i="11" s="1"/>
  <c r="J68" i="11" l="1"/>
  <c r="K68" i="11" s="1"/>
  <c r="K67" i="11"/>
  <c r="K70" i="11"/>
  <c r="J69" i="11"/>
  <c r="J70" i="11" s="1"/>
  <c r="K69" i="11" l="1"/>
  <c r="J77" i="11"/>
  <c r="J86" i="11" s="1"/>
  <c r="J75" i="11"/>
  <c r="G115" i="11"/>
  <c r="J87" i="11" l="1"/>
  <c r="K86" i="11"/>
  <c r="K89" i="11"/>
  <c r="J76" i="11"/>
  <c r="K75" i="11"/>
  <c r="I77" i="11"/>
  <c r="M22" i="11" l="1"/>
  <c r="J88" i="11"/>
  <c r="K87" i="11"/>
  <c r="M77" i="11"/>
  <c r="K77" i="11"/>
  <c r="I115" i="11" s="1"/>
  <c r="G32" i="11"/>
  <c r="J103" i="11"/>
  <c r="K76" i="11"/>
  <c r="K103" i="11" l="1"/>
  <c r="K105" i="11"/>
  <c r="J89" i="11"/>
  <c r="J93" i="11" s="1"/>
  <c r="K88" i="11"/>
  <c r="J104" i="11"/>
  <c r="K104" i="11" s="1"/>
  <c r="I32" i="11" l="1"/>
  <c r="J94" i="11"/>
  <c r="J98" i="11" s="1"/>
  <c r="K93" i="11"/>
  <c r="K94" i="11"/>
  <c r="A8" i="14" l="1"/>
  <c r="K32" i="11"/>
  <c r="A115" i="11" s="1"/>
  <c r="M32" i="11"/>
  <c r="N32" i="11" s="1"/>
  <c r="J99" i="11"/>
  <c r="K98" i="11"/>
  <c r="K99" i="11"/>
  <c r="J115" i="11" s="1"/>
  <c r="K115" i="11" s="1"/>
  <c r="K117" i="11" s="1"/>
  <c r="B2" i="14" l="1"/>
</calcChain>
</file>

<file path=xl/sharedStrings.xml><?xml version="1.0" encoding="utf-8"?>
<sst xmlns="http://schemas.openxmlformats.org/spreadsheetml/2006/main" count="608" uniqueCount="124">
  <si>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</si>
  <si>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</si>
  <si>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</si>
  <si>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</si>
  <si>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</si>
  <si>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</si>
  <si>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</si>
  <si>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</si>
  <si>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</si>
  <si>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</si>
  <si>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</si>
  <si>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</si>
  <si>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</si>
  <si>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</si>
  <si>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</si>
  <si>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</si>
  <si>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</si>
  <si>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</si>
  <si>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</si>
  <si>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</si>
  <si>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</si>
  <si>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</si>
  <si>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</si>
  <si>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</si>
  <si>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</si>
  <si>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</si>
  <si>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</si>
  <si>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</si>
  <si>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</si>
  <si>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</si>
  <si>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</si>
  <si>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</si>
  <si>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</si>
  <si>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</si>
  <si>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</si>
  <si>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</si>
  <si>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</si>
  <si>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</si>
  <si>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</si>
  <si>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Заместитель директора по основной деятельности</t>
  </si>
  <si>
    <t>Директор</t>
  </si>
  <si>
    <t>Библиотекарь</t>
  </si>
  <si>
    <t>Заведующий отделом</t>
  </si>
  <si>
    <t>Заведующий филиалом</t>
  </si>
  <si>
    <t>Редактор</t>
  </si>
  <si>
    <t>Обслуживание программы Ирбис</t>
  </si>
  <si>
    <t>Зам. директора (по основной деятельности)</t>
  </si>
  <si>
    <t xml:space="preserve">Директор МБУК "ЦБС"                                                                                                   </t>
  </si>
  <si>
    <t>О. С. Рогачева</t>
  </si>
  <si>
    <t>8(39155) 7-45-95</t>
  </si>
  <si>
    <t>Утверждаю</t>
  </si>
  <si>
    <t xml:space="preserve">Приказ № _____  от   _________________ </t>
  </si>
  <si>
    <t>_________________________ Н.Н.Гурулев</t>
  </si>
  <si>
    <t>ИСХОДНЫЕ ДАННЫЕ И РЕЗУЛЬТАТЫ РАСЧЕТОВ МБУК "ЦБС" г.НАЗАРОВО</t>
  </si>
  <si>
    <r>
      <t xml:space="preserve">Услуга: </t>
    </r>
    <r>
      <rPr>
        <sz val="11"/>
        <color theme="1"/>
        <rFont val="Times New Roman"/>
        <family val="1"/>
        <charset val="204"/>
      </rPr>
      <t>Библиотечное, библиографическое и информационное обслуживание пользователей библиотеки.</t>
    </r>
  </si>
  <si>
    <t xml:space="preserve">Библиограф </t>
  </si>
  <si>
    <t xml:space="preserve">Нормативный объем </t>
  </si>
  <si>
    <t xml:space="preserve">Тариф (цена), рублей </t>
  </si>
  <si>
    <t>ТО средств пожарной сигнализации</t>
  </si>
  <si>
    <t>Услуги по дератизации и дезинсекции помещений</t>
  </si>
  <si>
    <t>Плата за содержание и текущий ремонт общего имущества МКД</t>
  </si>
  <si>
    <r>
      <t>Содержание услуги: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</si>
  <si>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t>Штатное расписание: 40,5 человек</t>
  </si>
  <si>
    <r>
      <t>Работа:</t>
    </r>
    <r>
      <rPr>
        <sz val="11"/>
        <color theme="1"/>
        <rFont val="Times New Roman"/>
        <family val="1"/>
        <charset val="204"/>
      </rPr>
      <t xml:space="preserve"> Библиографическая обработка документов и создание каталогов  </t>
    </r>
  </si>
  <si>
    <t>Специалист по библиотечно-выставочной работе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</si>
  <si>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</si>
  <si>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</si>
  <si>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</si>
  <si>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</si>
  <si>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Итого работники,  связанные с оказанием услуг</t>
  </si>
  <si>
    <t>СВОД (рубли)</t>
  </si>
  <si>
    <t>СВОД (норматив)</t>
  </si>
  <si>
    <t>Сумма в год</t>
  </si>
  <si>
    <t>объекты</t>
  </si>
  <si>
    <t>Итого содержание объектов недвиж.имущества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</si>
  <si>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</si>
  <si>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</si>
  <si>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</si>
  <si>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</si>
  <si>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</si>
  <si>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</si>
  <si>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</si>
  <si>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Итого прочие расходы</t>
  </si>
  <si>
    <t>Прочие затраты</t>
  </si>
  <si>
    <t>БАЗОВОГО НОРМАТИВА ЗАТРАТ НА ОКАЗАНИЕ МУНИЦИПАЛЬНЫХ УСЛУГ (РАБОТ)</t>
  </si>
  <si>
    <r>
      <t>Содержание работы: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</si>
  <si>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r>
      <t>Планируемое число документов в год:</t>
    </r>
    <r>
      <rPr>
        <sz val="11"/>
        <color theme="1"/>
        <rFont val="Times New Roman"/>
        <family val="1"/>
        <charset val="204"/>
      </rPr>
      <t xml:space="preserve"> ед. </t>
    </r>
  </si>
  <si>
    <r>
      <t>Планируемое число потребителей услуги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</si>
  <si>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Комплектование книжных фондов</t>
  </si>
  <si>
    <t>Услуги междугородней связи</t>
  </si>
  <si>
    <t>Членские взносы в Краевое библиотечное агенство</t>
  </si>
  <si>
    <t>Лонская Клавдия Алексеевна</t>
  </si>
  <si>
    <t>Гкал.</t>
  </si>
  <si>
    <t>кВт</t>
  </si>
  <si>
    <t>м3</t>
  </si>
  <si>
    <t>Антивирус Касперского</t>
  </si>
  <si>
    <t>Спил деревьев на прилегающей территрории</t>
  </si>
  <si>
    <t>Ремонт электроосвещения в ЦГБ</t>
  </si>
  <si>
    <t>Обустройство второго эвакуационного выхода</t>
  </si>
  <si>
    <t>Затраты на пособия по социальной помощи населению</t>
  </si>
  <si>
    <t>Компенс.выпл.раб.по уходу за ребенком до 3-х лет</t>
  </si>
  <si>
    <t>Итого затраты на пособия</t>
  </si>
  <si>
    <t>Затраты на прочие оборотные запасы</t>
  </si>
  <si>
    <t>Итого прочие запасы</t>
  </si>
  <si>
    <t>Канцелярские товары, хозяйственные товары</t>
  </si>
  <si>
    <t>Мероприятия</t>
  </si>
  <si>
    <t>Затраты на материальные запасы однократного применения</t>
  </si>
  <si>
    <t xml:space="preserve">Итого затраты </t>
  </si>
  <si>
    <t>Призовая продукция</t>
  </si>
  <si>
    <t>Затраты на увеличение стоимости основных средств</t>
  </si>
  <si>
    <t>Участие в ежегодной конференции российской библиотечной ассоциации</t>
  </si>
  <si>
    <t>Разработка программы энергосбережения учреждения в Межрегиональной Энргосберегающей компании</t>
  </si>
  <si>
    <t>Типографские работы, приобретение  бибтехники</t>
  </si>
  <si>
    <t>ПР</t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</si>
  <si>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библиотек, включая оцифровку фондов</t>
    </r>
  </si>
  <si>
    <t>Исп.</t>
  </si>
  <si>
    <t>МЗ</t>
  </si>
  <si>
    <t>НА 2022г.</t>
  </si>
  <si>
    <r>
      <t xml:space="preserve">Наименование показателя объема: 27405 </t>
    </r>
    <r>
      <rPr>
        <sz val="11"/>
        <color theme="1"/>
        <rFont val="Times New Roman"/>
        <family val="1"/>
        <charset val="204"/>
      </rPr>
      <t>человек</t>
    </r>
  </si>
  <si>
    <r>
      <t>Наименование показателя объема: 144419</t>
    </r>
    <r>
      <rPr>
        <sz val="11"/>
        <color theme="1"/>
        <rFont val="Times New Roman"/>
        <family val="1"/>
        <charset val="204"/>
      </rPr>
      <t xml:space="preserve"> ед. документов</t>
    </r>
  </si>
  <si>
    <t>Заправка картриджа</t>
  </si>
  <si>
    <t>Услуги по демеркуризации</t>
  </si>
  <si>
    <t>Подписка и доставка периодических изданий</t>
  </si>
  <si>
    <t>Компенс.выплата работнику по уходу за ребенком до 3-х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</si>
</sst>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4" fontId="0" fillId="0" borderId="0" xfId="0" applyNumberFormat="1"/>
    <xf numFmtId="4" fontId="0" fillId="0" borderId="0" xfId="0" applyNumberFormat="1" applyFont="1"/>
    <xf numFmtId="4" fontId="9" fillId="0" borderId="1" xfId="0" applyNumberFormat="1" applyFont="1" applyBorder="1" applyAlignment="1"/>
    <xf numFmtId="4" fontId="9" fillId="0" borderId="0" xfId="0" applyNumberFormat="1" applyFont="1" applyBorder="1" applyAlignment="1"/>
    <xf numFmtId="4" fontId="0" fillId="0" borderId="1" xfId="0" applyNumberFormat="1" applyBorder="1" applyAlignment="1">
      <alignment horizontal="center"/>
    </xf>
    <xf numFmtId="4" fontId="1" fillId="0" borderId="0" xfId="0" applyNumberFormat="1" applyFont="1"/>
    <xf numFmtId="4" fontId="12" fillId="0" borderId="0" xfId="0" applyNumberFormat="1" applyFont="1"/>
    <xf numFmtId="4" fontId="9" fillId="0" borderId="0" xfId="0" applyNumberFormat="1" applyFont="1"/>
    <xf numFmtId="4" fontId="9" fillId="0" borderId="5" xfId="0" applyNumberFormat="1" applyFont="1" applyBorder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/>
    <xf numFmtId="4" fontId="1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" fillId="0" borderId="0" xfId="0" applyNumberFormat="1" applyFont="1" applyBorder="1" applyAlignment="1">
      <alignment horizontal="left"/>
    </xf>
    <xf numFmtId="4" fontId="9" fillId="0" borderId="0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7" xfId="0" applyNumberFormat="1" applyFont="1" applyBorder="1" applyAlignment="1">
      <alignment wrapText="1"/>
    </xf>
    <xf numFmtId="4" fontId="1" fillId="0" borderId="2" xfId="0" applyNumberFormat="1" applyFont="1" applyBorder="1"/>
    <xf numFmtId="4" fontId="1" fillId="0" borderId="7" xfId="0" applyNumberFormat="1" applyFont="1" applyBorder="1"/>
    <xf numFmtId="4" fontId="1" fillId="0" borderId="1" xfId="0" applyNumberFormat="1" applyFont="1" applyBorder="1" applyAlignment="1">
      <alignment horizontal="left"/>
    </xf>
    <xf numFmtId="4" fontId="9" fillId="0" borderId="1" xfId="0" applyNumberFormat="1" applyFont="1" applyBorder="1"/>
    <xf numFmtId="4" fontId="9" fillId="0" borderId="0" xfId="0" applyNumberFormat="1" applyFont="1" applyAlignment="1">
      <alignment horizontal="center"/>
    </xf>
    <xf numFmtId="4" fontId="1" fillId="0" borderId="0" xfId="0" applyNumberFormat="1" applyFont="1" applyBorder="1"/>
    <xf numFmtId="4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4" fontId="9" fillId="0" borderId="6" xfId="0" applyNumberFormat="1" applyFont="1" applyBorder="1" applyAlignment="1">
      <alignment horizontal="left"/>
    </xf>
    <xf numFmtId="4" fontId="1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9" fillId="0" borderId="0" xfId="0" applyNumberFormat="1" applyFont="1" applyBorder="1"/>
    <xf numFmtId="4" fontId="10" fillId="0" borderId="1" xfId="0" applyNumberFormat="1" applyFont="1" applyBorder="1"/>
    <xf numFmtId="4" fontId="9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left"/>
    </xf>
    <xf numFmtId="4" fontId="9" fillId="0" borderId="5" xfId="0" applyNumberFormat="1" applyFont="1" applyBorder="1"/>
    <xf numFmtId="4" fontId="10" fillId="0" borderId="0" xfId="0" applyNumberFormat="1" applyFont="1"/>
    <xf numFmtId="4" fontId="6" fillId="0" borderId="0" xfId="0" applyNumberFormat="1" applyFont="1"/>
    <xf numFmtId="4" fontId="5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1" fillId="0" borderId="0" xfId="0" applyNumberFormat="1" applyFont="1"/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9" fillId="0" borderId="0" xfId="0" applyNumberFormat="1" applyFont="1" applyAlignment="1">
      <alignment horizontal="center"/>
    </xf>
    <xf numFmtId="164" fontId="1" fillId="0" borderId="1" xfId="0" applyNumberFormat="1" applyFont="1" applyBorder="1"/>
    <xf numFmtId="4" fontId="10" fillId="0" borderId="4" xfId="0" applyNumberFormat="1" applyFont="1" applyBorder="1"/>
    <xf numFmtId="4" fontId="1" fillId="0" borderId="9" xfId="0" applyNumberFormat="1" applyFont="1" applyBorder="1" applyAlignment="1">
      <alignment vertical="top"/>
    </xf>
    <xf numFmtId="4" fontId="1" fillId="0" borderId="9" xfId="0" applyNumberFormat="1" applyFont="1" applyFill="1" applyBorder="1" applyAlignment="1">
      <alignment vertical="top"/>
    </xf>
    <xf numFmtId="4" fontId="9" fillId="4" borderId="8" xfId="0" applyNumberFormat="1" applyFont="1" applyFill="1" applyBorder="1" applyAlignment="1">
      <alignment vertical="top"/>
    </xf>
    <xf numFmtId="4" fontId="1" fillId="0" borderId="2" xfId="0" applyNumberFormat="1" applyFont="1" applyBorder="1"/>
    <xf numFmtId="4" fontId="1" fillId="0" borderId="9" xfId="0" applyNumberFormat="1" applyFont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3" xfId="0" applyNumberFormat="1" applyFont="1" applyBorder="1"/>
    <xf numFmtId="4" fontId="1" fillId="0" borderId="10" xfId="0" applyNumberFormat="1" applyFont="1" applyBorder="1"/>
    <xf numFmtId="4" fontId="1" fillId="0" borderId="9" xfId="0" applyNumberFormat="1" applyFont="1" applyBorder="1"/>
    <xf numFmtId="4" fontId="9" fillId="0" borderId="8" xfId="0" applyNumberFormat="1" applyFont="1" applyBorder="1" applyAlignment="1"/>
    <xf numFmtId="4" fontId="9" fillId="0" borderId="3" xfId="0" applyNumberFormat="1" applyFont="1" applyBorder="1" applyAlignment="1"/>
    <xf numFmtId="4" fontId="9" fillId="0" borderId="3" xfId="0" applyNumberFormat="1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4" fontId="13" fillId="2" borderId="8" xfId="0" applyNumberFormat="1" applyFont="1" applyFill="1" applyBorder="1"/>
    <xf numFmtId="4" fontId="1" fillId="0" borderId="13" xfId="0" applyNumberFormat="1" applyFont="1" applyBorder="1" applyAlignment="1">
      <alignment horizontal="center" wrapText="1"/>
    </xf>
    <xf numFmtId="4" fontId="9" fillId="0" borderId="8" xfId="0" applyNumberFormat="1" applyFont="1" applyBorder="1"/>
    <xf numFmtId="4" fontId="9" fillId="0" borderId="2" xfId="0" applyNumberFormat="1" applyFont="1" applyBorder="1" applyAlignment="1">
      <alignment wrapText="1"/>
    </xf>
    <xf numFmtId="4" fontId="0" fillId="3" borderId="11" xfId="0" applyNumberFormat="1" applyFill="1" applyBorder="1"/>
    <xf numFmtId="4" fontId="0" fillId="3" borderId="12" xfId="0" applyNumberFormat="1" applyFill="1" applyBorder="1"/>
    <xf numFmtId="4" fontId="0" fillId="4" borderId="0" xfId="0" applyNumberFormat="1" applyFill="1"/>
    <xf numFmtId="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1" xfId="0" applyNumberFormat="1" applyFont="1" applyBorder="1" applyAlignment="1">
      <alignment vertical="top"/>
    </xf>
    <xf numFmtId="4" fontId="1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3" fillId="0" borderId="0" xfId="0" applyNumberFormat="1" applyFont="1" applyAlignment="1"/>
    <xf numFmtId="4" fontId="0" fillId="0" borderId="0" xfId="0" applyNumberFormat="1" applyAlignment="1"/>
    <xf numFmtId="4" fontId="9" fillId="0" borderId="0" xfId="0" applyNumberFormat="1" applyFont="1" applyAlignment="1">
      <alignment wrapText="1"/>
    </xf>
    <xf numFmtId="4" fontId="1" fillId="0" borderId="0" xfId="0" applyNumberFormat="1" applyFont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9" fillId="0" borderId="2" xfId="0" applyNumberFormat="1" applyFont="1" applyBorder="1" applyAlignment="1">
      <alignment horizontal="left" wrapText="1"/>
    </xf>
    <xf numFmtId="4" fontId="9" fillId="0" borderId="3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left" vertical="top" wrapText="1"/>
    </xf>
    <xf numFmtId="4" fontId="10" fillId="0" borderId="3" xfId="0" applyNumberFormat="1" applyFont="1" applyBorder="1" applyAlignment="1">
      <alignment horizontal="left" vertical="top" wrapText="1"/>
    </xf>
    <xf numFmtId="4" fontId="10" fillId="0" borderId="4" xfId="0" applyNumberFormat="1" applyFont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left" vertical="top" wrapText="1"/>
    </xf>
    <xf numFmtId="4" fontId="9" fillId="3" borderId="0" xfId="0" applyNumberFormat="1" applyFont="1" applyFill="1" applyAlignment="1">
      <alignment horizontal="center"/>
    </xf>
    <xf numFmtId="4" fontId="9" fillId="0" borderId="2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4" fontId="3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4" fontId="9" fillId="3" borderId="5" xfId="0" applyNumberFormat="1" applyFont="1" applyFill="1" applyBorder="1" applyAlignment="1">
      <alignment horizontal="center"/>
    </xf>
    <xf numFmtId="4" fontId="9" fillId="3" borderId="0" xfId="0" applyNumberFormat="1" applyFont="1" applyFill="1" applyBorder="1" applyAlignment="1">
      <alignment horizontal="center"/>
    </xf>
    <xf numFmtId="4" fontId="1" fillId="0" borderId="9" xfId="0" applyNumberFormat="1" applyFont="1" applyBorder="1" applyAlignment="1">
      <alignment horizontal="center" wrapText="1"/>
    </xf>
    <xf numFmtId="4" fontId="1" fillId="0" borderId="11" xfId="0" applyNumberFormat="1" applyFont="1" applyBorder="1"/>
    <xf numFmtId="4" fontId="1" fillId="0" borderId="12" xfId="0" applyNumberFormat="1" applyFont="1" applyBorder="1"/>
    <xf numFmtId="4" fontId="1" fillId="0" borderId="1" xfId="0" applyNumberFormat="1" applyFont="1" applyBorder="1" applyAlignment="1">
      <alignment horizontal="left" wrapText="1"/>
    </xf>
    <xf numFmtId="4" fontId="9" fillId="0" borderId="0" xfId="0" applyNumberFormat="1" applyFont="1" applyAlignment="1">
      <alignment horizontal="left"/>
    </xf>
    <xf numFmtId="4" fontId="0" fillId="0" borderId="3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4" fontId="9" fillId="0" borderId="5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3" sqref="B3"/>
    </sheetView>
  </sheetViews>
  <sheetFormatPr defaultRowHeight="15" x14ac:dyDescent="0.25"/>
  <cols>
    <col min="1" max="2" width="17.5703125" customWidth="1"/>
  </cols>
  <sheetData>
    <row r="1" spans="1:7" ht="42" customHeight="1" x14ac:dyDescent="0.25">
      <c r="A1" s="3" t="s">
        <v>70</v>
      </c>
      <c r="B1" s="3" t="s">
        <v>71</v>
      </c>
    </row>
    <row r="2" spans="1:7" ht="42" customHeight="1" x14ac:dyDescent="0.25">
      <c r="A2" s="8">
        <f>'Услуга №1  '!I117+'Работа №1'!I106+'Работа №2'!I106</f>
        <v>21379209.990000002</v>
      </c>
      <c r="B2" s="8">
        <f>'Услуга №1  '!K117+'Работа №1'!K106+'Работа №2'!K106</f>
        <v>21379209.990000002</v>
      </c>
    </row>
    <row r="4" spans="1:7" ht="15.75" thickBot="1" x14ac:dyDescent="0.3">
      <c r="A4" s="4"/>
    </row>
    <row r="5" spans="1:7" ht="15.75" thickBot="1" x14ac:dyDescent="0.3">
      <c r="A5" s="78">
        <v>21379210</v>
      </c>
      <c r="B5" s="79" t="s">
        <v>116</v>
      </c>
      <c r="C5" s="4"/>
      <c r="D5" s="4"/>
      <c r="E5" s="4"/>
      <c r="F5" s="4"/>
      <c r="G5" s="4"/>
    </row>
    <row r="6" spans="1:7" x14ac:dyDescent="0.25">
      <c r="A6" s="4"/>
      <c r="B6" s="4"/>
      <c r="C6" s="4"/>
      <c r="D6" s="4"/>
      <c r="E6" s="4"/>
      <c r="F6" s="4"/>
      <c r="G6" s="4"/>
    </row>
    <row r="7" spans="1:7" x14ac:dyDescent="0.25">
      <c r="A7" s="4"/>
      <c r="B7" s="4"/>
      <c r="C7" s="4"/>
      <c r="D7" s="4"/>
      <c r="E7" s="4"/>
      <c r="F7" s="4"/>
      <c r="G7" s="4"/>
    </row>
    <row r="8" spans="1:7" x14ac:dyDescent="0.25">
      <c r="A8" s="4">
        <f>A5-A2</f>
        <v>9.9999979138374329E-3</v>
      </c>
      <c r="B8" s="4"/>
      <c r="C8" s="4"/>
      <c r="D8" s="4"/>
      <c r="E8" s="4"/>
      <c r="F8" s="4"/>
      <c r="G8" s="4"/>
    </row>
    <row r="9" spans="1:7" x14ac:dyDescent="0.25">
      <c r="A9" s="4"/>
      <c r="B9" s="4"/>
      <c r="C9" s="4"/>
      <c r="D9" s="4"/>
      <c r="E9" s="4"/>
      <c r="F9" s="4"/>
      <c r="G9" s="4"/>
    </row>
    <row r="10" spans="1:7" x14ac:dyDescent="0.25">
      <c r="A10" s="4"/>
      <c r="B10" s="4"/>
      <c r="C10" s="4"/>
      <c r="D10" s="4"/>
      <c r="E10" s="4"/>
      <c r="F10" s="4"/>
      <c r="G10" s="4"/>
    </row>
    <row r="11" spans="1:7" x14ac:dyDescent="0.25">
      <c r="A11" s="4"/>
      <c r="B11" s="4"/>
      <c r="C11" s="4"/>
      <c r="D11" s="4"/>
      <c r="E11" s="4"/>
      <c r="F11" s="4"/>
      <c r="G11" s="4"/>
    </row>
    <row r="12" spans="1:7" x14ac:dyDescent="0.25">
      <c r="A12" s="4"/>
      <c r="B12" s="4"/>
      <c r="C12" s="4"/>
      <c r="D12" s="4"/>
      <c r="E12" s="4"/>
      <c r="F12" s="4"/>
      <c r="G12" s="4"/>
    </row>
    <row r="13" spans="1:7" x14ac:dyDescent="0.25">
      <c r="A13" s="4"/>
      <c r="B13" s="4"/>
      <c r="C13" s="4"/>
      <c r="D13" s="4"/>
      <c r="E13" s="4"/>
      <c r="F13" s="4"/>
      <c r="G13" s="4"/>
    </row>
    <row r="14" spans="1:7" x14ac:dyDescent="0.25">
      <c r="A14" s="4"/>
      <c r="B14" s="4"/>
      <c r="C14" s="4"/>
      <c r="D14" s="4"/>
      <c r="E14" s="4"/>
      <c r="F14" s="4"/>
      <c r="G14" s="4"/>
    </row>
    <row r="15" spans="1:7" x14ac:dyDescent="0.25">
      <c r="A15" s="4"/>
      <c r="B15" s="4"/>
      <c r="C15" s="4"/>
      <c r="D15" s="4"/>
      <c r="E15" s="4"/>
      <c r="F15" s="4"/>
      <c r="G15" s="4"/>
    </row>
    <row r="16" spans="1:7" x14ac:dyDescent="0.25">
      <c r="A16" s="4"/>
      <c r="B16" s="4"/>
      <c r="C16" s="4"/>
      <c r="D16" s="4"/>
      <c r="E16" s="4"/>
      <c r="F16" s="4"/>
      <c r="G16" s="4"/>
    </row>
    <row r="17" spans="1:7" x14ac:dyDescent="0.25">
      <c r="A17" s="4"/>
      <c r="B17" s="4"/>
      <c r="C17" s="4"/>
      <c r="D17" s="4"/>
      <c r="E17" s="4"/>
      <c r="F17" s="4"/>
      <c r="G17" s="4"/>
    </row>
    <row r="18" spans="1:7" x14ac:dyDescent="0.25">
      <c r="A18" s="4"/>
      <c r="B18" s="4"/>
      <c r="C18" s="4"/>
      <c r="D18" s="4"/>
      <c r="E18" s="4"/>
      <c r="F18" s="4"/>
      <c r="G18" s="4"/>
    </row>
    <row r="19" spans="1:7" x14ac:dyDescent="0.25">
      <c r="A19" s="4"/>
      <c r="B19" s="4"/>
      <c r="C19" s="4"/>
      <c r="D19" s="4"/>
      <c r="E19" s="4"/>
      <c r="F19" s="4"/>
      <c r="G19" s="4"/>
    </row>
    <row r="20" spans="1:7" x14ac:dyDescent="0.25">
      <c r="A20" s="4"/>
      <c r="B20" s="4"/>
      <c r="C20" s="4"/>
      <c r="D20" s="4"/>
      <c r="E20" s="4"/>
      <c r="F20" s="4"/>
      <c r="G20" s="4"/>
    </row>
    <row r="21" spans="1:7" x14ac:dyDescent="0.25">
      <c r="A21" s="4"/>
      <c r="B21" s="4"/>
      <c r="C21" s="4"/>
      <c r="D21" s="4"/>
      <c r="E21" s="4"/>
      <c r="F21" s="4"/>
      <c r="G21" s="4"/>
    </row>
    <row r="22" spans="1:7" x14ac:dyDescent="0.25">
      <c r="A22" s="4"/>
      <c r="B22" s="4"/>
      <c r="C22" s="4"/>
      <c r="D22" s="4"/>
      <c r="E22" s="4"/>
      <c r="F22" s="4"/>
      <c r="G22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2"/>
  <sheetViews>
    <sheetView tabSelected="1" topLeftCell="A35" zoomScale="80" zoomScaleNormal="80" workbookViewId="0">
      <selection activeCell="A115" sqref="A115:J115"/>
    </sheetView>
  </sheetViews>
  <sheetFormatPr defaultRowHeight="15" x14ac:dyDescent="0.25"/>
  <cols>
    <col min="1" max="4" width="9.140625" style="4"/>
    <col min="5" max="5" width="9.85546875" style="4" customWidth="1"/>
    <col min="6" max="6" width="13.7109375" style="4" customWidth="1"/>
    <col min="7" max="7" width="14.28515625" style="4" customWidth="1"/>
    <col min="8" max="8" width="17.42578125" style="4" customWidth="1"/>
    <col min="9" max="9" width="13.7109375" style="4" customWidth="1"/>
    <col min="10" max="10" width="14.5703125" style="4" customWidth="1"/>
    <col min="11" max="11" width="16.42578125" style="4" customWidth="1"/>
    <col min="12" max="12" width="14" style="4" customWidth="1"/>
    <col min="13" max="13" width="13.28515625" style="4" hidden="1" customWidth="1"/>
    <col min="14" max="14" width="13.5703125" style="4" hidden="1" customWidth="1"/>
    <col min="15" max="15" width="12.42578125" style="4" bestFit="1" customWidth="1"/>
    <col min="16" max="16384" width="9.140625" style="4"/>
  </cols>
  <sheetData>
    <row r="1" spans="1:15" ht="15.75" x14ac:dyDescent="0.25">
      <c r="A1" s="120" t="s">
        <v>50</v>
      </c>
      <c r="B1" s="120"/>
      <c r="C1" s="120"/>
      <c r="D1" s="120"/>
      <c r="E1" s="13"/>
      <c r="F1" s="13"/>
    </row>
    <row r="2" spans="1:15" ht="15.75" x14ac:dyDescent="0.25">
      <c r="A2" s="120" t="s">
        <v>51</v>
      </c>
      <c r="B2" s="120"/>
      <c r="C2" s="91"/>
      <c r="D2" s="91"/>
      <c r="E2" s="91"/>
      <c r="F2" s="91"/>
    </row>
    <row r="3" spans="1:15" ht="15.75" x14ac:dyDescent="0.25">
      <c r="A3" s="90" t="s">
        <v>52</v>
      </c>
      <c r="B3" s="90"/>
      <c r="C3" s="90"/>
      <c r="D3" s="91"/>
      <c r="E3" s="91"/>
      <c r="F3" s="13"/>
    </row>
    <row r="4" spans="1:15" ht="9.75" customHeight="1" x14ac:dyDescent="0.25">
      <c r="A4" s="14"/>
      <c r="B4" s="14"/>
      <c r="C4" s="14"/>
      <c r="D4" s="15"/>
      <c r="E4" s="13"/>
      <c r="F4" s="13"/>
    </row>
    <row r="5" spans="1:15" ht="12.75" customHeight="1" x14ac:dyDescent="0.25">
      <c r="A5" s="90"/>
      <c r="B5" s="90"/>
      <c r="C5" s="90"/>
      <c r="D5" s="15"/>
      <c r="E5" s="13"/>
      <c r="F5" s="13"/>
    </row>
    <row r="6" spans="1:15" ht="15.75" x14ac:dyDescent="0.25">
      <c r="A6" s="121" t="s">
        <v>53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5" ht="15.75" x14ac:dyDescent="0.25">
      <c r="A7" s="121" t="s">
        <v>84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5" ht="14.25" customHeight="1" x14ac:dyDescent="0.25">
      <c r="A8" s="122" t="s">
        <v>117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5" ht="18.75" customHeight="1" x14ac:dyDescent="0.25">
      <c r="A9" s="92" t="s">
        <v>54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16"/>
      <c r="N9" s="17"/>
      <c r="O9" s="17"/>
    </row>
    <row r="10" spans="1:15" x14ac:dyDescent="0.25">
      <c r="A10" s="11" t="s">
        <v>61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x14ac:dyDescent="0.25">
      <c r="A11" s="11" t="s">
        <v>118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x14ac:dyDescent="0.25">
      <c r="A12" s="11" t="s">
        <v>62</v>
      </c>
      <c r="B12" s="9"/>
      <c r="C12" s="9"/>
      <c r="D12" s="9"/>
      <c r="E12" s="9"/>
    </row>
    <row r="13" spans="1:15" ht="33" customHeight="1" x14ac:dyDescent="0.25">
      <c r="A13" s="125" t="s">
        <v>0</v>
      </c>
      <c r="B13" s="125"/>
      <c r="C13" s="125"/>
      <c r="D13" s="125"/>
      <c r="E13" s="125"/>
      <c r="F13" s="1" t="s">
        <v>1</v>
      </c>
      <c r="G13" s="125" t="s">
        <v>2</v>
      </c>
      <c r="H13" s="125"/>
      <c r="I13" s="125"/>
      <c r="J13" s="125"/>
      <c r="K13" s="125"/>
      <c r="L13" s="1" t="s">
        <v>1</v>
      </c>
      <c r="M13" s="9"/>
    </row>
    <row r="14" spans="1:15" ht="16.5" customHeight="1" x14ac:dyDescent="0.25">
      <c r="A14" s="113" t="s">
        <v>55</v>
      </c>
      <c r="B14" s="105"/>
      <c r="C14" s="105"/>
      <c r="D14" s="105"/>
      <c r="E14" s="106"/>
      <c r="F14" s="18">
        <f>1*8.66%</f>
        <v>8.6599999999999996E-2</v>
      </c>
      <c r="G14" s="104" t="s">
        <v>39</v>
      </c>
      <c r="H14" s="105"/>
      <c r="I14" s="105"/>
      <c r="J14" s="105"/>
      <c r="K14" s="106"/>
      <c r="L14" s="19">
        <f>1*8.66%</f>
        <v>8.6599999999999996E-2</v>
      </c>
      <c r="M14" s="9"/>
    </row>
    <row r="15" spans="1:15" ht="15.75" customHeight="1" x14ac:dyDescent="0.25">
      <c r="A15" s="113" t="s">
        <v>41</v>
      </c>
      <c r="B15" s="105"/>
      <c r="C15" s="105"/>
      <c r="D15" s="105"/>
      <c r="E15" s="106"/>
      <c r="F15" s="18">
        <f>20.5*8.66%</f>
        <v>1.7752999999999999</v>
      </c>
      <c r="G15" s="104" t="s">
        <v>40</v>
      </c>
      <c r="H15" s="105"/>
      <c r="I15" s="105"/>
      <c r="J15" s="105"/>
      <c r="K15" s="106"/>
      <c r="L15" s="19">
        <f>1*8.66%</f>
        <v>8.6599999999999996E-2</v>
      </c>
      <c r="M15" s="9"/>
    </row>
    <row r="16" spans="1:15" ht="18" customHeight="1" x14ac:dyDescent="0.25">
      <c r="A16" s="113" t="s">
        <v>64</v>
      </c>
      <c r="B16" s="105"/>
      <c r="C16" s="105"/>
      <c r="D16" s="105"/>
      <c r="E16" s="106"/>
      <c r="F16" s="18">
        <f>1*8.66%</f>
        <v>8.6599999999999996E-2</v>
      </c>
      <c r="G16" s="104"/>
      <c r="H16" s="105"/>
      <c r="I16" s="105"/>
      <c r="J16" s="105"/>
      <c r="K16" s="106"/>
      <c r="L16" s="18"/>
      <c r="M16" s="9"/>
    </row>
    <row r="17" spans="1:14" ht="16.5" customHeight="1" x14ac:dyDescent="0.25">
      <c r="A17" s="113" t="s">
        <v>44</v>
      </c>
      <c r="B17" s="105"/>
      <c r="C17" s="105"/>
      <c r="D17" s="105"/>
      <c r="E17" s="106"/>
      <c r="F17" s="18">
        <f>1*8.66%</f>
        <v>8.6599999999999996E-2</v>
      </c>
      <c r="G17" s="104"/>
      <c r="H17" s="105"/>
      <c r="I17" s="105"/>
      <c r="J17" s="105"/>
      <c r="K17" s="106"/>
      <c r="L17" s="18"/>
      <c r="M17" s="9"/>
    </row>
    <row r="18" spans="1:14" ht="15" customHeight="1" x14ac:dyDescent="0.25">
      <c r="A18" s="104" t="s">
        <v>43</v>
      </c>
      <c r="B18" s="107"/>
      <c r="C18" s="107"/>
      <c r="D18" s="107"/>
      <c r="E18" s="108"/>
      <c r="F18" s="18">
        <f>5*8.66%</f>
        <v>0.433</v>
      </c>
      <c r="G18" s="104"/>
      <c r="H18" s="105"/>
      <c r="I18" s="105"/>
      <c r="J18" s="105"/>
      <c r="K18" s="106"/>
      <c r="L18" s="18"/>
      <c r="M18" s="9"/>
    </row>
    <row r="19" spans="1:14" ht="15.75" customHeight="1" thickBot="1" x14ac:dyDescent="0.3">
      <c r="A19" s="104" t="s">
        <v>42</v>
      </c>
      <c r="B19" s="107"/>
      <c r="C19" s="107"/>
      <c r="D19" s="107"/>
      <c r="E19" s="108"/>
      <c r="F19" s="18">
        <f>10*8.66%-0.01</f>
        <v>0.85599999999999998</v>
      </c>
      <c r="G19" s="104"/>
      <c r="H19" s="107"/>
      <c r="I19" s="107"/>
      <c r="J19" s="107"/>
      <c r="K19" s="108"/>
      <c r="L19" s="18"/>
      <c r="M19" s="9"/>
    </row>
    <row r="20" spans="1:14" ht="14.25" hidden="1" customHeight="1" x14ac:dyDescent="0.25">
      <c r="A20" s="104"/>
      <c r="B20" s="107"/>
      <c r="C20" s="107"/>
      <c r="D20" s="107"/>
      <c r="E20" s="108"/>
      <c r="F20" s="19"/>
      <c r="G20" s="104"/>
      <c r="H20" s="107"/>
      <c r="I20" s="107"/>
      <c r="J20" s="107"/>
      <c r="K20" s="108"/>
      <c r="L20" s="18"/>
      <c r="M20" s="9"/>
    </row>
    <row r="21" spans="1:14" ht="15" hidden="1" customHeight="1" thickBot="1" x14ac:dyDescent="0.3">
      <c r="A21" s="104"/>
      <c r="B21" s="105"/>
      <c r="C21" s="105"/>
      <c r="D21" s="105"/>
      <c r="E21" s="106"/>
      <c r="F21" s="61"/>
      <c r="G21" s="104"/>
      <c r="H21" s="107"/>
      <c r="I21" s="107"/>
      <c r="J21" s="107"/>
      <c r="K21" s="108"/>
      <c r="L21" s="62"/>
      <c r="M21" s="9"/>
    </row>
    <row r="22" spans="1:14" ht="15.75" thickBot="1" x14ac:dyDescent="0.3">
      <c r="A22" s="117" t="s">
        <v>3</v>
      </c>
      <c r="B22" s="118"/>
      <c r="C22" s="118"/>
      <c r="D22" s="118"/>
      <c r="E22" s="118"/>
      <c r="F22" s="63">
        <f>SUM(F14:F21)</f>
        <v>3.3240999999999996</v>
      </c>
      <c r="G22" s="109"/>
      <c r="H22" s="109"/>
      <c r="I22" s="109"/>
      <c r="J22" s="109"/>
      <c r="K22" s="109"/>
      <c r="L22" s="63">
        <v>0.18</v>
      </c>
      <c r="M22" s="11" t="e">
        <f>F22+L22+'Работа №1'!#REF!+'Работа №1'!#REF!+'Работа №2'!#REF!+'Работа №2'!#REF!</f>
        <v>#REF!</v>
      </c>
    </row>
    <row r="23" spans="1:14" ht="15.75" thickBot="1" x14ac:dyDescent="0.3">
      <c r="A23" s="20"/>
      <c r="B23" s="20"/>
      <c r="C23" s="20"/>
      <c r="D23" s="20"/>
      <c r="E23" s="20"/>
      <c r="F23" s="21"/>
      <c r="G23" s="22"/>
      <c r="H23" s="22"/>
      <c r="I23" s="22"/>
      <c r="J23" s="22"/>
      <c r="K23" s="22"/>
      <c r="L23" s="21"/>
      <c r="M23" s="9"/>
    </row>
    <row r="24" spans="1:14" ht="15.75" thickBot="1" x14ac:dyDescent="0.3">
      <c r="A24" s="134" t="s">
        <v>87</v>
      </c>
      <c r="B24" s="134"/>
      <c r="C24" s="134"/>
      <c r="D24" s="134"/>
      <c r="E24" s="134"/>
      <c r="F24" s="134"/>
      <c r="G24" s="134"/>
      <c r="H24" s="76">
        <v>27405</v>
      </c>
      <c r="I24" s="9"/>
      <c r="J24" s="9"/>
      <c r="K24" s="9"/>
      <c r="L24" s="9"/>
      <c r="M24" s="9"/>
    </row>
    <row r="25" spans="1:14" ht="75.75" thickBot="1" x14ac:dyDescent="0.3">
      <c r="A25" s="94" t="s">
        <v>4</v>
      </c>
      <c r="B25" s="95"/>
      <c r="C25" s="95"/>
      <c r="D25" s="95"/>
      <c r="E25" s="96"/>
      <c r="F25" s="23" t="s">
        <v>5</v>
      </c>
      <c r="G25" s="23" t="s">
        <v>1</v>
      </c>
      <c r="H25" s="75" t="s">
        <v>65</v>
      </c>
      <c r="I25" s="23" t="s">
        <v>66</v>
      </c>
      <c r="J25" s="23" t="s">
        <v>67</v>
      </c>
      <c r="K25" s="24" t="s">
        <v>68</v>
      </c>
      <c r="L25" s="40"/>
      <c r="M25" s="9"/>
    </row>
    <row r="26" spans="1:14" ht="18.75" hidden="1" customHeight="1" x14ac:dyDescent="0.25">
      <c r="A26" s="87" t="s">
        <v>55</v>
      </c>
      <c r="B26" s="88"/>
      <c r="C26" s="88"/>
      <c r="D26" s="88"/>
      <c r="E26" s="89"/>
      <c r="F26" s="1"/>
      <c r="G26" s="1"/>
      <c r="H26" s="1"/>
      <c r="I26" s="1"/>
      <c r="J26" s="1"/>
      <c r="K26" s="1"/>
      <c r="L26" s="36"/>
      <c r="M26" s="9"/>
    </row>
    <row r="27" spans="1:14" ht="16.5" hidden="1" customHeight="1" x14ac:dyDescent="0.25">
      <c r="A27" s="119" t="s">
        <v>41</v>
      </c>
      <c r="B27" s="119"/>
      <c r="C27" s="119"/>
      <c r="D27" s="119"/>
      <c r="E27" s="119"/>
      <c r="F27" s="1"/>
      <c r="G27" s="1"/>
      <c r="H27" s="1"/>
      <c r="I27" s="1"/>
      <c r="J27" s="1"/>
      <c r="K27" s="1"/>
      <c r="L27" s="36"/>
      <c r="M27" s="9"/>
    </row>
    <row r="28" spans="1:14" ht="15" hidden="1" customHeight="1" x14ac:dyDescent="0.25">
      <c r="A28" s="113" t="s">
        <v>64</v>
      </c>
      <c r="B28" s="105"/>
      <c r="C28" s="105"/>
      <c r="D28" s="105"/>
      <c r="E28" s="106"/>
      <c r="F28" s="1"/>
      <c r="G28" s="1"/>
      <c r="H28" s="1"/>
      <c r="I28" s="1"/>
      <c r="J28" s="1"/>
      <c r="K28" s="1"/>
      <c r="L28" s="36"/>
      <c r="M28" s="9"/>
    </row>
    <row r="29" spans="1:14" ht="15" hidden="1" customHeight="1" x14ac:dyDescent="0.25">
      <c r="A29" s="114" t="s">
        <v>44</v>
      </c>
      <c r="B29" s="115"/>
      <c r="C29" s="115"/>
      <c r="D29" s="115"/>
      <c r="E29" s="116"/>
      <c r="F29" s="1"/>
      <c r="G29" s="1"/>
      <c r="H29" s="1"/>
      <c r="I29" s="1"/>
      <c r="J29" s="1"/>
      <c r="K29" s="1"/>
      <c r="L29" s="36"/>
      <c r="M29" s="9"/>
    </row>
    <row r="30" spans="1:14" ht="14.25" hidden="1" customHeight="1" x14ac:dyDescent="0.25">
      <c r="A30" s="104" t="s">
        <v>42</v>
      </c>
      <c r="B30" s="88"/>
      <c r="C30" s="88"/>
      <c r="D30" s="88"/>
      <c r="E30" s="89"/>
      <c r="F30" s="1"/>
      <c r="G30" s="1"/>
      <c r="H30" s="1"/>
      <c r="I30" s="1"/>
      <c r="J30" s="1"/>
      <c r="K30" s="1"/>
      <c r="L30" s="36"/>
      <c r="M30" s="9"/>
    </row>
    <row r="31" spans="1:14" ht="15.75" hidden="1" customHeight="1" x14ac:dyDescent="0.25">
      <c r="A31" s="104" t="s">
        <v>43</v>
      </c>
      <c r="B31" s="88"/>
      <c r="C31" s="88"/>
      <c r="D31" s="88"/>
      <c r="E31" s="89"/>
      <c r="F31" s="1"/>
      <c r="G31" s="1"/>
      <c r="H31" s="1"/>
      <c r="I31" s="69"/>
      <c r="J31" s="1"/>
      <c r="K31" s="69"/>
      <c r="L31" s="36"/>
      <c r="M31" s="9"/>
    </row>
    <row r="32" spans="1:14" ht="34.5" customHeight="1" thickBot="1" x14ac:dyDescent="0.3">
      <c r="A32" s="111" t="s">
        <v>69</v>
      </c>
      <c r="B32" s="112"/>
      <c r="C32" s="112"/>
      <c r="D32" s="112"/>
      <c r="E32" s="112"/>
      <c r="F32" s="26">
        <v>29335.19</v>
      </c>
      <c r="G32" s="26">
        <f>F22</f>
        <v>3.3240999999999996</v>
      </c>
      <c r="H32" s="77">
        <v>1168713.78</v>
      </c>
      <c r="I32" s="66">
        <f>(H32*1.302)</f>
        <v>1521665.3415600001</v>
      </c>
      <c r="J32" s="73">
        <f>H24</f>
        <v>27405</v>
      </c>
      <c r="K32" s="66">
        <f>I32/H24</f>
        <v>55.525099126436785</v>
      </c>
      <c r="L32" s="36"/>
      <c r="M32" s="11" t="e">
        <f>I32+'Работа №1'!I32+'Работа №2'!#REF!</f>
        <v>#REF!</v>
      </c>
      <c r="N32" s="10" t="e">
        <f>M32+M77</f>
        <v>#REF!</v>
      </c>
    </row>
    <row r="33" spans="1:13" x14ac:dyDescent="0.25">
      <c r="A33" s="27"/>
      <c r="B33" s="27"/>
      <c r="C33" s="27"/>
      <c r="D33" s="27"/>
      <c r="E33" s="27"/>
      <c r="F33" s="27"/>
      <c r="G33" s="27"/>
      <c r="H33" s="27"/>
      <c r="I33" s="9"/>
      <c r="J33" s="9"/>
      <c r="K33" s="9"/>
      <c r="L33" s="28"/>
      <c r="M33" s="9"/>
    </row>
    <row r="34" spans="1:13" x14ac:dyDescent="0.25">
      <c r="A34" s="110" t="s">
        <v>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9"/>
    </row>
    <row r="35" spans="1:13" ht="45" x14ac:dyDescent="0.25">
      <c r="A35" s="97" t="s">
        <v>8</v>
      </c>
      <c r="B35" s="97"/>
      <c r="C35" s="97"/>
      <c r="D35" s="97"/>
      <c r="E35" s="97"/>
      <c r="F35" s="23" t="s">
        <v>6</v>
      </c>
      <c r="G35" s="23" t="s">
        <v>56</v>
      </c>
      <c r="H35" s="23" t="s">
        <v>57</v>
      </c>
      <c r="I35" s="23" t="s">
        <v>72</v>
      </c>
      <c r="J35" s="23" t="s">
        <v>67</v>
      </c>
      <c r="K35" s="29" t="s">
        <v>68</v>
      </c>
      <c r="L35" s="30"/>
      <c r="M35" s="9"/>
    </row>
    <row r="36" spans="1:13" x14ac:dyDescent="0.25">
      <c r="A36" s="103" t="s">
        <v>9</v>
      </c>
      <c r="B36" s="103"/>
      <c r="C36" s="103"/>
      <c r="D36" s="103"/>
      <c r="E36" s="103"/>
      <c r="F36" s="1" t="s">
        <v>92</v>
      </c>
      <c r="G36" s="59">
        <f>I36/H36</f>
        <v>3.0578679199990852</v>
      </c>
      <c r="H36" s="45">
        <v>7873.41</v>
      </c>
      <c r="I36" s="2">
        <f>278012.1*8.66%</f>
        <v>24075.847859999998</v>
      </c>
      <c r="J36" s="1">
        <f>H24</f>
        <v>27405</v>
      </c>
      <c r="K36" s="31">
        <f>I36/J36</f>
        <v>0.87852026491516144</v>
      </c>
      <c r="L36" s="32"/>
      <c r="M36" s="9"/>
    </row>
    <row r="37" spans="1:13" x14ac:dyDescent="0.25">
      <c r="A37" s="103" t="s">
        <v>10</v>
      </c>
      <c r="B37" s="103"/>
      <c r="C37" s="103"/>
      <c r="D37" s="103"/>
      <c r="E37" s="103"/>
      <c r="F37" s="1" t="s">
        <v>93</v>
      </c>
      <c r="G37" s="59">
        <f t="shared" ref="G37:G40" si="0">I37/H37</f>
        <v>44.120978130907638</v>
      </c>
      <c r="H37" s="45">
        <v>1798.52</v>
      </c>
      <c r="I37" s="2">
        <f>916310.18*8.66%</f>
        <v>79352.461588000006</v>
      </c>
      <c r="J37" s="1">
        <f>J36</f>
        <v>27405</v>
      </c>
      <c r="K37" s="31">
        <f t="shared" ref="K37:K40" si="1">I37/J37</f>
        <v>2.8955468559751871</v>
      </c>
      <c r="L37" s="32"/>
      <c r="M37" s="9"/>
    </row>
    <row r="38" spans="1:13" x14ac:dyDescent="0.25">
      <c r="A38" s="103" t="s">
        <v>11</v>
      </c>
      <c r="B38" s="103"/>
      <c r="C38" s="103"/>
      <c r="D38" s="103"/>
      <c r="E38" s="103"/>
      <c r="F38" s="1" t="s">
        <v>94</v>
      </c>
      <c r="G38" s="59">
        <f t="shared" si="0"/>
        <v>20.129992110177401</v>
      </c>
      <c r="H38" s="45">
        <v>42.84</v>
      </c>
      <c r="I38" s="2">
        <f>9958.07*8.66%</f>
        <v>862.36886199999992</v>
      </c>
      <c r="J38" s="1">
        <f>J37</f>
        <v>27405</v>
      </c>
      <c r="K38" s="31">
        <f t="shared" si="1"/>
        <v>3.1467573873380769E-2</v>
      </c>
      <c r="L38" s="32"/>
      <c r="M38" s="9"/>
    </row>
    <row r="39" spans="1:13" x14ac:dyDescent="0.25">
      <c r="A39" s="103" t="s">
        <v>12</v>
      </c>
      <c r="B39" s="103"/>
      <c r="C39" s="103"/>
      <c r="D39" s="103"/>
      <c r="E39" s="103"/>
      <c r="F39" s="33" t="s">
        <v>94</v>
      </c>
      <c r="G39" s="59">
        <f t="shared" si="0"/>
        <v>28.199105914409362</v>
      </c>
      <c r="H39" s="45">
        <v>62.39</v>
      </c>
      <c r="I39" s="2">
        <f>20315.73*8.66%</f>
        <v>1759.342218</v>
      </c>
      <c r="J39" s="1">
        <f>J37</f>
        <v>27405</v>
      </c>
      <c r="K39" s="31">
        <f t="shared" si="1"/>
        <v>6.4197855062944717E-2</v>
      </c>
      <c r="L39" s="32"/>
      <c r="M39" s="10" t="e">
        <f>I41+'Работа №1'!#REF!+'Работа №2'!#REF!</f>
        <v>#REF!</v>
      </c>
    </row>
    <row r="40" spans="1:13" ht="15.75" thickBot="1" x14ac:dyDescent="0.3">
      <c r="A40" s="98" t="s">
        <v>15</v>
      </c>
      <c r="B40" s="123"/>
      <c r="C40" s="123"/>
      <c r="D40" s="123"/>
      <c r="E40" s="123"/>
      <c r="F40" s="33" t="s">
        <v>94</v>
      </c>
      <c r="G40" s="59">
        <f t="shared" si="0"/>
        <v>1.0391926666666664</v>
      </c>
      <c r="H40" s="60">
        <v>1299</v>
      </c>
      <c r="I40" s="65">
        <f>15587.89*8.66%</f>
        <v>1349.9112739999998</v>
      </c>
      <c r="J40" s="1">
        <f t="shared" ref="J40:J41" si="2">J38</f>
        <v>27405</v>
      </c>
      <c r="K40" s="68">
        <f t="shared" si="1"/>
        <v>4.9257846159459946E-2</v>
      </c>
      <c r="L40" s="32"/>
      <c r="M40" s="10"/>
    </row>
    <row r="41" spans="1:13" ht="15" customHeight="1" thickBot="1" x14ac:dyDescent="0.3">
      <c r="A41" s="101" t="s">
        <v>13</v>
      </c>
      <c r="B41" s="102"/>
      <c r="C41" s="102"/>
      <c r="D41" s="102"/>
      <c r="E41" s="102"/>
      <c r="F41" s="102"/>
      <c r="G41" s="102"/>
      <c r="H41" s="102"/>
      <c r="I41" s="66">
        <f>SUM(I36:I39)+I40</f>
        <v>107399.93180200001</v>
      </c>
      <c r="J41" s="67">
        <f t="shared" si="2"/>
        <v>27405</v>
      </c>
      <c r="K41" s="66">
        <f>I41/H24</f>
        <v>3.9189903959861341</v>
      </c>
      <c r="L41" s="36"/>
      <c r="M41" s="9"/>
    </row>
    <row r="42" spans="1:13" x14ac:dyDescent="0.25">
      <c r="A42" s="9"/>
      <c r="B42" s="9"/>
      <c r="C42" s="9"/>
      <c r="D42" s="9"/>
      <c r="E42" s="9"/>
      <c r="F42" s="35"/>
      <c r="G42" s="35"/>
      <c r="H42" s="35"/>
      <c r="I42" s="35"/>
      <c r="J42" s="35"/>
      <c r="K42" s="35"/>
      <c r="L42" s="35"/>
      <c r="M42" s="9"/>
    </row>
    <row r="43" spans="1:13" x14ac:dyDescent="0.25">
      <c r="A43" s="110" t="s">
        <v>14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9"/>
    </row>
    <row r="44" spans="1:13" ht="45" x14ac:dyDescent="0.25">
      <c r="A44" s="94" t="s">
        <v>18</v>
      </c>
      <c r="B44" s="95"/>
      <c r="C44" s="95"/>
      <c r="D44" s="95"/>
      <c r="E44" s="96"/>
      <c r="F44" s="23" t="s">
        <v>6</v>
      </c>
      <c r="G44" s="23" t="s">
        <v>56</v>
      </c>
      <c r="H44" s="23" t="s">
        <v>57</v>
      </c>
      <c r="I44" s="23" t="s">
        <v>72</v>
      </c>
      <c r="J44" s="23" t="s">
        <v>67</v>
      </c>
      <c r="K44" s="29" t="s">
        <v>68</v>
      </c>
      <c r="L44" s="30"/>
      <c r="M44" s="9"/>
    </row>
    <row r="45" spans="1:13" ht="18.75" customHeight="1" x14ac:dyDescent="0.25">
      <c r="A45" s="98" t="s">
        <v>58</v>
      </c>
      <c r="B45" s="99"/>
      <c r="C45" s="99"/>
      <c r="D45" s="99"/>
      <c r="E45" s="100"/>
      <c r="F45" s="33" t="s">
        <v>73</v>
      </c>
      <c r="G45" s="1">
        <v>12</v>
      </c>
      <c r="H45" s="1">
        <v>5535.83</v>
      </c>
      <c r="I45" s="2">
        <f>66430*8.66%</f>
        <v>5752.8379999999997</v>
      </c>
      <c r="J45" s="1">
        <f>J36</f>
        <v>27405</v>
      </c>
      <c r="K45" s="31">
        <f>I45/J45</f>
        <v>0.20991928480204342</v>
      </c>
      <c r="L45" s="32"/>
      <c r="M45" s="36"/>
    </row>
    <row r="46" spans="1:13" ht="18.75" customHeight="1" x14ac:dyDescent="0.25">
      <c r="A46" s="98" t="s">
        <v>16</v>
      </c>
      <c r="B46" s="99"/>
      <c r="C46" s="99"/>
      <c r="D46" s="99"/>
      <c r="E46" s="100"/>
      <c r="F46" s="33" t="s">
        <v>17</v>
      </c>
      <c r="G46" s="1">
        <v>4</v>
      </c>
      <c r="H46" s="1">
        <v>1500</v>
      </c>
      <c r="I46" s="2">
        <f>18000*8.66%</f>
        <v>1558.8</v>
      </c>
      <c r="J46" s="1">
        <f>J38</f>
        <v>27405</v>
      </c>
      <c r="K46" s="31">
        <f>I46/J46</f>
        <v>5.6880131362889982E-2</v>
      </c>
      <c r="L46" s="32"/>
      <c r="M46" s="36"/>
    </row>
    <row r="47" spans="1:13" ht="33.75" customHeight="1" x14ac:dyDescent="0.25">
      <c r="A47" s="87" t="s">
        <v>60</v>
      </c>
      <c r="B47" s="88"/>
      <c r="C47" s="88"/>
      <c r="D47" s="88"/>
      <c r="E47" s="89"/>
      <c r="F47" s="33" t="s">
        <v>17</v>
      </c>
      <c r="G47" s="1">
        <v>12</v>
      </c>
      <c r="H47" s="1">
        <v>30955.03</v>
      </c>
      <c r="I47" s="2">
        <f>371460.39*8.66%</f>
        <v>32168.469774000001</v>
      </c>
      <c r="J47" s="1">
        <f>J46</f>
        <v>27405</v>
      </c>
      <c r="K47" s="31">
        <f t="shared" ref="K47:K51" si="3">I47/J47</f>
        <v>1.1738175432950193</v>
      </c>
      <c r="L47" s="32"/>
      <c r="M47" s="36"/>
    </row>
    <row r="48" spans="1:13" ht="18.75" customHeight="1" x14ac:dyDescent="0.25">
      <c r="A48" s="98" t="s">
        <v>120</v>
      </c>
      <c r="B48" s="99"/>
      <c r="C48" s="99"/>
      <c r="D48" s="99"/>
      <c r="E48" s="100"/>
      <c r="F48" s="33" t="s">
        <v>17</v>
      </c>
      <c r="G48" s="1"/>
      <c r="H48" s="1"/>
      <c r="I48" s="2">
        <f>5011.84*8.66%</f>
        <v>434.02534400000002</v>
      </c>
      <c r="J48" s="1">
        <f>J47</f>
        <v>27405</v>
      </c>
      <c r="K48" s="31">
        <f t="shared" si="3"/>
        <v>1.5837450976099253E-2</v>
      </c>
      <c r="L48" s="32"/>
      <c r="M48" s="36"/>
    </row>
    <row r="49" spans="1:14" ht="29.25" customHeight="1" thickBot="1" x14ac:dyDescent="0.3">
      <c r="A49" s="87" t="s">
        <v>59</v>
      </c>
      <c r="B49" s="88"/>
      <c r="C49" s="88"/>
      <c r="D49" s="88"/>
      <c r="E49" s="89"/>
      <c r="F49" s="33" t="s">
        <v>17</v>
      </c>
      <c r="G49" s="1">
        <v>12</v>
      </c>
      <c r="H49" s="1">
        <v>500</v>
      </c>
      <c r="I49" s="2">
        <f>6000*8.66%</f>
        <v>519.6</v>
      </c>
      <c r="J49" s="1">
        <f>J47</f>
        <v>27405</v>
      </c>
      <c r="K49" s="31">
        <f t="shared" si="3"/>
        <v>1.8960043787629995E-2</v>
      </c>
      <c r="L49" s="32"/>
      <c r="M49" s="36"/>
    </row>
    <row r="50" spans="1:14" ht="18.75" hidden="1" customHeight="1" x14ac:dyDescent="0.25">
      <c r="A50" s="98" t="s">
        <v>95</v>
      </c>
      <c r="B50" s="99"/>
      <c r="C50" s="99"/>
      <c r="D50" s="99"/>
      <c r="E50" s="100"/>
      <c r="F50" s="33" t="s">
        <v>17</v>
      </c>
      <c r="G50" s="1"/>
      <c r="H50" s="1"/>
      <c r="I50" s="2">
        <v>0</v>
      </c>
      <c r="J50" s="1">
        <f>J49</f>
        <v>27405</v>
      </c>
      <c r="K50" s="31">
        <f t="shared" si="3"/>
        <v>0</v>
      </c>
      <c r="L50" s="32"/>
      <c r="M50" s="36"/>
    </row>
    <row r="51" spans="1:14" ht="18.75" hidden="1" customHeight="1" x14ac:dyDescent="0.25">
      <c r="A51" s="98" t="s">
        <v>96</v>
      </c>
      <c r="B51" s="123"/>
      <c r="C51" s="123"/>
      <c r="D51" s="123"/>
      <c r="E51" s="124"/>
      <c r="F51" s="33" t="s">
        <v>17</v>
      </c>
      <c r="G51" s="1"/>
      <c r="H51" s="1"/>
      <c r="I51" s="2">
        <v>0</v>
      </c>
      <c r="J51" s="1">
        <f>J50</f>
        <v>27405</v>
      </c>
      <c r="K51" s="31">
        <f t="shared" si="3"/>
        <v>0</v>
      </c>
      <c r="L51" s="36"/>
      <c r="M51" s="36"/>
    </row>
    <row r="52" spans="1:14" s="9" customFormat="1" ht="30.75" hidden="1" customHeight="1" thickBot="1" x14ac:dyDescent="0.3">
      <c r="A52" s="87" t="s">
        <v>97</v>
      </c>
      <c r="B52" s="88"/>
      <c r="C52" s="88"/>
      <c r="D52" s="88"/>
      <c r="E52" s="89"/>
      <c r="F52" s="1" t="s">
        <v>17</v>
      </c>
      <c r="G52" s="1"/>
      <c r="H52" s="1"/>
      <c r="I52" s="69">
        <v>0</v>
      </c>
      <c r="J52" s="1">
        <f>J48</f>
        <v>27405</v>
      </c>
      <c r="K52" s="69">
        <f>I52/J52</f>
        <v>0</v>
      </c>
      <c r="L52" s="36"/>
    </row>
    <row r="53" spans="1:14" ht="18.75" customHeight="1" thickBot="1" x14ac:dyDescent="0.3">
      <c r="A53" s="126" t="s">
        <v>74</v>
      </c>
      <c r="B53" s="127"/>
      <c r="C53" s="127"/>
      <c r="D53" s="127"/>
      <c r="E53" s="127"/>
      <c r="F53" s="127"/>
      <c r="G53" s="127"/>
      <c r="H53" s="127"/>
      <c r="I53" s="66">
        <f>SUM(I45:I52)</f>
        <v>40433.733118000004</v>
      </c>
      <c r="J53" s="67">
        <f>J49</f>
        <v>27405</v>
      </c>
      <c r="K53" s="66">
        <f>I53/H24</f>
        <v>1.475414454223682</v>
      </c>
      <c r="L53" s="36"/>
      <c r="M53" s="11" t="e">
        <f>I53+'Работа №1'!#REF!+'Работа №2'!#REF!</f>
        <v>#REF!</v>
      </c>
      <c r="N53" s="4" t="e">
        <f>M53-479428.8</f>
        <v>#REF!</v>
      </c>
    </row>
    <row r="54" spans="1:14" x14ac:dyDescent="0.25">
      <c r="A54" s="37"/>
      <c r="B54" s="37"/>
      <c r="C54" s="37"/>
      <c r="D54" s="37"/>
      <c r="E54" s="37"/>
      <c r="F54" s="38"/>
      <c r="G54" s="39"/>
      <c r="H54" s="39"/>
      <c r="I54" s="41"/>
      <c r="J54" s="38"/>
      <c r="K54" s="41"/>
      <c r="L54" s="36"/>
      <c r="M54" s="9"/>
    </row>
    <row r="55" spans="1:14" s="9" customFormat="1" x14ac:dyDescent="0.25">
      <c r="A55" s="110" t="s">
        <v>75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4" s="9" customFormat="1" ht="60" customHeight="1" x14ac:dyDescent="0.25">
      <c r="A56" s="94" t="s">
        <v>18</v>
      </c>
      <c r="B56" s="95"/>
      <c r="C56" s="95"/>
      <c r="D56" s="95"/>
      <c r="E56" s="96"/>
      <c r="F56" s="23" t="s">
        <v>6</v>
      </c>
      <c r="G56" s="23" t="s">
        <v>56</v>
      </c>
      <c r="H56" s="23" t="s">
        <v>57</v>
      </c>
      <c r="I56" s="23" t="s">
        <v>72</v>
      </c>
      <c r="J56" s="23" t="s">
        <v>67</v>
      </c>
      <c r="K56" s="24" t="s">
        <v>68</v>
      </c>
      <c r="L56" s="40"/>
    </row>
    <row r="57" spans="1:14" s="9" customFormat="1" ht="37.5" customHeight="1" x14ac:dyDescent="0.25">
      <c r="A57" s="87" t="s">
        <v>76</v>
      </c>
      <c r="B57" s="88"/>
      <c r="C57" s="88"/>
      <c r="D57" s="88"/>
      <c r="E57" s="89"/>
      <c r="F57" s="1" t="s">
        <v>17</v>
      </c>
      <c r="G57" s="1">
        <v>11</v>
      </c>
      <c r="H57" s="1">
        <v>24203.64</v>
      </c>
      <c r="I57" s="1">
        <f>266240*8.66%</f>
        <v>23056.383999999998</v>
      </c>
      <c r="J57" s="1">
        <f>J52</f>
        <v>27405</v>
      </c>
      <c r="K57" s="1">
        <f t="shared" ref="K57" si="4">I57/J57</f>
        <v>0.84132034300310155</v>
      </c>
      <c r="L57" s="36"/>
    </row>
    <row r="58" spans="1:14" s="9" customFormat="1" ht="18.75" customHeight="1" x14ac:dyDescent="0.25">
      <c r="A58" s="98" t="s">
        <v>45</v>
      </c>
      <c r="B58" s="99"/>
      <c r="C58" s="99"/>
      <c r="D58" s="99"/>
      <c r="E58" s="100"/>
      <c r="F58" s="1" t="s">
        <v>17</v>
      </c>
      <c r="G58" s="1"/>
      <c r="H58" s="1"/>
      <c r="I58" s="1">
        <f>40000*8.66%</f>
        <v>3464</v>
      </c>
      <c r="J58" s="1">
        <f>J50</f>
        <v>27405</v>
      </c>
      <c r="K58" s="1">
        <f>I58/J58</f>
        <v>0.1264002919175333</v>
      </c>
      <c r="L58" s="36"/>
    </row>
    <row r="59" spans="1:14" s="9" customFormat="1" ht="46.5" hidden="1" customHeight="1" x14ac:dyDescent="0.25">
      <c r="A59" s="87" t="s">
        <v>111</v>
      </c>
      <c r="B59" s="135"/>
      <c r="C59" s="135"/>
      <c r="D59" s="135"/>
      <c r="E59" s="136"/>
      <c r="F59" s="1" t="s">
        <v>17</v>
      </c>
      <c r="G59" s="1"/>
      <c r="H59" s="1"/>
      <c r="I59" s="45">
        <v>0</v>
      </c>
      <c r="J59" s="1">
        <f t="shared" ref="J59:J61" si="5">J51</f>
        <v>27405</v>
      </c>
      <c r="K59" s="1">
        <f t="shared" ref="K59:K60" si="6">I59/J59</f>
        <v>0</v>
      </c>
      <c r="L59" s="36"/>
    </row>
    <row r="60" spans="1:14" s="9" customFormat="1" ht="18.75" customHeight="1" x14ac:dyDescent="0.25">
      <c r="A60" s="98" t="s">
        <v>121</v>
      </c>
      <c r="B60" s="123"/>
      <c r="C60" s="123"/>
      <c r="D60" s="123"/>
      <c r="E60" s="124"/>
      <c r="F60" s="1" t="s">
        <v>17</v>
      </c>
      <c r="G60" s="1">
        <v>12</v>
      </c>
      <c r="H60" s="1">
        <v>1333.33</v>
      </c>
      <c r="I60" s="1">
        <f>16000*8.66%</f>
        <v>1385.6</v>
      </c>
      <c r="J60" s="1">
        <f t="shared" si="5"/>
        <v>27405</v>
      </c>
      <c r="K60" s="1">
        <f t="shared" si="6"/>
        <v>5.0560116767013316E-2</v>
      </c>
      <c r="L60" s="36"/>
    </row>
    <row r="61" spans="1:14" s="9" customFormat="1" ht="18.75" customHeight="1" thickBot="1" x14ac:dyDescent="0.3">
      <c r="A61" s="98" t="s">
        <v>122</v>
      </c>
      <c r="B61" s="123"/>
      <c r="C61" s="123"/>
      <c r="D61" s="123"/>
      <c r="E61" s="124"/>
      <c r="F61" s="1" t="s">
        <v>17</v>
      </c>
      <c r="G61" s="1"/>
      <c r="H61" s="1"/>
      <c r="I61" s="1">
        <f>95550*8.66%</f>
        <v>8274.6299999999992</v>
      </c>
      <c r="J61" s="1">
        <f t="shared" si="5"/>
        <v>27405</v>
      </c>
      <c r="K61" s="1">
        <f>I61/J61</f>
        <v>0.30193869731800765</v>
      </c>
      <c r="L61" s="36"/>
    </row>
    <row r="62" spans="1:14" s="9" customFormat="1" ht="18.75" hidden="1" customHeight="1" x14ac:dyDescent="0.25">
      <c r="A62" s="103" t="s">
        <v>98</v>
      </c>
      <c r="B62" s="103"/>
      <c r="C62" s="103"/>
      <c r="D62" s="103"/>
      <c r="E62" s="103"/>
      <c r="F62" s="1" t="s">
        <v>17</v>
      </c>
      <c r="G62" s="1"/>
      <c r="H62" s="1"/>
      <c r="I62" s="69">
        <v>0</v>
      </c>
      <c r="J62" s="1">
        <f>J58</f>
        <v>27405</v>
      </c>
      <c r="K62" s="69">
        <f t="shared" ref="K62" si="7">I62/J62</f>
        <v>0</v>
      </c>
      <c r="L62" s="36"/>
    </row>
    <row r="63" spans="1:14" s="9" customFormat="1" ht="15.75" thickBot="1" x14ac:dyDescent="0.3">
      <c r="A63" s="126" t="s">
        <v>77</v>
      </c>
      <c r="B63" s="127"/>
      <c r="C63" s="127"/>
      <c r="D63" s="127"/>
      <c r="E63" s="127"/>
      <c r="F63" s="127"/>
      <c r="G63" s="127"/>
      <c r="H63" s="127"/>
      <c r="I63" s="70">
        <f>SUM(I57:I62)</f>
        <v>36180.613999999994</v>
      </c>
      <c r="J63" s="67">
        <f>J59</f>
        <v>27405</v>
      </c>
      <c r="K63" s="70">
        <f>SUM(K57:K62)</f>
        <v>1.3202194490056558</v>
      </c>
      <c r="L63" s="36"/>
      <c r="M63" s="11" t="e">
        <f>I63+'Работа №1'!#REF!+'Работа №2'!#REF!</f>
        <v>#REF!</v>
      </c>
    </row>
    <row r="64" spans="1:14" s="9" customFormat="1" x14ac:dyDescent="0.25">
      <c r="A64" s="41"/>
      <c r="B64" s="41"/>
      <c r="C64" s="41"/>
      <c r="D64" s="41"/>
      <c r="E64" s="41"/>
      <c r="F64" s="41"/>
      <c r="G64" s="41"/>
      <c r="H64" s="41"/>
      <c r="I64" s="7"/>
      <c r="J64" s="7"/>
      <c r="K64" s="7"/>
      <c r="L64" s="36"/>
    </row>
    <row r="65" spans="1:13" s="9" customFormat="1" x14ac:dyDescent="0.25">
      <c r="A65" s="110" t="s">
        <v>78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</row>
    <row r="66" spans="1:13" s="9" customFormat="1" ht="60" customHeight="1" x14ac:dyDescent="0.25">
      <c r="A66" s="94" t="s">
        <v>19</v>
      </c>
      <c r="B66" s="95"/>
      <c r="C66" s="95"/>
      <c r="D66" s="95"/>
      <c r="E66" s="96"/>
      <c r="F66" s="23" t="s">
        <v>6</v>
      </c>
      <c r="G66" s="23" t="s">
        <v>56</v>
      </c>
      <c r="H66" s="23" t="s">
        <v>57</v>
      </c>
      <c r="I66" s="23" t="s">
        <v>72</v>
      </c>
      <c r="J66" s="42" t="s">
        <v>67</v>
      </c>
      <c r="K66" s="24" t="s">
        <v>68</v>
      </c>
      <c r="L66" s="40"/>
      <c r="M66" s="40"/>
    </row>
    <row r="67" spans="1:13" s="9" customFormat="1" ht="36.75" customHeight="1" x14ac:dyDescent="0.25">
      <c r="A67" s="98" t="s">
        <v>20</v>
      </c>
      <c r="B67" s="99"/>
      <c r="C67" s="99"/>
      <c r="D67" s="99"/>
      <c r="E67" s="100"/>
      <c r="F67" s="43" t="s">
        <v>21</v>
      </c>
      <c r="G67" s="1">
        <v>12</v>
      </c>
      <c r="H67" s="1">
        <v>464.72</v>
      </c>
      <c r="I67" s="1">
        <f>66920*8.66%</f>
        <v>5795.2719999999999</v>
      </c>
      <c r="J67" s="31">
        <f>J62</f>
        <v>27405</v>
      </c>
      <c r="K67" s="1">
        <f>I67/J67</f>
        <v>0.2114676883780332</v>
      </c>
      <c r="L67" s="36"/>
      <c r="M67" s="36"/>
    </row>
    <row r="68" spans="1:13" s="9" customFormat="1" ht="36.75" customHeight="1" x14ac:dyDescent="0.25">
      <c r="A68" s="98" t="s">
        <v>89</v>
      </c>
      <c r="B68" s="99"/>
      <c r="C68" s="99"/>
      <c r="D68" s="99"/>
      <c r="E68" s="100"/>
      <c r="F68" s="43" t="s">
        <v>24</v>
      </c>
      <c r="G68" s="1"/>
      <c r="H68" s="1"/>
      <c r="I68" s="1">
        <f>11000*8.66%</f>
        <v>952.59999999999991</v>
      </c>
      <c r="J68" s="31">
        <f>J67</f>
        <v>27405</v>
      </c>
      <c r="K68" s="1">
        <f>I68/J68</f>
        <v>3.4760080277321651E-2</v>
      </c>
      <c r="L68" s="36"/>
      <c r="M68" s="36"/>
    </row>
    <row r="69" spans="1:13" s="9" customFormat="1" ht="30.75" thickBot="1" x14ac:dyDescent="0.3">
      <c r="A69" s="98" t="s">
        <v>79</v>
      </c>
      <c r="B69" s="99"/>
      <c r="C69" s="99"/>
      <c r="D69" s="99"/>
      <c r="E69" s="100"/>
      <c r="F69" s="43" t="s">
        <v>80</v>
      </c>
      <c r="G69" s="1">
        <v>7</v>
      </c>
      <c r="H69" s="1">
        <v>12750</v>
      </c>
      <c r="I69" s="69">
        <f>153000*8.66%</f>
        <v>13249.8</v>
      </c>
      <c r="J69" s="31">
        <f>J67</f>
        <v>27405</v>
      </c>
      <c r="K69" s="69">
        <f>I69/J69</f>
        <v>0.48348111658456483</v>
      </c>
      <c r="L69" s="36"/>
      <c r="M69" s="36"/>
    </row>
    <row r="70" spans="1:13" s="9" customFormat="1" ht="15.75" thickBot="1" x14ac:dyDescent="0.3">
      <c r="A70" s="126" t="s">
        <v>22</v>
      </c>
      <c r="B70" s="127"/>
      <c r="C70" s="127"/>
      <c r="D70" s="127"/>
      <c r="E70" s="127"/>
      <c r="F70" s="127"/>
      <c r="G70" s="127"/>
      <c r="H70" s="127"/>
      <c r="I70" s="70">
        <f>SUM(I67:I69)</f>
        <v>19997.671999999999</v>
      </c>
      <c r="J70" s="71">
        <f>J69</f>
        <v>27405</v>
      </c>
      <c r="K70" s="70">
        <f>I70/J67</f>
        <v>0.72970888523991972</v>
      </c>
      <c r="L70" s="7"/>
      <c r="M70" s="44" t="e">
        <f>I70+'Работа №1'!#REF!+'Работа №2'!#REF!</f>
        <v>#REF!</v>
      </c>
    </row>
    <row r="71" spans="1:13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x14ac:dyDescent="0.25">
      <c r="A73" s="110" t="s">
        <v>38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</row>
    <row r="74" spans="1:13" ht="75.75" thickBot="1" x14ac:dyDescent="0.3">
      <c r="A74" s="94" t="s">
        <v>4</v>
      </c>
      <c r="B74" s="95"/>
      <c r="C74" s="95"/>
      <c r="D74" s="95"/>
      <c r="E74" s="96"/>
      <c r="F74" s="23" t="s">
        <v>5</v>
      </c>
      <c r="G74" s="23" t="s">
        <v>1</v>
      </c>
      <c r="H74" s="23" t="s">
        <v>65</v>
      </c>
      <c r="I74" s="23" t="s">
        <v>66</v>
      </c>
      <c r="J74" s="23" t="s">
        <v>67</v>
      </c>
      <c r="K74" s="24" t="s">
        <v>68</v>
      </c>
      <c r="L74" s="40"/>
      <c r="M74" s="9"/>
    </row>
    <row r="75" spans="1:13" hidden="1" x14ac:dyDescent="0.25">
      <c r="A75" s="103" t="s">
        <v>40</v>
      </c>
      <c r="B75" s="103"/>
      <c r="C75" s="103"/>
      <c r="D75" s="103"/>
      <c r="E75" s="103"/>
      <c r="F75" s="45">
        <f>I75/G75/12</f>
        <v>25730.891846153845</v>
      </c>
      <c r="G75" s="1">
        <v>0.13</v>
      </c>
      <c r="H75" s="2">
        <f>F75*G75*12</f>
        <v>40140.191279999999</v>
      </c>
      <c r="I75" s="1">
        <f>(30829.64*1.302)</f>
        <v>40140.191279999999</v>
      </c>
      <c r="J75" s="1">
        <f>J69</f>
        <v>27405</v>
      </c>
      <c r="K75" s="1">
        <f>I75/J75</f>
        <v>1.4647032030651341</v>
      </c>
      <c r="L75" s="36"/>
      <c r="M75" s="9"/>
    </row>
    <row r="76" spans="1:13" hidden="1" x14ac:dyDescent="0.25">
      <c r="A76" s="103" t="s">
        <v>46</v>
      </c>
      <c r="B76" s="103"/>
      <c r="C76" s="103"/>
      <c r="D76" s="103"/>
      <c r="E76" s="103"/>
      <c r="F76" s="45">
        <f>I76/G76/12</f>
        <v>22607.852884615382</v>
      </c>
      <c r="G76" s="1">
        <v>0.13</v>
      </c>
      <c r="H76" s="2">
        <f>F76*G76*12</f>
        <v>35268.250499999995</v>
      </c>
      <c r="I76" s="69">
        <f>(27087.75*1.302)</f>
        <v>35268.250500000002</v>
      </c>
      <c r="J76" s="1">
        <f>J75</f>
        <v>27405</v>
      </c>
      <c r="K76" s="69">
        <f>I76/J76</f>
        <v>1.2869275862068965</v>
      </c>
      <c r="L76" s="36"/>
      <c r="M76" s="9"/>
    </row>
    <row r="77" spans="1:13" ht="32.25" customHeight="1" thickBot="1" x14ac:dyDescent="0.3">
      <c r="A77" s="111" t="s">
        <v>23</v>
      </c>
      <c r="B77" s="112"/>
      <c r="C77" s="112"/>
      <c r="D77" s="112"/>
      <c r="E77" s="112"/>
      <c r="F77" s="26">
        <v>29335.19</v>
      </c>
      <c r="G77" s="26">
        <f>L22</f>
        <v>0.18</v>
      </c>
      <c r="H77" s="72">
        <v>63364</v>
      </c>
      <c r="I77" s="66">
        <f>(H77*1.302)</f>
        <v>82499.928</v>
      </c>
      <c r="J77" s="73">
        <f>J69</f>
        <v>27405</v>
      </c>
      <c r="K77" s="66">
        <f>I77/J69</f>
        <v>3.0103969348659003</v>
      </c>
      <c r="L77" s="36"/>
      <c r="M77" s="9" t="e">
        <f>I77+'Работа №1'!#REF!+'Работа №2'!#REF!</f>
        <v>#REF!</v>
      </c>
    </row>
    <row r="78" spans="1:13" x14ac:dyDescent="0.25">
      <c r="A78" s="41"/>
      <c r="B78" s="41"/>
      <c r="C78" s="41"/>
      <c r="D78" s="41"/>
      <c r="E78" s="41"/>
      <c r="F78" s="9"/>
      <c r="G78" s="9"/>
      <c r="H78" s="9"/>
      <c r="I78" s="9"/>
      <c r="J78" s="9"/>
      <c r="K78" s="9"/>
      <c r="L78" s="9"/>
      <c r="M78" s="9"/>
    </row>
    <row r="79" spans="1:13" hidden="1" x14ac:dyDescent="0.25">
      <c r="A79" s="137" t="s">
        <v>99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8"/>
      <c r="M79" s="9"/>
    </row>
    <row r="80" spans="1:13" ht="45" hidden="1" x14ac:dyDescent="0.25">
      <c r="A80" s="97" t="s">
        <v>18</v>
      </c>
      <c r="B80" s="97"/>
      <c r="C80" s="97"/>
      <c r="D80" s="97"/>
      <c r="E80" s="97"/>
      <c r="F80" s="23" t="s">
        <v>6</v>
      </c>
      <c r="G80" s="23" t="s">
        <v>56</v>
      </c>
      <c r="H80" s="23" t="s">
        <v>57</v>
      </c>
      <c r="I80" s="23" t="s">
        <v>72</v>
      </c>
      <c r="J80" s="23" t="s">
        <v>67</v>
      </c>
      <c r="K80" s="29" t="s">
        <v>68</v>
      </c>
      <c r="L80" s="30"/>
      <c r="M80" s="9"/>
    </row>
    <row r="81" spans="1:13" ht="37.5" hidden="1" customHeight="1" x14ac:dyDescent="0.25">
      <c r="A81" s="87" t="s">
        <v>100</v>
      </c>
      <c r="B81" s="88"/>
      <c r="C81" s="88"/>
      <c r="D81" s="88"/>
      <c r="E81" s="89"/>
      <c r="F81" s="1"/>
      <c r="G81" s="1">
        <v>12</v>
      </c>
      <c r="H81" s="47"/>
      <c r="I81" s="2">
        <v>0</v>
      </c>
      <c r="J81" s="1">
        <v>27535</v>
      </c>
      <c r="K81" s="31">
        <f>I81/J81</f>
        <v>0</v>
      </c>
      <c r="L81" s="32"/>
      <c r="M81" s="9"/>
    </row>
    <row r="82" spans="1:13" hidden="1" x14ac:dyDescent="0.25">
      <c r="A82" s="126" t="s">
        <v>101</v>
      </c>
      <c r="B82" s="127"/>
      <c r="C82" s="127"/>
      <c r="D82" s="127"/>
      <c r="E82" s="127"/>
      <c r="F82" s="127"/>
      <c r="G82" s="127"/>
      <c r="H82" s="127"/>
      <c r="I82" s="6">
        <f>SUM(I81:I81)</f>
        <v>0</v>
      </c>
      <c r="J82" s="34">
        <f>J81</f>
        <v>27535</v>
      </c>
      <c r="K82" s="6">
        <f>I82/J82</f>
        <v>0</v>
      </c>
      <c r="L82" s="32"/>
      <c r="M82" s="11" t="e">
        <f>I82+'Работа №1'!#REF!+'Работа №2'!#REF!</f>
        <v>#REF!</v>
      </c>
    </row>
    <row r="83" spans="1:13" x14ac:dyDescent="0.25">
      <c r="A83" s="48"/>
      <c r="B83" s="48"/>
      <c r="C83" s="48"/>
      <c r="D83" s="48"/>
      <c r="E83" s="48"/>
      <c r="F83" s="48"/>
      <c r="G83" s="48"/>
      <c r="H83" s="48"/>
      <c r="I83" s="12"/>
      <c r="J83" s="12"/>
      <c r="K83" s="12"/>
      <c r="L83" s="36"/>
      <c r="M83" s="9"/>
    </row>
    <row r="84" spans="1:13" x14ac:dyDescent="0.25">
      <c r="A84" s="128" t="s">
        <v>102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9"/>
      <c r="M84" s="9"/>
    </row>
    <row r="85" spans="1:13" ht="45" x14ac:dyDescent="0.25">
      <c r="A85" s="97" t="s">
        <v>18</v>
      </c>
      <c r="B85" s="97"/>
      <c r="C85" s="97"/>
      <c r="D85" s="97"/>
      <c r="E85" s="97"/>
      <c r="F85" s="23" t="s">
        <v>6</v>
      </c>
      <c r="G85" s="23" t="s">
        <v>56</v>
      </c>
      <c r="H85" s="23" t="s">
        <v>57</v>
      </c>
      <c r="I85" s="23" t="s">
        <v>72</v>
      </c>
      <c r="J85" s="23" t="s">
        <v>67</v>
      </c>
      <c r="K85" s="29" t="s">
        <v>68</v>
      </c>
      <c r="L85" s="30"/>
      <c r="M85" s="9"/>
    </row>
    <row r="86" spans="1:13" ht="30" customHeight="1" x14ac:dyDescent="0.25">
      <c r="A86" s="87" t="s">
        <v>104</v>
      </c>
      <c r="B86" s="88"/>
      <c r="C86" s="88"/>
      <c r="D86" s="88"/>
      <c r="E86" s="89"/>
      <c r="F86" s="1" t="s">
        <v>24</v>
      </c>
      <c r="G86" s="1"/>
      <c r="H86" s="47"/>
      <c r="I86" s="2">
        <f>20000*8.66%</f>
        <v>1732</v>
      </c>
      <c r="J86" s="1">
        <f>J77</f>
        <v>27405</v>
      </c>
      <c r="K86" s="31">
        <f>I86/J86</f>
        <v>6.3200145958766649E-2</v>
      </c>
      <c r="L86" s="32"/>
      <c r="M86" s="9"/>
    </row>
    <row r="87" spans="1:13" x14ac:dyDescent="0.25">
      <c r="A87" s="103" t="s">
        <v>105</v>
      </c>
      <c r="B87" s="103"/>
      <c r="C87" s="103"/>
      <c r="D87" s="103"/>
      <c r="E87" s="103"/>
      <c r="F87" s="1" t="s">
        <v>24</v>
      </c>
      <c r="G87" s="1"/>
      <c r="H87" s="47"/>
      <c r="I87" s="2">
        <f>7810*8.66%</f>
        <v>676.346</v>
      </c>
      <c r="J87" s="1">
        <f>J86</f>
        <v>27405</v>
      </c>
      <c r="K87" s="31">
        <f>I87/J87</f>
        <v>2.4679656996898378E-2</v>
      </c>
      <c r="L87" s="32"/>
      <c r="M87" s="9"/>
    </row>
    <row r="88" spans="1:13" ht="15.75" thickBot="1" x14ac:dyDescent="0.3">
      <c r="A88" s="103" t="s">
        <v>112</v>
      </c>
      <c r="B88" s="103"/>
      <c r="C88" s="103"/>
      <c r="D88" s="103"/>
      <c r="E88" s="103"/>
      <c r="F88" s="1" t="s">
        <v>24</v>
      </c>
      <c r="G88" s="1"/>
      <c r="H88" s="56"/>
      <c r="I88" s="65">
        <f>34000*8.66%</f>
        <v>2944.4</v>
      </c>
      <c r="J88" s="1">
        <f>J87</f>
        <v>27405</v>
      </c>
      <c r="K88" s="68">
        <f>I88/J88</f>
        <v>0.10744024812990331</v>
      </c>
      <c r="L88" s="32"/>
      <c r="M88" s="57"/>
    </row>
    <row r="89" spans="1:13" ht="15.75" thickBot="1" x14ac:dyDescent="0.3">
      <c r="A89" s="126" t="s">
        <v>103</v>
      </c>
      <c r="B89" s="127"/>
      <c r="C89" s="127"/>
      <c r="D89" s="127"/>
      <c r="E89" s="127"/>
      <c r="F89" s="127"/>
      <c r="G89" s="127"/>
      <c r="H89" s="127"/>
      <c r="I89" s="70">
        <f>SUM(I86:I88)</f>
        <v>5352.7460000000001</v>
      </c>
      <c r="J89" s="67">
        <f>J88</f>
        <v>27405</v>
      </c>
      <c r="K89" s="70">
        <f>I89/J86</f>
        <v>0.19532005108556832</v>
      </c>
      <c r="L89" s="36"/>
      <c r="M89" s="11" t="e">
        <f>I89+'Работа №1'!#REF!+'Работа №2'!#REF!</f>
        <v>#REF!</v>
      </c>
    </row>
    <row r="90" spans="1:13" x14ac:dyDescent="0.25">
      <c r="A90" s="48"/>
      <c r="B90" s="48"/>
      <c r="C90" s="48"/>
      <c r="D90" s="48"/>
      <c r="E90" s="48"/>
      <c r="F90" s="48"/>
      <c r="G90" s="48"/>
      <c r="H90" s="48"/>
      <c r="I90" s="12"/>
      <c r="J90" s="12"/>
      <c r="K90" s="12"/>
      <c r="L90" s="36"/>
      <c r="M90" s="9"/>
    </row>
    <row r="91" spans="1:13" x14ac:dyDescent="0.25">
      <c r="A91" s="128" t="s">
        <v>106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9"/>
      <c r="M91" s="9"/>
    </row>
    <row r="92" spans="1:13" ht="45" x14ac:dyDescent="0.25">
      <c r="A92" s="97" t="s">
        <v>18</v>
      </c>
      <c r="B92" s="97"/>
      <c r="C92" s="97"/>
      <c r="D92" s="97"/>
      <c r="E92" s="97"/>
      <c r="F92" s="23" t="s">
        <v>6</v>
      </c>
      <c r="G92" s="23" t="s">
        <v>56</v>
      </c>
      <c r="H92" s="23" t="s">
        <v>57</v>
      </c>
      <c r="I92" s="23" t="s">
        <v>72</v>
      </c>
      <c r="J92" s="23" t="s">
        <v>67</v>
      </c>
      <c r="K92" s="29" t="s">
        <v>68</v>
      </c>
      <c r="L92" s="30"/>
      <c r="M92" s="9"/>
    </row>
    <row r="93" spans="1:13" ht="37.5" customHeight="1" thickBot="1" x14ac:dyDescent="0.3">
      <c r="A93" s="87" t="s">
        <v>108</v>
      </c>
      <c r="B93" s="88"/>
      <c r="C93" s="88"/>
      <c r="D93" s="88"/>
      <c r="E93" s="89"/>
      <c r="F93" s="1"/>
      <c r="G93" s="1"/>
      <c r="H93" s="47"/>
      <c r="I93" s="65">
        <f>71500*8.66%</f>
        <v>6191.9</v>
      </c>
      <c r="J93" s="1">
        <f>J89</f>
        <v>27405</v>
      </c>
      <c r="K93" s="68">
        <f>I93/J93</f>
        <v>0.22594052180259075</v>
      </c>
      <c r="L93" s="32"/>
      <c r="M93" s="9"/>
    </row>
    <row r="94" spans="1:13" ht="15.75" thickBot="1" x14ac:dyDescent="0.3">
      <c r="A94" s="126" t="s">
        <v>107</v>
      </c>
      <c r="B94" s="127"/>
      <c r="C94" s="127"/>
      <c r="D94" s="127"/>
      <c r="E94" s="127"/>
      <c r="F94" s="127"/>
      <c r="G94" s="127"/>
      <c r="H94" s="127"/>
      <c r="I94" s="70">
        <f>SUM(I93:I93)</f>
        <v>6191.9</v>
      </c>
      <c r="J94" s="67">
        <f>J93</f>
        <v>27405</v>
      </c>
      <c r="K94" s="70">
        <f>I94/J93</f>
        <v>0.22594052180259075</v>
      </c>
      <c r="L94" s="36"/>
      <c r="M94" s="11" t="e">
        <f>I94+'Работа №1'!#REF!+'Работа №2'!#REF!</f>
        <v>#REF!</v>
      </c>
    </row>
    <row r="95" spans="1:13" x14ac:dyDescent="0.25">
      <c r="A95" s="48"/>
      <c r="B95" s="48"/>
      <c r="C95" s="48"/>
      <c r="D95" s="48"/>
      <c r="E95" s="48"/>
      <c r="F95" s="48"/>
      <c r="G95" s="48"/>
      <c r="H95" s="48"/>
      <c r="I95" s="12"/>
      <c r="J95" s="49"/>
      <c r="K95" s="12"/>
      <c r="L95" s="36"/>
      <c r="M95" s="11"/>
    </row>
    <row r="96" spans="1:13" x14ac:dyDescent="0.25">
      <c r="A96" s="128" t="s">
        <v>109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9"/>
      <c r="M96" s="9"/>
    </row>
    <row r="97" spans="1:13" ht="45" x14ac:dyDescent="0.25">
      <c r="A97" s="97" t="s">
        <v>18</v>
      </c>
      <c r="B97" s="97"/>
      <c r="C97" s="97"/>
      <c r="D97" s="97"/>
      <c r="E97" s="97"/>
      <c r="F97" s="23" t="s">
        <v>6</v>
      </c>
      <c r="G97" s="23" t="s">
        <v>56</v>
      </c>
      <c r="H97" s="23" t="s">
        <v>57</v>
      </c>
      <c r="I97" s="23" t="s">
        <v>72</v>
      </c>
      <c r="J97" s="23" t="s">
        <v>67</v>
      </c>
      <c r="K97" s="29" t="s">
        <v>68</v>
      </c>
      <c r="L97" s="30"/>
      <c r="M97" s="9"/>
    </row>
    <row r="98" spans="1:13" ht="37.5" customHeight="1" thickBot="1" x14ac:dyDescent="0.3">
      <c r="A98" s="87" t="s">
        <v>88</v>
      </c>
      <c r="B98" s="88"/>
      <c r="C98" s="88"/>
      <c r="D98" s="88"/>
      <c r="E98" s="89"/>
      <c r="F98" s="1"/>
      <c r="G98" s="1"/>
      <c r="H98" s="47"/>
      <c r="I98" s="2">
        <f>322900*8.66%+0.02+1356.18+87-87</f>
        <v>29319.34</v>
      </c>
      <c r="J98" s="1">
        <f>J94</f>
        <v>27405</v>
      </c>
      <c r="K98" s="31">
        <f>I98/J98</f>
        <v>1.069853676336435</v>
      </c>
      <c r="L98" s="32"/>
      <c r="M98" s="9"/>
    </row>
    <row r="99" spans="1:13" ht="15.75" thickBot="1" x14ac:dyDescent="0.3">
      <c r="A99" s="126" t="s">
        <v>107</v>
      </c>
      <c r="B99" s="127"/>
      <c r="C99" s="127"/>
      <c r="D99" s="127"/>
      <c r="E99" s="127"/>
      <c r="F99" s="127"/>
      <c r="G99" s="127"/>
      <c r="H99" s="127"/>
      <c r="I99" s="66">
        <f>SUM(I98:I98)</f>
        <v>29319.34</v>
      </c>
      <c r="J99" s="67">
        <f>J98</f>
        <v>27405</v>
      </c>
      <c r="K99" s="70">
        <f>I99/J98</f>
        <v>1.069853676336435</v>
      </c>
      <c r="L99" s="36"/>
      <c r="M99" s="11" t="e">
        <f>I99+'Работа №1'!#REF!+'Работа №2'!#REF!</f>
        <v>#REF!</v>
      </c>
    </row>
    <row r="100" spans="1:13" x14ac:dyDescent="0.25">
      <c r="A100" s="48"/>
      <c r="B100" s="48"/>
      <c r="C100" s="48"/>
      <c r="D100" s="48"/>
      <c r="E100" s="48"/>
      <c r="F100" s="48"/>
      <c r="G100" s="48"/>
      <c r="H100" s="48"/>
      <c r="I100" s="12"/>
      <c r="J100" s="49"/>
      <c r="K100" s="12"/>
      <c r="L100" s="36"/>
      <c r="M100" s="11"/>
    </row>
    <row r="101" spans="1:13" ht="12.75" customHeight="1" x14ac:dyDescent="0.25">
      <c r="A101" s="128" t="s">
        <v>81</v>
      </c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9"/>
      <c r="M101" s="9"/>
    </row>
    <row r="102" spans="1:13" ht="45" x14ac:dyDescent="0.25">
      <c r="A102" s="97" t="s">
        <v>83</v>
      </c>
      <c r="B102" s="97"/>
      <c r="C102" s="97"/>
      <c r="D102" s="97"/>
      <c r="E102" s="97"/>
      <c r="F102" s="23" t="s">
        <v>6</v>
      </c>
      <c r="G102" s="23" t="s">
        <v>56</v>
      </c>
      <c r="H102" s="23" t="s">
        <v>57</v>
      </c>
      <c r="I102" s="23" t="s">
        <v>72</v>
      </c>
      <c r="J102" s="23" t="s">
        <v>67</v>
      </c>
      <c r="K102" s="29" t="s">
        <v>68</v>
      </c>
      <c r="L102" s="30"/>
      <c r="M102" s="9"/>
    </row>
    <row r="103" spans="1:13" ht="30" customHeight="1" thickBot="1" x14ac:dyDescent="0.3">
      <c r="A103" s="87" t="s">
        <v>90</v>
      </c>
      <c r="B103" s="88"/>
      <c r="C103" s="88"/>
      <c r="D103" s="88"/>
      <c r="E103" s="89"/>
      <c r="F103" s="1" t="s">
        <v>24</v>
      </c>
      <c r="G103" s="1"/>
      <c r="H103" s="47"/>
      <c r="I103" s="2">
        <f>4000</f>
        <v>4000</v>
      </c>
      <c r="J103" s="1">
        <f>J76</f>
        <v>27405</v>
      </c>
      <c r="K103" s="31">
        <f>I103/J103</f>
        <v>0.14595876664842183</v>
      </c>
      <c r="L103" s="32"/>
      <c r="M103" s="9"/>
    </row>
    <row r="104" spans="1:13" ht="33" hidden="1" customHeight="1" thickBot="1" x14ac:dyDescent="0.3">
      <c r="A104" s="133" t="s">
        <v>110</v>
      </c>
      <c r="B104" s="133"/>
      <c r="C104" s="133"/>
      <c r="D104" s="133"/>
      <c r="E104" s="133"/>
      <c r="F104" s="1" t="s">
        <v>24</v>
      </c>
      <c r="G104" s="1"/>
      <c r="H104" s="47"/>
      <c r="I104" s="65">
        <v>0</v>
      </c>
      <c r="J104" s="1">
        <f>J103</f>
        <v>27405</v>
      </c>
      <c r="K104" s="68">
        <f>I104/J104</f>
        <v>0</v>
      </c>
      <c r="L104" s="32"/>
      <c r="M104" s="9"/>
    </row>
    <row r="105" spans="1:13" ht="15.75" thickBot="1" x14ac:dyDescent="0.3">
      <c r="A105" s="126" t="s">
        <v>82</v>
      </c>
      <c r="B105" s="127"/>
      <c r="C105" s="127"/>
      <c r="D105" s="127"/>
      <c r="E105" s="127"/>
      <c r="F105" s="127"/>
      <c r="G105" s="127"/>
      <c r="H105" s="127"/>
      <c r="I105" s="70">
        <f>SUM(I103:I104)</f>
        <v>4000</v>
      </c>
      <c r="J105" s="71"/>
      <c r="K105" s="70">
        <f>I105/J103</f>
        <v>0.14595876664842183</v>
      </c>
      <c r="L105" s="36"/>
      <c r="M105" s="11" t="e">
        <f>I105+'Работа №1'!#REF!+'Работа №2'!#REF!</f>
        <v>#REF!</v>
      </c>
    </row>
    <row r="106" spans="1:13" ht="12.75" customHeight="1" x14ac:dyDescent="0.25">
      <c r="A106" s="128" t="s">
        <v>81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9"/>
      <c r="M106" s="84"/>
    </row>
    <row r="107" spans="1:13" ht="45" x14ac:dyDescent="0.25">
      <c r="A107" s="97" t="s">
        <v>83</v>
      </c>
      <c r="B107" s="97"/>
      <c r="C107" s="97"/>
      <c r="D107" s="97"/>
      <c r="E107" s="97"/>
      <c r="F107" s="82" t="s">
        <v>6</v>
      </c>
      <c r="G107" s="82" t="s">
        <v>56</v>
      </c>
      <c r="H107" s="82" t="s">
        <v>57</v>
      </c>
      <c r="I107" s="82" t="s">
        <v>72</v>
      </c>
      <c r="J107" s="82" t="s">
        <v>67</v>
      </c>
      <c r="K107" s="29" t="s">
        <v>68</v>
      </c>
      <c r="L107" s="30"/>
      <c r="M107" s="84"/>
    </row>
    <row r="108" spans="1:13" ht="30" customHeight="1" thickBot="1" x14ac:dyDescent="0.3">
      <c r="A108" s="87" t="s">
        <v>123</v>
      </c>
      <c r="B108" s="88"/>
      <c r="C108" s="88"/>
      <c r="D108" s="88"/>
      <c r="E108" s="89"/>
      <c r="F108" s="1" t="s">
        <v>24</v>
      </c>
      <c r="G108" s="1"/>
      <c r="H108" s="83"/>
      <c r="I108" s="2">
        <v>720</v>
      </c>
      <c r="J108" s="1">
        <f>J103</f>
        <v>27405</v>
      </c>
      <c r="K108" s="64">
        <f>I108/J108</f>
        <v>2.6272577996715927E-2</v>
      </c>
      <c r="L108" s="32"/>
      <c r="M108" s="84"/>
    </row>
    <row r="109" spans="1:13" ht="33" hidden="1" customHeight="1" x14ac:dyDescent="0.3">
      <c r="A109" s="133" t="s">
        <v>110</v>
      </c>
      <c r="B109" s="133"/>
      <c r="C109" s="133"/>
      <c r="D109" s="133"/>
      <c r="E109" s="133"/>
      <c r="F109" s="1" t="s">
        <v>24</v>
      </c>
      <c r="G109" s="1"/>
      <c r="H109" s="83"/>
      <c r="I109" s="65">
        <v>0</v>
      </c>
      <c r="J109" s="1">
        <f>J108</f>
        <v>27405</v>
      </c>
      <c r="K109" s="68">
        <f>I109/J109</f>
        <v>0</v>
      </c>
      <c r="L109" s="32"/>
      <c r="M109" s="84"/>
    </row>
    <row r="110" spans="1:13" ht="15.75" thickBot="1" x14ac:dyDescent="0.3">
      <c r="A110" s="126" t="s">
        <v>82</v>
      </c>
      <c r="B110" s="127"/>
      <c r="C110" s="127"/>
      <c r="D110" s="127"/>
      <c r="E110" s="127"/>
      <c r="F110" s="127"/>
      <c r="G110" s="127"/>
      <c r="H110" s="127"/>
      <c r="I110" s="70">
        <f>SUM(I108:I109)</f>
        <v>720</v>
      </c>
      <c r="J110" s="71"/>
      <c r="K110" s="70">
        <f>I110/J108</f>
        <v>2.6272577996715927E-2</v>
      </c>
      <c r="L110" s="36"/>
      <c r="M110" s="11" t="e">
        <f>I110+'Работа №1'!#REF!+'Работа №2'!#REF!</f>
        <v>#REF!</v>
      </c>
    </row>
    <row r="111" spans="1:13" x14ac:dyDescent="0.25">
      <c r="A111" s="39"/>
      <c r="B111" s="39"/>
      <c r="C111" s="39"/>
      <c r="D111" s="39"/>
      <c r="E111" s="39"/>
      <c r="F111" s="39"/>
      <c r="G111" s="39"/>
      <c r="H111" s="41"/>
      <c r="I111" s="41"/>
      <c r="J111" s="41"/>
      <c r="K111" s="41"/>
      <c r="L111" s="36"/>
      <c r="M111" s="9"/>
    </row>
    <row r="112" spans="1:13" x14ac:dyDescent="0.25">
      <c r="A112" s="128" t="s">
        <v>25</v>
      </c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9"/>
    </row>
    <row r="113" spans="1:13" x14ac:dyDescent="0.25">
      <c r="A113" s="125" t="s">
        <v>26</v>
      </c>
      <c r="B113" s="125"/>
      <c r="C113" s="125"/>
      <c r="D113" s="94" t="s">
        <v>27</v>
      </c>
      <c r="E113" s="95"/>
      <c r="F113" s="95"/>
      <c r="G113" s="95"/>
      <c r="H113" s="95"/>
      <c r="I113" s="95"/>
      <c r="J113" s="96"/>
      <c r="K113" s="125" t="s">
        <v>37</v>
      </c>
      <c r="L113" s="125"/>
      <c r="M113" s="9"/>
    </row>
    <row r="114" spans="1:13" ht="30.75" thickBot="1" x14ac:dyDescent="0.3">
      <c r="A114" s="1" t="s">
        <v>28</v>
      </c>
      <c r="B114" s="25" t="s">
        <v>29</v>
      </c>
      <c r="C114" s="1" t="s">
        <v>30</v>
      </c>
      <c r="D114" s="1" t="s">
        <v>31</v>
      </c>
      <c r="E114" s="1" t="s">
        <v>32</v>
      </c>
      <c r="F114" s="1" t="s">
        <v>33</v>
      </c>
      <c r="G114" s="1" t="s">
        <v>34</v>
      </c>
      <c r="H114" s="1" t="s">
        <v>113</v>
      </c>
      <c r="I114" s="1" t="s">
        <v>35</v>
      </c>
      <c r="J114" s="1" t="s">
        <v>36</v>
      </c>
      <c r="K114" s="130"/>
      <c r="L114" s="130"/>
      <c r="M114" s="9"/>
    </row>
    <row r="115" spans="1:13" ht="15.75" thickBot="1" x14ac:dyDescent="0.3">
      <c r="A115" s="1">
        <f>K32</f>
        <v>55.525099126436785</v>
      </c>
      <c r="B115" s="1"/>
      <c r="C115" s="1"/>
      <c r="D115" s="1">
        <f>K41</f>
        <v>3.9189903959861341</v>
      </c>
      <c r="E115" s="1">
        <f>K53</f>
        <v>1.475414454223682</v>
      </c>
      <c r="F115" s="1"/>
      <c r="G115" s="1">
        <f>K70</f>
        <v>0.72970888523991972</v>
      </c>
      <c r="H115" s="1">
        <f>K63</f>
        <v>1.3202194490056558</v>
      </c>
      <c r="I115" s="1">
        <f>K77</f>
        <v>3.0103969348659003</v>
      </c>
      <c r="J115" s="64">
        <f>K89+K94+K99+K105+K110</f>
        <v>1.6633455938697319</v>
      </c>
      <c r="K115" s="131">
        <f>A115+D115+E115+G115+H115+J115+I115</f>
        <v>67.643174839627804</v>
      </c>
      <c r="L115" s="132"/>
      <c r="M115" s="9"/>
    </row>
    <row r="116" spans="1:13" ht="30" customHeight="1" thickBot="1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15.75" thickBot="1" x14ac:dyDescent="0.3">
      <c r="A117" s="50" t="s">
        <v>47</v>
      </c>
      <c r="B117" s="5"/>
      <c r="C117" s="50"/>
      <c r="D117" s="50"/>
      <c r="E117" s="50"/>
      <c r="F117" s="50" t="s">
        <v>48</v>
      </c>
      <c r="G117" s="5"/>
      <c r="H117" s="5"/>
      <c r="I117" s="74">
        <f>I32+I41+I53+I63+I70+I82+I89+I94+I99+I105+I77+I110-0.01</f>
        <v>1853761.1964800002</v>
      </c>
      <c r="J117" s="5"/>
      <c r="K117" s="74">
        <f>K115*J108-0.01</f>
        <v>1853761.1964799999</v>
      </c>
      <c r="L117" s="5"/>
      <c r="M117" s="5"/>
    </row>
    <row r="118" spans="1:13" x14ac:dyDescent="0.25">
      <c r="A118" s="51"/>
      <c r="B118" s="52"/>
      <c r="C118" s="53"/>
    </row>
    <row r="119" spans="1:13" x14ac:dyDescent="0.25">
      <c r="A119" s="54"/>
    </row>
    <row r="120" spans="1:13" x14ac:dyDescent="0.25">
      <c r="A120" s="57" t="s">
        <v>115</v>
      </c>
      <c r="K120" s="80"/>
    </row>
    <row r="121" spans="1:13" x14ac:dyDescent="0.25">
      <c r="A121" s="50" t="s">
        <v>91</v>
      </c>
      <c r="B121" s="55"/>
      <c r="C121" s="5"/>
      <c r="D121" s="50"/>
      <c r="E121" s="50"/>
      <c r="F121" s="50"/>
      <c r="G121" s="5"/>
      <c r="H121" s="5"/>
      <c r="I121" s="5"/>
      <c r="J121" s="5"/>
      <c r="K121" s="5"/>
      <c r="L121" s="5"/>
      <c r="M121" s="5"/>
    </row>
    <row r="122" spans="1:13" x14ac:dyDescent="0.25">
      <c r="A122" s="50" t="s">
        <v>49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</sheetData>
  <mergeCells count="109">
    <mergeCell ref="A106:L106"/>
    <mergeCell ref="A107:E107"/>
    <mergeCell ref="A108:E108"/>
    <mergeCell ref="A109:E109"/>
    <mergeCell ref="A110:H110"/>
    <mergeCell ref="A101:L101"/>
    <mergeCell ref="A24:G24"/>
    <mergeCell ref="A30:E30"/>
    <mergeCell ref="A31:E31"/>
    <mergeCell ref="A37:E37"/>
    <mergeCell ref="A39:E39"/>
    <mergeCell ref="A44:E44"/>
    <mergeCell ref="A85:E85"/>
    <mergeCell ref="A59:E59"/>
    <mergeCell ref="A60:E60"/>
    <mergeCell ref="A61:E61"/>
    <mergeCell ref="A79:L79"/>
    <mergeCell ref="A80:E80"/>
    <mergeCell ref="A66:E66"/>
    <mergeCell ref="A65:L65"/>
    <mergeCell ref="A99:H99"/>
    <mergeCell ref="A93:E93"/>
    <mergeCell ref="A94:H94"/>
    <mergeCell ref="A96:L96"/>
    <mergeCell ref="K113:L114"/>
    <mergeCell ref="K115:L115"/>
    <mergeCell ref="A48:E48"/>
    <mergeCell ref="A74:E74"/>
    <mergeCell ref="A75:E75"/>
    <mergeCell ref="A103:E103"/>
    <mergeCell ref="A104:E104"/>
    <mergeCell ref="A105:H105"/>
    <mergeCell ref="A50:E50"/>
    <mergeCell ref="A49:E49"/>
    <mergeCell ref="A52:E52"/>
    <mergeCell ref="A53:H53"/>
    <mergeCell ref="A55:L55"/>
    <mergeCell ref="A73:M73"/>
    <mergeCell ref="A113:C113"/>
    <mergeCell ref="D113:J113"/>
    <mergeCell ref="A112:L112"/>
    <mergeCell ref="A102:E102"/>
    <mergeCell ref="A58:E58"/>
    <mergeCell ref="A62:E62"/>
    <mergeCell ref="A63:H63"/>
    <mergeCell ref="A81:E81"/>
    <mergeCell ref="A82:H82"/>
    <mergeCell ref="A84:L84"/>
    <mergeCell ref="A97:E97"/>
    <mergeCell ref="A98:E98"/>
    <mergeCell ref="A67:E67"/>
    <mergeCell ref="A69:E69"/>
    <mergeCell ref="A86:E86"/>
    <mergeCell ref="A87:E87"/>
    <mergeCell ref="A89:H89"/>
    <mergeCell ref="A91:L91"/>
    <mergeCell ref="A92:E92"/>
    <mergeCell ref="A76:E76"/>
    <mergeCell ref="A70:H70"/>
    <mergeCell ref="A88:E88"/>
    <mergeCell ref="A68:E68"/>
    <mergeCell ref="A77:E77"/>
    <mergeCell ref="A1:D1"/>
    <mergeCell ref="A5:C5"/>
    <mergeCell ref="A6:L6"/>
    <mergeCell ref="A7:L7"/>
    <mergeCell ref="A8:L8"/>
    <mergeCell ref="A2:F2"/>
    <mergeCell ref="A40:E40"/>
    <mergeCell ref="A51:E51"/>
    <mergeCell ref="A16:E16"/>
    <mergeCell ref="A17:E17"/>
    <mergeCell ref="A19:E19"/>
    <mergeCell ref="A21:E21"/>
    <mergeCell ref="G19:K19"/>
    <mergeCell ref="G20:K20"/>
    <mergeCell ref="A13:E13"/>
    <mergeCell ref="G13:K13"/>
    <mergeCell ref="A14:E14"/>
    <mergeCell ref="G14:K14"/>
    <mergeCell ref="A15:E15"/>
    <mergeCell ref="G15:K15"/>
    <mergeCell ref="A46:E46"/>
    <mergeCell ref="A47:E47"/>
    <mergeCell ref="A38:E38"/>
    <mergeCell ref="A43:L43"/>
    <mergeCell ref="A57:E57"/>
    <mergeCell ref="A3:E3"/>
    <mergeCell ref="A9:L9"/>
    <mergeCell ref="A56:E56"/>
    <mergeCell ref="A35:E35"/>
    <mergeCell ref="A45:E45"/>
    <mergeCell ref="A41:H41"/>
    <mergeCell ref="A36:E36"/>
    <mergeCell ref="G16:K16"/>
    <mergeCell ref="G17:K17"/>
    <mergeCell ref="G21:K21"/>
    <mergeCell ref="G22:K22"/>
    <mergeCell ref="A34:L34"/>
    <mergeCell ref="A20:E20"/>
    <mergeCell ref="A32:E32"/>
    <mergeCell ref="A28:E28"/>
    <mergeCell ref="A29:E29"/>
    <mergeCell ref="A22:E22"/>
    <mergeCell ref="A27:E27"/>
    <mergeCell ref="A18:E18"/>
    <mergeCell ref="G18:K18"/>
    <mergeCell ref="A25:E25"/>
    <mergeCell ref="A26:E26"/>
  </mergeCells>
  <pageMargins left="0.70866141732283472" right="0.70866141732283472" top="0.39370078740157483" bottom="0.39370078740157483" header="0.31496062992125984" footer="0.31496062992125984"/>
  <pageSetup paperSize="9" scale="86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topLeftCell="A83" zoomScale="80" zoomScaleNormal="80" workbookViewId="0">
      <selection activeCell="L108" sqref="L108"/>
    </sheetView>
  </sheetViews>
  <sheetFormatPr defaultRowHeight="15" x14ac:dyDescent="0.25"/>
  <cols>
    <col min="1" max="4" width="9.140625" style="4"/>
    <col min="5" max="5" width="9.5703125" style="4" customWidth="1"/>
    <col min="6" max="6" width="13.7109375" style="4" customWidth="1"/>
    <col min="7" max="7" width="14.28515625" style="4" customWidth="1"/>
    <col min="8" max="8" width="17.42578125" style="4" customWidth="1"/>
    <col min="9" max="9" width="13.7109375" style="4" customWidth="1"/>
    <col min="10" max="10" width="13.85546875" style="4" customWidth="1"/>
    <col min="11" max="11" width="14.42578125" style="4" customWidth="1"/>
    <col min="12" max="12" width="14" style="4" customWidth="1"/>
    <col min="13" max="13" width="13.28515625" style="4" customWidth="1"/>
    <col min="14" max="16384" width="9.140625" style="4"/>
  </cols>
  <sheetData>
    <row r="1" spans="1:15" ht="15.75" x14ac:dyDescent="0.25">
      <c r="A1" s="120" t="s">
        <v>50</v>
      </c>
      <c r="B1" s="120"/>
      <c r="C1" s="120"/>
      <c r="D1" s="120"/>
      <c r="E1" s="13"/>
      <c r="F1" s="13"/>
    </row>
    <row r="2" spans="1:15" ht="15.75" x14ac:dyDescent="0.25">
      <c r="A2" s="120" t="s">
        <v>51</v>
      </c>
      <c r="B2" s="120"/>
      <c r="C2" s="91"/>
      <c r="D2" s="91"/>
      <c r="E2" s="91"/>
      <c r="F2" s="91"/>
    </row>
    <row r="3" spans="1:15" ht="15.75" x14ac:dyDescent="0.25">
      <c r="A3" s="90" t="s">
        <v>52</v>
      </c>
      <c r="B3" s="90"/>
      <c r="C3" s="90"/>
      <c r="D3" s="91"/>
      <c r="E3" s="91"/>
      <c r="F3" s="13"/>
    </row>
    <row r="4" spans="1:15" ht="9.75" customHeight="1" x14ac:dyDescent="0.25">
      <c r="A4" s="14"/>
      <c r="B4" s="14"/>
      <c r="C4" s="14"/>
      <c r="D4" s="15"/>
      <c r="E4" s="13"/>
      <c r="F4" s="13"/>
    </row>
    <row r="5" spans="1:15" ht="12.75" customHeight="1" x14ac:dyDescent="0.25">
      <c r="A5" s="90"/>
      <c r="B5" s="90"/>
      <c r="C5" s="90"/>
      <c r="D5" s="15"/>
      <c r="E5" s="13"/>
      <c r="F5" s="13"/>
    </row>
    <row r="6" spans="1:15" ht="15.75" x14ac:dyDescent="0.25">
      <c r="A6" s="121" t="s">
        <v>53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5" ht="15.75" x14ac:dyDescent="0.25">
      <c r="A7" s="121" t="s">
        <v>84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5" ht="14.25" customHeight="1" x14ac:dyDescent="0.25">
      <c r="A8" s="122" t="s">
        <v>117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5" ht="18.75" customHeight="1" x14ac:dyDescent="0.25">
      <c r="A9" s="92" t="s">
        <v>63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16"/>
      <c r="N9" s="17"/>
      <c r="O9" s="17"/>
    </row>
    <row r="10" spans="1:15" hidden="1" x14ac:dyDescent="0.25">
      <c r="A10" s="11" t="s">
        <v>85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x14ac:dyDescent="0.25">
      <c r="A11" s="11" t="s">
        <v>119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x14ac:dyDescent="0.25">
      <c r="A12" s="11" t="s">
        <v>62</v>
      </c>
      <c r="B12" s="9"/>
      <c r="C12" s="9"/>
      <c r="D12" s="9"/>
      <c r="E12" s="9"/>
    </row>
    <row r="13" spans="1:15" ht="33" customHeight="1" x14ac:dyDescent="0.25">
      <c r="A13" s="125" t="s">
        <v>0</v>
      </c>
      <c r="B13" s="125"/>
      <c r="C13" s="125"/>
      <c r="D13" s="125"/>
      <c r="E13" s="125"/>
      <c r="F13" s="1" t="s">
        <v>1</v>
      </c>
      <c r="G13" s="125" t="s">
        <v>2</v>
      </c>
      <c r="H13" s="125"/>
      <c r="I13" s="125"/>
      <c r="J13" s="125"/>
      <c r="K13" s="125"/>
      <c r="L13" s="1" t="s">
        <v>1</v>
      </c>
      <c r="M13" s="84"/>
    </row>
    <row r="14" spans="1:15" ht="16.5" customHeight="1" x14ac:dyDescent="0.25">
      <c r="A14" s="113" t="s">
        <v>55</v>
      </c>
      <c r="B14" s="105"/>
      <c r="C14" s="105"/>
      <c r="D14" s="105"/>
      <c r="E14" s="106"/>
      <c r="F14" s="18">
        <f>1*45.67%</f>
        <v>0.45669999999999999</v>
      </c>
      <c r="G14" s="104" t="s">
        <v>39</v>
      </c>
      <c r="H14" s="105"/>
      <c r="I14" s="105"/>
      <c r="J14" s="105"/>
      <c r="K14" s="106"/>
      <c r="L14" s="85">
        <f>1*45.67%</f>
        <v>0.45669999999999999</v>
      </c>
      <c r="M14" s="84"/>
    </row>
    <row r="15" spans="1:15" ht="15.75" customHeight="1" x14ac:dyDescent="0.25">
      <c r="A15" s="113" t="s">
        <v>41</v>
      </c>
      <c r="B15" s="105"/>
      <c r="C15" s="105"/>
      <c r="D15" s="105"/>
      <c r="E15" s="106"/>
      <c r="F15" s="18">
        <f>20.5*45.67%</f>
        <v>9.3623499999999993</v>
      </c>
      <c r="G15" s="104" t="s">
        <v>40</v>
      </c>
      <c r="H15" s="105"/>
      <c r="I15" s="105"/>
      <c r="J15" s="105"/>
      <c r="K15" s="106"/>
      <c r="L15" s="85">
        <f>1*45.67%</f>
        <v>0.45669999999999999</v>
      </c>
      <c r="M15" s="84"/>
    </row>
    <row r="16" spans="1:15" ht="18" customHeight="1" x14ac:dyDescent="0.25">
      <c r="A16" s="113" t="s">
        <v>64</v>
      </c>
      <c r="B16" s="105"/>
      <c r="C16" s="105"/>
      <c r="D16" s="105"/>
      <c r="E16" s="106"/>
      <c r="F16" s="18">
        <f>1*45.67%</f>
        <v>0.45669999999999999</v>
      </c>
      <c r="G16" s="104"/>
      <c r="H16" s="105"/>
      <c r="I16" s="105"/>
      <c r="J16" s="105"/>
      <c r="K16" s="106"/>
      <c r="L16" s="18"/>
      <c r="M16" s="84"/>
    </row>
    <row r="17" spans="1:13" ht="16.5" customHeight="1" x14ac:dyDescent="0.25">
      <c r="A17" s="113" t="s">
        <v>44</v>
      </c>
      <c r="B17" s="105"/>
      <c r="C17" s="105"/>
      <c r="D17" s="105"/>
      <c r="E17" s="106"/>
      <c r="F17" s="18">
        <f>1*45.67%</f>
        <v>0.45669999999999999</v>
      </c>
      <c r="G17" s="104"/>
      <c r="H17" s="105"/>
      <c r="I17" s="105"/>
      <c r="J17" s="105"/>
      <c r="K17" s="106"/>
      <c r="L17" s="18"/>
      <c r="M17" s="84"/>
    </row>
    <row r="18" spans="1:13" ht="15" customHeight="1" x14ac:dyDescent="0.25">
      <c r="A18" s="104" t="s">
        <v>43</v>
      </c>
      <c r="B18" s="107"/>
      <c r="C18" s="107"/>
      <c r="D18" s="107"/>
      <c r="E18" s="108"/>
      <c r="F18" s="18">
        <f>5*45.67%</f>
        <v>2.2835000000000001</v>
      </c>
      <c r="G18" s="104"/>
      <c r="H18" s="105"/>
      <c r="I18" s="105"/>
      <c r="J18" s="105"/>
      <c r="K18" s="106"/>
      <c r="L18" s="18"/>
      <c r="M18" s="84"/>
    </row>
    <row r="19" spans="1:13" ht="15.75" customHeight="1" thickBot="1" x14ac:dyDescent="0.3">
      <c r="A19" s="104" t="s">
        <v>42</v>
      </c>
      <c r="B19" s="107"/>
      <c r="C19" s="107"/>
      <c r="D19" s="107"/>
      <c r="E19" s="108"/>
      <c r="F19" s="18">
        <f>10*45.67%</f>
        <v>4.5670000000000002</v>
      </c>
      <c r="G19" s="104"/>
      <c r="H19" s="107"/>
      <c r="I19" s="107"/>
      <c r="J19" s="107"/>
      <c r="K19" s="108"/>
      <c r="L19" s="18"/>
      <c r="M19" s="84"/>
    </row>
    <row r="20" spans="1:13" ht="14.25" hidden="1" customHeight="1" x14ac:dyDescent="0.3">
      <c r="A20" s="104"/>
      <c r="B20" s="107"/>
      <c r="C20" s="107"/>
      <c r="D20" s="107"/>
      <c r="E20" s="108"/>
      <c r="F20" s="85"/>
      <c r="G20" s="104"/>
      <c r="H20" s="107"/>
      <c r="I20" s="107"/>
      <c r="J20" s="107"/>
      <c r="K20" s="108"/>
      <c r="L20" s="18"/>
      <c r="M20" s="84"/>
    </row>
    <row r="21" spans="1:13" ht="15" hidden="1" customHeight="1" x14ac:dyDescent="0.3">
      <c r="A21" s="104"/>
      <c r="B21" s="105"/>
      <c r="C21" s="105"/>
      <c r="D21" s="105"/>
      <c r="E21" s="106"/>
      <c r="F21" s="61"/>
      <c r="G21" s="104"/>
      <c r="H21" s="107"/>
      <c r="I21" s="107"/>
      <c r="J21" s="107"/>
      <c r="K21" s="108"/>
      <c r="L21" s="62"/>
      <c r="M21" s="84"/>
    </row>
    <row r="22" spans="1:13" ht="15.75" thickBot="1" x14ac:dyDescent="0.3">
      <c r="A22" s="117" t="s">
        <v>3</v>
      </c>
      <c r="B22" s="118"/>
      <c r="C22" s="118"/>
      <c r="D22" s="118"/>
      <c r="E22" s="118"/>
      <c r="F22" s="63">
        <f>SUM(F14:F21)</f>
        <v>17.582949999999997</v>
      </c>
      <c r="G22" s="109"/>
      <c r="H22" s="109"/>
      <c r="I22" s="109"/>
      <c r="J22" s="109"/>
      <c r="K22" s="109"/>
      <c r="L22" s="63">
        <v>0.92</v>
      </c>
      <c r="M22" s="11"/>
    </row>
    <row r="23" spans="1:13" ht="15.75" thickBot="1" x14ac:dyDescent="0.3">
      <c r="A23" s="20"/>
      <c r="B23" s="20"/>
      <c r="C23" s="20"/>
      <c r="D23" s="20"/>
      <c r="E23" s="20"/>
      <c r="F23" s="21"/>
      <c r="G23" s="22"/>
      <c r="H23" s="22"/>
      <c r="I23" s="22"/>
      <c r="J23" s="22"/>
      <c r="K23" s="22"/>
      <c r="L23" s="21"/>
      <c r="M23" s="9"/>
    </row>
    <row r="24" spans="1:13" ht="15.75" thickBot="1" x14ac:dyDescent="0.3">
      <c r="A24" s="134" t="s">
        <v>86</v>
      </c>
      <c r="B24" s="134"/>
      <c r="C24" s="134"/>
      <c r="D24" s="134"/>
      <c r="E24" s="134"/>
      <c r="F24" s="134"/>
      <c r="G24" s="134"/>
      <c r="H24" s="76">
        <v>144419</v>
      </c>
      <c r="I24" s="9"/>
      <c r="J24" s="9"/>
      <c r="K24" s="9"/>
      <c r="L24" s="9"/>
      <c r="M24" s="9"/>
    </row>
    <row r="25" spans="1:13" ht="75.75" thickBot="1" x14ac:dyDescent="0.3">
      <c r="A25" s="94" t="s">
        <v>4</v>
      </c>
      <c r="B25" s="95"/>
      <c r="C25" s="95"/>
      <c r="D25" s="95"/>
      <c r="E25" s="96"/>
      <c r="F25" s="23" t="s">
        <v>5</v>
      </c>
      <c r="G25" s="23" t="s">
        <v>1</v>
      </c>
      <c r="H25" s="75" t="s">
        <v>65</v>
      </c>
      <c r="I25" s="23" t="s">
        <v>66</v>
      </c>
      <c r="J25" s="23" t="s">
        <v>67</v>
      </c>
      <c r="K25" s="24" t="s">
        <v>68</v>
      </c>
      <c r="L25" s="40"/>
      <c r="M25" s="9"/>
    </row>
    <row r="26" spans="1:13" ht="18.75" hidden="1" customHeight="1" x14ac:dyDescent="0.25">
      <c r="A26" s="87" t="s">
        <v>55</v>
      </c>
      <c r="B26" s="88"/>
      <c r="C26" s="88"/>
      <c r="D26" s="88"/>
      <c r="E26" s="89"/>
      <c r="F26" s="1">
        <f>'Услуга №1  '!F26</f>
        <v>0</v>
      </c>
      <c r="G26" s="19">
        <v>0.01</v>
      </c>
      <c r="H26" s="1">
        <f>F26*G26*12</f>
        <v>0</v>
      </c>
      <c r="I26" s="1">
        <f>H26*1.302</f>
        <v>0</v>
      </c>
      <c r="J26" s="1">
        <f>H24</f>
        <v>144419</v>
      </c>
      <c r="K26" s="1">
        <f>I26/J26</f>
        <v>0</v>
      </c>
      <c r="L26" s="36"/>
      <c r="M26" s="9"/>
    </row>
    <row r="27" spans="1:13" ht="16.5" hidden="1" customHeight="1" x14ac:dyDescent="0.25">
      <c r="A27" s="119" t="s">
        <v>41</v>
      </c>
      <c r="B27" s="119"/>
      <c r="C27" s="119"/>
      <c r="D27" s="119"/>
      <c r="E27" s="119"/>
      <c r="F27" s="1">
        <f>'Услуга №1  '!F27</f>
        <v>0</v>
      </c>
      <c r="G27" s="19">
        <v>0.23</v>
      </c>
      <c r="H27" s="1">
        <f t="shared" ref="H27:H31" si="0">F27*G27*12</f>
        <v>0</v>
      </c>
      <c r="I27" s="1">
        <f t="shared" ref="I27:I31" si="1">H27*1.302</f>
        <v>0</v>
      </c>
      <c r="J27" s="1">
        <f>J26</f>
        <v>144419</v>
      </c>
      <c r="K27" s="1">
        <f t="shared" ref="K27:K31" si="2">I27/J27</f>
        <v>0</v>
      </c>
      <c r="L27" s="36"/>
      <c r="M27" s="9"/>
    </row>
    <row r="28" spans="1:13" ht="15" hidden="1" customHeight="1" x14ac:dyDescent="0.25">
      <c r="A28" s="113" t="s">
        <v>64</v>
      </c>
      <c r="B28" s="105"/>
      <c r="C28" s="105"/>
      <c r="D28" s="105"/>
      <c r="E28" s="106"/>
      <c r="F28" s="1">
        <f>'Услуга №1  '!F28</f>
        <v>0</v>
      </c>
      <c r="G28" s="19">
        <v>0.01</v>
      </c>
      <c r="H28" s="1">
        <f t="shared" si="0"/>
        <v>0</v>
      </c>
      <c r="I28" s="1">
        <f t="shared" si="1"/>
        <v>0</v>
      </c>
      <c r="J28" s="1">
        <f>J27</f>
        <v>144419</v>
      </c>
      <c r="K28" s="1">
        <f t="shared" si="2"/>
        <v>0</v>
      </c>
      <c r="L28" s="36"/>
      <c r="M28" s="9"/>
    </row>
    <row r="29" spans="1:13" ht="15" hidden="1" customHeight="1" x14ac:dyDescent="0.25">
      <c r="A29" s="114" t="s">
        <v>44</v>
      </c>
      <c r="B29" s="115"/>
      <c r="C29" s="115"/>
      <c r="D29" s="115"/>
      <c r="E29" s="116"/>
      <c r="F29" s="1">
        <f>'Услуга №1  '!F29</f>
        <v>0</v>
      </c>
      <c r="G29" s="19">
        <v>0.01</v>
      </c>
      <c r="H29" s="1">
        <f t="shared" si="0"/>
        <v>0</v>
      </c>
      <c r="I29" s="1">
        <f t="shared" si="1"/>
        <v>0</v>
      </c>
      <c r="J29" s="1">
        <f>J28</f>
        <v>144419</v>
      </c>
      <c r="K29" s="1">
        <f t="shared" si="2"/>
        <v>0</v>
      </c>
      <c r="L29" s="36"/>
      <c r="M29" s="9"/>
    </row>
    <row r="30" spans="1:13" ht="14.25" hidden="1" customHeight="1" x14ac:dyDescent="0.25">
      <c r="A30" s="104" t="s">
        <v>42</v>
      </c>
      <c r="B30" s="88"/>
      <c r="C30" s="88"/>
      <c r="D30" s="88"/>
      <c r="E30" s="89"/>
      <c r="F30" s="1">
        <f>'Услуга №1  '!F30</f>
        <v>0</v>
      </c>
      <c r="G30" s="19">
        <v>7.0000000000000007E-2</v>
      </c>
      <c r="H30" s="1">
        <f t="shared" si="0"/>
        <v>0</v>
      </c>
      <c r="I30" s="1">
        <f t="shared" si="1"/>
        <v>0</v>
      </c>
      <c r="J30" s="1">
        <f>J27</f>
        <v>144419</v>
      </c>
      <c r="K30" s="1">
        <f t="shared" si="2"/>
        <v>0</v>
      </c>
      <c r="L30" s="36"/>
      <c r="M30" s="9"/>
    </row>
    <row r="31" spans="1:13" ht="15.75" hidden="1" customHeight="1" x14ac:dyDescent="0.25">
      <c r="A31" s="104" t="s">
        <v>43</v>
      </c>
      <c r="B31" s="88"/>
      <c r="C31" s="88"/>
      <c r="D31" s="88"/>
      <c r="E31" s="89"/>
      <c r="F31" s="1">
        <f>'Услуга №1  '!F31</f>
        <v>0</v>
      </c>
      <c r="G31" s="19">
        <v>0.1</v>
      </c>
      <c r="H31" s="1">
        <f t="shared" si="0"/>
        <v>0</v>
      </c>
      <c r="I31" s="69">
        <f t="shared" si="1"/>
        <v>0</v>
      </c>
      <c r="J31" s="1">
        <f>H24</f>
        <v>144419</v>
      </c>
      <c r="K31" s="69">
        <f t="shared" si="2"/>
        <v>0</v>
      </c>
      <c r="L31" s="36"/>
      <c r="M31" s="9"/>
    </row>
    <row r="32" spans="1:13" ht="29.25" customHeight="1" thickBot="1" x14ac:dyDescent="0.3">
      <c r="A32" s="111" t="s">
        <v>69</v>
      </c>
      <c r="B32" s="112"/>
      <c r="C32" s="112"/>
      <c r="D32" s="112"/>
      <c r="E32" s="112"/>
      <c r="F32" s="46">
        <v>29335.19</v>
      </c>
      <c r="G32" s="26">
        <f>F22</f>
        <v>17.582949999999997</v>
      </c>
      <c r="H32" s="72">
        <v>6188550.6699999999</v>
      </c>
      <c r="I32" s="66">
        <f>(H32*1.302)</f>
        <v>8057492.9723399999</v>
      </c>
      <c r="J32" s="73">
        <f>H24</f>
        <v>144419</v>
      </c>
      <c r="K32" s="66">
        <f>I32/J32</f>
        <v>55.792471713140237</v>
      </c>
      <c r="L32" s="36"/>
      <c r="M32" s="9"/>
    </row>
    <row r="33" spans="1:13" x14ac:dyDescent="0.25">
      <c r="A33" s="27"/>
      <c r="B33" s="27"/>
      <c r="C33" s="27"/>
      <c r="D33" s="27"/>
      <c r="E33" s="27"/>
      <c r="F33" s="27"/>
      <c r="G33" s="27"/>
      <c r="H33" s="27"/>
      <c r="I33" s="9"/>
      <c r="J33" s="9"/>
      <c r="K33" s="9"/>
      <c r="L33" s="28"/>
      <c r="M33" s="9"/>
    </row>
    <row r="34" spans="1:13" x14ac:dyDescent="0.25">
      <c r="A34" s="110" t="s">
        <v>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84"/>
    </row>
    <row r="35" spans="1:13" ht="45" x14ac:dyDescent="0.25">
      <c r="A35" s="97" t="s">
        <v>8</v>
      </c>
      <c r="B35" s="97"/>
      <c r="C35" s="97"/>
      <c r="D35" s="97"/>
      <c r="E35" s="97"/>
      <c r="F35" s="82" t="s">
        <v>6</v>
      </c>
      <c r="G35" s="82" t="s">
        <v>56</v>
      </c>
      <c r="H35" s="82" t="s">
        <v>57</v>
      </c>
      <c r="I35" s="82" t="s">
        <v>72</v>
      </c>
      <c r="J35" s="82" t="s">
        <v>67</v>
      </c>
      <c r="K35" s="29" t="s">
        <v>68</v>
      </c>
      <c r="L35" s="30"/>
      <c r="M35" s="84"/>
    </row>
    <row r="36" spans="1:13" x14ac:dyDescent="0.25">
      <c r="A36" s="103" t="s">
        <v>9</v>
      </c>
      <c r="B36" s="103"/>
      <c r="C36" s="103"/>
      <c r="D36" s="103"/>
      <c r="E36" s="103"/>
      <c r="F36" s="1" t="s">
        <v>92</v>
      </c>
      <c r="G36" s="59">
        <f>I36/H36</f>
        <v>16.126192598886632</v>
      </c>
      <c r="H36" s="45">
        <v>7873.41</v>
      </c>
      <c r="I36" s="2">
        <f>278012.1*45.67%</f>
        <v>126968.12606999998</v>
      </c>
      <c r="J36" s="1">
        <f>H24</f>
        <v>144419</v>
      </c>
      <c r="K36" s="64">
        <f>I36/J36</f>
        <v>0.8791649718527339</v>
      </c>
      <c r="L36" s="32"/>
      <c r="M36" s="84"/>
    </row>
    <row r="37" spans="1:13" x14ac:dyDescent="0.25">
      <c r="A37" s="103" t="s">
        <v>10</v>
      </c>
      <c r="B37" s="103"/>
      <c r="C37" s="103"/>
      <c r="D37" s="103"/>
      <c r="E37" s="103"/>
      <c r="F37" s="1" t="s">
        <v>93</v>
      </c>
      <c r="G37" s="59">
        <f t="shared" ref="G37:G40" si="3">I37/H37</f>
        <v>232.67956942708449</v>
      </c>
      <c r="H37" s="45">
        <v>1798.52</v>
      </c>
      <c r="I37" s="2">
        <f>916310.18*45.67%</f>
        <v>418478.85920599999</v>
      </c>
      <c r="J37" s="1">
        <f>J36</f>
        <v>144419</v>
      </c>
      <c r="K37" s="64">
        <f t="shared" ref="K37:K40" si="4">I37/J37</f>
        <v>2.8976717689916147</v>
      </c>
      <c r="L37" s="32"/>
      <c r="M37" s="84"/>
    </row>
    <row r="38" spans="1:13" x14ac:dyDescent="0.25">
      <c r="A38" s="103" t="s">
        <v>11</v>
      </c>
      <c r="B38" s="103"/>
      <c r="C38" s="103"/>
      <c r="D38" s="103"/>
      <c r="E38" s="103"/>
      <c r="F38" s="1" t="s">
        <v>94</v>
      </c>
      <c r="G38" s="59">
        <f t="shared" si="3"/>
        <v>106.15897686741363</v>
      </c>
      <c r="H38" s="45">
        <v>42.84</v>
      </c>
      <c r="I38" s="2">
        <f>9958.07*45.67%</f>
        <v>4547.8505690000002</v>
      </c>
      <c r="J38" s="1">
        <f>J37</f>
        <v>144419</v>
      </c>
      <c r="K38" s="64">
        <f t="shared" si="4"/>
        <v>3.1490666525872638E-2</v>
      </c>
      <c r="L38" s="32"/>
      <c r="M38" s="84"/>
    </row>
    <row r="39" spans="1:13" x14ac:dyDescent="0.25">
      <c r="A39" s="103" t="s">
        <v>12</v>
      </c>
      <c r="B39" s="103"/>
      <c r="C39" s="103"/>
      <c r="D39" s="103"/>
      <c r="E39" s="103"/>
      <c r="F39" s="81" t="s">
        <v>94</v>
      </c>
      <c r="G39" s="59">
        <f t="shared" si="3"/>
        <v>148.71283684885395</v>
      </c>
      <c r="H39" s="45">
        <v>62.39</v>
      </c>
      <c r="I39" s="2">
        <f>20315.73*45.67%</f>
        <v>9278.193890999999</v>
      </c>
      <c r="J39" s="1">
        <f>J37</f>
        <v>144419</v>
      </c>
      <c r="K39" s="64">
        <f t="shared" si="4"/>
        <v>6.4244967012650686E-2</v>
      </c>
      <c r="L39" s="32"/>
      <c r="M39" s="10"/>
    </row>
    <row r="40" spans="1:13" ht="15.75" thickBot="1" x14ac:dyDescent="0.3">
      <c r="A40" s="98" t="s">
        <v>15</v>
      </c>
      <c r="B40" s="123"/>
      <c r="C40" s="123"/>
      <c r="D40" s="123"/>
      <c r="E40" s="123"/>
      <c r="F40" s="81" t="s">
        <v>94</v>
      </c>
      <c r="G40" s="59">
        <f t="shared" si="3"/>
        <v>5.4803613264049265</v>
      </c>
      <c r="H40" s="60">
        <v>1299</v>
      </c>
      <c r="I40" s="65">
        <f>15587.89*45.67%</f>
        <v>7118.9893629999997</v>
      </c>
      <c r="J40" s="1">
        <f t="shared" ref="J40:J41" si="5">J38</f>
        <v>144419</v>
      </c>
      <c r="K40" s="68">
        <f t="shared" si="4"/>
        <v>4.9293994301303844E-2</v>
      </c>
      <c r="L40" s="32"/>
      <c r="M40" s="10"/>
    </row>
    <row r="41" spans="1:13" ht="15" customHeight="1" thickBot="1" x14ac:dyDescent="0.3">
      <c r="A41" s="101" t="s">
        <v>13</v>
      </c>
      <c r="B41" s="102"/>
      <c r="C41" s="102"/>
      <c r="D41" s="102"/>
      <c r="E41" s="102"/>
      <c r="F41" s="102"/>
      <c r="G41" s="102"/>
      <c r="H41" s="102"/>
      <c r="I41" s="66">
        <f>SUM(I36:I39)+I40</f>
        <v>566392.01909900003</v>
      </c>
      <c r="J41" s="67">
        <f t="shared" si="5"/>
        <v>144419</v>
      </c>
      <c r="K41" s="66">
        <f>I41/H24</f>
        <v>3.9218663686841762</v>
      </c>
      <c r="L41" s="36"/>
      <c r="M41" s="84"/>
    </row>
    <row r="42" spans="1:13" x14ac:dyDescent="0.25">
      <c r="A42" s="84"/>
      <c r="B42" s="84"/>
      <c r="C42" s="84"/>
      <c r="D42" s="84"/>
      <c r="E42" s="84"/>
      <c r="F42" s="58"/>
      <c r="G42" s="58"/>
      <c r="H42" s="58"/>
      <c r="I42" s="58"/>
      <c r="J42" s="58"/>
      <c r="K42" s="58"/>
      <c r="L42" s="58"/>
      <c r="M42" s="84"/>
    </row>
    <row r="43" spans="1:13" x14ac:dyDescent="0.25">
      <c r="A43" s="110" t="s">
        <v>14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84"/>
    </row>
    <row r="44" spans="1:13" ht="45" x14ac:dyDescent="0.25">
      <c r="A44" s="94" t="s">
        <v>18</v>
      </c>
      <c r="B44" s="95"/>
      <c r="C44" s="95"/>
      <c r="D44" s="95"/>
      <c r="E44" s="96"/>
      <c r="F44" s="82" t="s">
        <v>6</v>
      </c>
      <c r="G44" s="82" t="s">
        <v>56</v>
      </c>
      <c r="H44" s="82" t="s">
        <v>57</v>
      </c>
      <c r="I44" s="82" t="s">
        <v>72</v>
      </c>
      <c r="J44" s="82" t="s">
        <v>67</v>
      </c>
      <c r="K44" s="29" t="s">
        <v>68</v>
      </c>
      <c r="L44" s="30"/>
      <c r="M44" s="84"/>
    </row>
    <row r="45" spans="1:13" ht="18.75" customHeight="1" x14ac:dyDescent="0.25">
      <c r="A45" s="98" t="s">
        <v>58</v>
      </c>
      <c r="B45" s="99"/>
      <c r="C45" s="99"/>
      <c r="D45" s="99"/>
      <c r="E45" s="100"/>
      <c r="F45" s="81" t="s">
        <v>73</v>
      </c>
      <c r="G45" s="1">
        <v>12</v>
      </c>
      <c r="H45" s="1">
        <v>5535.83</v>
      </c>
      <c r="I45" s="2">
        <f>66430*45.67%</f>
        <v>30338.580999999998</v>
      </c>
      <c r="J45" s="1">
        <f>J36</f>
        <v>144419</v>
      </c>
      <c r="K45" s="64">
        <f>I45/J45</f>
        <v>0.21007333522597441</v>
      </c>
      <c r="L45" s="32"/>
      <c r="M45" s="36"/>
    </row>
    <row r="46" spans="1:13" ht="18.75" customHeight="1" x14ac:dyDescent="0.25">
      <c r="A46" s="98" t="s">
        <v>16</v>
      </c>
      <c r="B46" s="99"/>
      <c r="C46" s="99"/>
      <c r="D46" s="99"/>
      <c r="E46" s="100"/>
      <c r="F46" s="81" t="s">
        <v>17</v>
      </c>
      <c r="G46" s="1">
        <v>4</v>
      </c>
      <c r="H46" s="1">
        <v>1500</v>
      </c>
      <c r="I46" s="2">
        <f>18000*45.67%</f>
        <v>8220.6</v>
      </c>
      <c r="J46" s="1">
        <f>J38</f>
        <v>144419</v>
      </c>
      <c r="K46" s="64">
        <f>I46/J46</f>
        <v>5.6921873160733702E-2</v>
      </c>
      <c r="L46" s="32"/>
      <c r="M46" s="36"/>
    </row>
    <row r="47" spans="1:13" ht="33.75" customHeight="1" x14ac:dyDescent="0.25">
      <c r="A47" s="87" t="s">
        <v>60</v>
      </c>
      <c r="B47" s="88"/>
      <c r="C47" s="88"/>
      <c r="D47" s="88"/>
      <c r="E47" s="89"/>
      <c r="F47" s="81" t="s">
        <v>17</v>
      </c>
      <c r="G47" s="1">
        <v>12</v>
      </c>
      <c r="H47" s="1">
        <v>30955.03</v>
      </c>
      <c r="I47" s="2">
        <f>371460.39*45.67%</f>
        <v>169645.96011300001</v>
      </c>
      <c r="J47" s="1">
        <f>J46</f>
        <v>144419</v>
      </c>
      <c r="K47" s="64">
        <f t="shared" ref="K47:K51" si="6">I47/J47</f>
        <v>1.174678955767593</v>
      </c>
      <c r="L47" s="32"/>
      <c r="M47" s="36"/>
    </row>
    <row r="48" spans="1:13" ht="18.75" customHeight="1" x14ac:dyDescent="0.25">
      <c r="A48" s="98" t="s">
        <v>120</v>
      </c>
      <c r="B48" s="99"/>
      <c r="C48" s="99"/>
      <c r="D48" s="99"/>
      <c r="E48" s="100"/>
      <c r="F48" s="81" t="s">
        <v>17</v>
      </c>
      <c r="G48" s="1"/>
      <c r="H48" s="1"/>
      <c r="I48" s="2">
        <f>5011.84*45.67%</f>
        <v>2288.9073280000002</v>
      </c>
      <c r="J48" s="1">
        <f>J47</f>
        <v>144419</v>
      </c>
      <c r="K48" s="64">
        <f t="shared" si="6"/>
        <v>1.5849073376771754E-2</v>
      </c>
      <c r="L48" s="32"/>
      <c r="M48" s="36"/>
    </row>
    <row r="49" spans="1:13" ht="29.25" customHeight="1" thickBot="1" x14ac:dyDescent="0.3">
      <c r="A49" s="87" t="s">
        <v>59</v>
      </c>
      <c r="B49" s="88"/>
      <c r="C49" s="88"/>
      <c r="D49" s="88"/>
      <c r="E49" s="89"/>
      <c r="F49" s="81" t="s">
        <v>17</v>
      </c>
      <c r="G49" s="1">
        <v>12</v>
      </c>
      <c r="H49" s="1">
        <v>500</v>
      </c>
      <c r="I49" s="2">
        <f>6000*45.67%</f>
        <v>2740.2</v>
      </c>
      <c r="J49" s="1">
        <f>J47</f>
        <v>144419</v>
      </c>
      <c r="K49" s="64">
        <f t="shared" si="6"/>
        <v>1.8973957720244565E-2</v>
      </c>
      <c r="L49" s="32"/>
      <c r="M49" s="36"/>
    </row>
    <row r="50" spans="1:13" ht="18.75" hidden="1" customHeight="1" x14ac:dyDescent="0.3">
      <c r="A50" s="98" t="s">
        <v>95</v>
      </c>
      <c r="B50" s="99"/>
      <c r="C50" s="99"/>
      <c r="D50" s="99"/>
      <c r="E50" s="100"/>
      <c r="F50" s="81" t="s">
        <v>17</v>
      </c>
      <c r="G50" s="1"/>
      <c r="H50" s="1"/>
      <c r="I50" s="2">
        <v>0</v>
      </c>
      <c r="J50" s="1">
        <f>J49</f>
        <v>144419</v>
      </c>
      <c r="K50" s="64">
        <f t="shared" si="6"/>
        <v>0</v>
      </c>
      <c r="L50" s="32"/>
      <c r="M50" s="36"/>
    </row>
    <row r="51" spans="1:13" ht="18.75" hidden="1" customHeight="1" x14ac:dyDescent="0.3">
      <c r="A51" s="98" t="s">
        <v>96</v>
      </c>
      <c r="B51" s="123"/>
      <c r="C51" s="123"/>
      <c r="D51" s="123"/>
      <c r="E51" s="124"/>
      <c r="F51" s="81" t="s">
        <v>17</v>
      </c>
      <c r="G51" s="1"/>
      <c r="H51" s="1"/>
      <c r="I51" s="2">
        <v>0</v>
      </c>
      <c r="J51" s="1">
        <f>J50</f>
        <v>144419</v>
      </c>
      <c r="K51" s="64">
        <f t="shared" si="6"/>
        <v>0</v>
      </c>
      <c r="L51" s="36"/>
      <c r="M51" s="36"/>
    </row>
    <row r="52" spans="1:13" s="84" customFormat="1" ht="30.75" hidden="1" customHeight="1" x14ac:dyDescent="0.3">
      <c r="A52" s="87" t="s">
        <v>97</v>
      </c>
      <c r="B52" s="88"/>
      <c r="C52" s="88"/>
      <c r="D52" s="88"/>
      <c r="E52" s="89"/>
      <c r="F52" s="1" t="s">
        <v>17</v>
      </c>
      <c r="G52" s="1"/>
      <c r="H52" s="1"/>
      <c r="I52" s="69">
        <v>0</v>
      </c>
      <c r="J52" s="1">
        <f>J48</f>
        <v>144419</v>
      </c>
      <c r="K52" s="69">
        <f>I52/J52</f>
        <v>0</v>
      </c>
      <c r="L52" s="36"/>
    </row>
    <row r="53" spans="1:13" ht="18.75" customHeight="1" thickBot="1" x14ac:dyDescent="0.3">
      <c r="A53" s="126" t="s">
        <v>74</v>
      </c>
      <c r="B53" s="127"/>
      <c r="C53" s="127"/>
      <c r="D53" s="127"/>
      <c r="E53" s="127"/>
      <c r="F53" s="127"/>
      <c r="G53" s="127"/>
      <c r="H53" s="127"/>
      <c r="I53" s="66">
        <f>SUM(I45:I52)</f>
        <v>213234.248441</v>
      </c>
      <c r="J53" s="67">
        <f>J49</f>
        <v>144419</v>
      </c>
      <c r="K53" s="66">
        <f>I53/H24</f>
        <v>1.4764971952513173</v>
      </c>
      <c r="L53" s="36"/>
      <c r="M53" s="11"/>
    </row>
    <row r="54" spans="1:13" x14ac:dyDescent="0.25">
      <c r="A54" s="37"/>
      <c r="B54" s="37"/>
      <c r="C54" s="37"/>
      <c r="D54" s="37"/>
      <c r="E54" s="37"/>
      <c r="F54" s="38"/>
      <c r="G54" s="39"/>
      <c r="H54" s="39"/>
      <c r="I54" s="41"/>
      <c r="J54" s="38"/>
      <c r="K54" s="41"/>
      <c r="L54" s="36"/>
      <c r="M54" s="84"/>
    </row>
    <row r="55" spans="1:13" s="84" customFormat="1" x14ac:dyDescent="0.25">
      <c r="A55" s="110" t="s">
        <v>75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3" s="84" customFormat="1" ht="60" customHeight="1" x14ac:dyDescent="0.25">
      <c r="A56" s="94" t="s">
        <v>18</v>
      </c>
      <c r="B56" s="95"/>
      <c r="C56" s="95"/>
      <c r="D56" s="95"/>
      <c r="E56" s="96"/>
      <c r="F56" s="82" t="s">
        <v>6</v>
      </c>
      <c r="G56" s="82" t="s">
        <v>56</v>
      </c>
      <c r="H56" s="82" t="s">
        <v>57</v>
      </c>
      <c r="I56" s="82" t="s">
        <v>72</v>
      </c>
      <c r="J56" s="82" t="s">
        <v>67</v>
      </c>
      <c r="K56" s="24" t="s">
        <v>68</v>
      </c>
      <c r="L56" s="40"/>
    </row>
    <row r="57" spans="1:13" s="84" customFormat="1" ht="37.5" customHeight="1" x14ac:dyDescent="0.25">
      <c r="A57" s="87" t="s">
        <v>76</v>
      </c>
      <c r="B57" s="88"/>
      <c r="C57" s="88"/>
      <c r="D57" s="88"/>
      <c r="E57" s="89"/>
      <c r="F57" s="1" t="s">
        <v>17</v>
      </c>
      <c r="G57" s="1">
        <v>11</v>
      </c>
      <c r="H57" s="1">
        <v>24203.64</v>
      </c>
      <c r="I57" s="1">
        <f>266240*45.67%</f>
        <v>121591.808</v>
      </c>
      <c r="J57" s="1">
        <f>J52</f>
        <v>144419</v>
      </c>
      <c r="K57" s="1">
        <f t="shared" ref="K57" si="7">I57/J57</f>
        <v>0.84193775057298559</v>
      </c>
      <c r="L57" s="36"/>
    </row>
    <row r="58" spans="1:13" s="84" customFormat="1" ht="18.75" customHeight="1" x14ac:dyDescent="0.25">
      <c r="A58" s="98" t="s">
        <v>45</v>
      </c>
      <c r="B58" s="99"/>
      <c r="C58" s="99"/>
      <c r="D58" s="99"/>
      <c r="E58" s="100"/>
      <c r="F58" s="1" t="s">
        <v>17</v>
      </c>
      <c r="G58" s="1"/>
      <c r="H58" s="1"/>
      <c r="I58" s="1">
        <f>40000*45.67%</f>
        <v>18268</v>
      </c>
      <c r="J58" s="1">
        <f>J50</f>
        <v>144419</v>
      </c>
      <c r="K58" s="1">
        <f>I58/J58</f>
        <v>0.12649305146829712</v>
      </c>
      <c r="L58" s="36"/>
    </row>
    <row r="59" spans="1:13" s="84" customFormat="1" ht="46.5" hidden="1" customHeight="1" x14ac:dyDescent="0.25">
      <c r="A59" s="87" t="s">
        <v>111</v>
      </c>
      <c r="B59" s="135"/>
      <c r="C59" s="135"/>
      <c r="D59" s="135"/>
      <c r="E59" s="136"/>
      <c r="F59" s="1" t="s">
        <v>17</v>
      </c>
      <c r="G59" s="1"/>
      <c r="H59" s="1"/>
      <c r="I59" s="45">
        <v>0</v>
      </c>
      <c r="J59" s="1">
        <f t="shared" ref="J59:J61" si="8">J51</f>
        <v>144419</v>
      </c>
      <c r="K59" s="1">
        <f t="shared" ref="K59:K60" si="9">I59/J59</f>
        <v>0</v>
      </c>
      <c r="L59" s="36"/>
    </row>
    <row r="60" spans="1:13" s="84" customFormat="1" ht="18.75" customHeight="1" x14ac:dyDescent="0.25">
      <c r="A60" s="98" t="s">
        <v>121</v>
      </c>
      <c r="B60" s="123"/>
      <c r="C60" s="123"/>
      <c r="D60" s="123"/>
      <c r="E60" s="124"/>
      <c r="F60" s="1" t="s">
        <v>17</v>
      </c>
      <c r="G60" s="1">
        <v>12</v>
      </c>
      <c r="H60" s="1">
        <v>1333.33</v>
      </c>
      <c r="I60" s="1">
        <f>16000*45.67%</f>
        <v>7307.2</v>
      </c>
      <c r="J60" s="1">
        <f t="shared" si="8"/>
        <v>144419</v>
      </c>
      <c r="K60" s="1">
        <f t="shared" si="9"/>
        <v>5.0597220587318845E-2</v>
      </c>
      <c r="L60" s="36"/>
    </row>
    <row r="61" spans="1:13" s="84" customFormat="1" ht="18.75" customHeight="1" thickBot="1" x14ac:dyDescent="0.3">
      <c r="A61" s="98" t="s">
        <v>122</v>
      </c>
      <c r="B61" s="123"/>
      <c r="C61" s="123"/>
      <c r="D61" s="123"/>
      <c r="E61" s="124"/>
      <c r="F61" s="1" t="s">
        <v>17</v>
      </c>
      <c r="G61" s="1"/>
      <c r="H61" s="1"/>
      <c r="I61" s="1">
        <f>95550*45.67%</f>
        <v>43637.684999999998</v>
      </c>
      <c r="J61" s="1">
        <f t="shared" si="8"/>
        <v>144419</v>
      </c>
      <c r="K61" s="1">
        <f>I61/J61</f>
        <v>0.3021602766948947</v>
      </c>
      <c r="L61" s="36"/>
    </row>
    <row r="62" spans="1:13" s="84" customFormat="1" ht="18.75" hidden="1" customHeight="1" x14ac:dyDescent="0.3">
      <c r="A62" s="103" t="s">
        <v>98</v>
      </c>
      <c r="B62" s="103"/>
      <c r="C62" s="103"/>
      <c r="D62" s="103"/>
      <c r="E62" s="103"/>
      <c r="F62" s="1" t="s">
        <v>17</v>
      </c>
      <c r="G62" s="1"/>
      <c r="H62" s="1"/>
      <c r="I62" s="69">
        <v>0</v>
      </c>
      <c r="J62" s="1">
        <f>J58</f>
        <v>144419</v>
      </c>
      <c r="K62" s="69">
        <f t="shared" ref="K62" si="10">I62/J62</f>
        <v>0</v>
      </c>
      <c r="L62" s="36"/>
    </row>
    <row r="63" spans="1:13" s="84" customFormat="1" ht="15.75" thickBot="1" x14ac:dyDescent="0.3">
      <c r="A63" s="126" t="s">
        <v>77</v>
      </c>
      <c r="B63" s="127"/>
      <c r="C63" s="127"/>
      <c r="D63" s="127"/>
      <c r="E63" s="127"/>
      <c r="F63" s="127"/>
      <c r="G63" s="127"/>
      <c r="H63" s="127"/>
      <c r="I63" s="70">
        <f>SUM(I57:I62)</f>
        <v>190804.69300000003</v>
      </c>
      <c r="J63" s="67">
        <f>J59</f>
        <v>144419</v>
      </c>
      <c r="K63" s="70">
        <f>SUM(K57:K62)</f>
        <v>1.3211882993234962</v>
      </c>
      <c r="L63" s="36"/>
      <c r="M63" s="11"/>
    </row>
    <row r="64" spans="1:13" s="84" customFormat="1" x14ac:dyDescent="0.25">
      <c r="A64" s="41"/>
      <c r="B64" s="41"/>
      <c r="C64" s="41"/>
      <c r="D64" s="41"/>
      <c r="E64" s="41"/>
      <c r="F64" s="41"/>
      <c r="G64" s="41"/>
      <c r="H64" s="41"/>
      <c r="I64" s="7"/>
      <c r="J64" s="7"/>
      <c r="K64" s="7"/>
      <c r="L64" s="36"/>
    </row>
    <row r="65" spans="1:13" s="84" customFormat="1" x14ac:dyDescent="0.25">
      <c r="A65" s="110" t="s">
        <v>78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</row>
    <row r="66" spans="1:13" s="84" customFormat="1" ht="60" customHeight="1" x14ac:dyDescent="0.25">
      <c r="A66" s="94" t="s">
        <v>19</v>
      </c>
      <c r="B66" s="95"/>
      <c r="C66" s="95"/>
      <c r="D66" s="95"/>
      <c r="E66" s="96"/>
      <c r="F66" s="82" t="s">
        <v>6</v>
      </c>
      <c r="G66" s="82" t="s">
        <v>56</v>
      </c>
      <c r="H66" s="82" t="s">
        <v>57</v>
      </c>
      <c r="I66" s="82" t="s">
        <v>72</v>
      </c>
      <c r="J66" s="86" t="s">
        <v>67</v>
      </c>
      <c r="K66" s="24" t="s">
        <v>68</v>
      </c>
      <c r="L66" s="40"/>
      <c r="M66" s="40"/>
    </row>
    <row r="67" spans="1:13" s="84" customFormat="1" ht="36.75" customHeight="1" x14ac:dyDescent="0.25">
      <c r="A67" s="98" t="s">
        <v>20</v>
      </c>
      <c r="B67" s="99"/>
      <c r="C67" s="99"/>
      <c r="D67" s="99"/>
      <c r="E67" s="100"/>
      <c r="F67" s="43" t="s">
        <v>21</v>
      </c>
      <c r="G67" s="1">
        <v>12</v>
      </c>
      <c r="H67" s="1">
        <v>464.72</v>
      </c>
      <c r="I67" s="1">
        <f>66920*45.67%</f>
        <v>30562.364000000001</v>
      </c>
      <c r="J67" s="64">
        <f>J62</f>
        <v>144419</v>
      </c>
      <c r="K67" s="1">
        <f>I67/J67</f>
        <v>0.21162287510646108</v>
      </c>
      <c r="L67" s="36"/>
      <c r="M67" s="36"/>
    </row>
    <row r="68" spans="1:13" s="84" customFormat="1" ht="36.75" customHeight="1" x14ac:dyDescent="0.25">
      <c r="A68" s="98" t="s">
        <v>89</v>
      </c>
      <c r="B68" s="99"/>
      <c r="C68" s="99"/>
      <c r="D68" s="99"/>
      <c r="E68" s="100"/>
      <c r="F68" s="43" t="s">
        <v>24</v>
      </c>
      <c r="G68" s="1"/>
      <c r="H68" s="1"/>
      <c r="I68" s="1">
        <f>11000*45.67%</f>
        <v>5023.7</v>
      </c>
      <c r="J68" s="64">
        <f>J67</f>
        <v>144419</v>
      </c>
      <c r="K68" s="1">
        <f>I68/J68</f>
        <v>3.4785589153781701E-2</v>
      </c>
      <c r="L68" s="36"/>
      <c r="M68" s="36"/>
    </row>
    <row r="69" spans="1:13" s="84" customFormat="1" ht="30.75" thickBot="1" x14ac:dyDescent="0.3">
      <c r="A69" s="98" t="s">
        <v>79</v>
      </c>
      <c r="B69" s="99"/>
      <c r="C69" s="99"/>
      <c r="D69" s="99"/>
      <c r="E69" s="100"/>
      <c r="F69" s="43" t="s">
        <v>80</v>
      </c>
      <c r="G69" s="1">
        <v>7</v>
      </c>
      <c r="H69" s="1">
        <v>12750</v>
      </c>
      <c r="I69" s="69">
        <f>153000*45.67%</f>
        <v>69875.100000000006</v>
      </c>
      <c r="J69" s="64">
        <f>J67</f>
        <v>144419</v>
      </c>
      <c r="K69" s="69">
        <f>I69/J69</f>
        <v>0.48383592186623647</v>
      </c>
      <c r="L69" s="36"/>
      <c r="M69" s="36"/>
    </row>
    <row r="70" spans="1:13" s="84" customFormat="1" ht="15.75" thickBot="1" x14ac:dyDescent="0.3">
      <c r="A70" s="126" t="s">
        <v>22</v>
      </c>
      <c r="B70" s="127"/>
      <c r="C70" s="127"/>
      <c r="D70" s="127"/>
      <c r="E70" s="127"/>
      <c r="F70" s="127"/>
      <c r="G70" s="127"/>
      <c r="H70" s="127"/>
      <c r="I70" s="70">
        <f>SUM(I67:I69)</f>
        <v>105461.164</v>
      </c>
      <c r="J70" s="71">
        <f>J69</f>
        <v>144419</v>
      </c>
      <c r="K70" s="70">
        <f>I70/J67</f>
        <v>0.73024438612647924</v>
      </c>
      <c r="L70" s="7"/>
      <c r="M70" s="44"/>
    </row>
    <row r="71" spans="1:13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5">
      <c r="A73" s="110" t="s">
        <v>38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</row>
    <row r="74" spans="1:13" ht="75.75" thickBot="1" x14ac:dyDescent="0.3">
      <c r="A74" s="94" t="s">
        <v>4</v>
      </c>
      <c r="B74" s="95"/>
      <c r="C74" s="95"/>
      <c r="D74" s="95"/>
      <c r="E74" s="96"/>
      <c r="F74" s="82" t="s">
        <v>5</v>
      </c>
      <c r="G74" s="82" t="s">
        <v>1</v>
      </c>
      <c r="H74" s="82" t="s">
        <v>65</v>
      </c>
      <c r="I74" s="82" t="s">
        <v>66</v>
      </c>
      <c r="J74" s="82" t="s">
        <v>67</v>
      </c>
      <c r="K74" s="24" t="s">
        <v>68</v>
      </c>
      <c r="L74" s="40"/>
      <c r="M74" s="84"/>
    </row>
    <row r="75" spans="1:13" ht="15.75" hidden="1" thickBot="1" x14ac:dyDescent="0.3">
      <c r="A75" s="103" t="s">
        <v>40</v>
      </c>
      <c r="B75" s="103"/>
      <c r="C75" s="103"/>
      <c r="D75" s="103"/>
      <c r="E75" s="103"/>
      <c r="F75" s="45">
        <f>I75/G75/12</f>
        <v>25730.891846153845</v>
      </c>
      <c r="G75" s="1">
        <v>0.13</v>
      </c>
      <c r="H75" s="2">
        <f>F75*G75*12</f>
        <v>40140.191279999999</v>
      </c>
      <c r="I75" s="1">
        <f>(30829.64*1.302)</f>
        <v>40140.191279999999</v>
      </c>
      <c r="J75" s="1">
        <f>J69</f>
        <v>144419</v>
      </c>
      <c r="K75" s="1">
        <f>I75/J75</f>
        <v>0.27794259259515713</v>
      </c>
      <c r="L75" s="36"/>
      <c r="M75" s="84"/>
    </row>
    <row r="76" spans="1:13" ht="15.75" hidden="1" thickBot="1" x14ac:dyDescent="0.3">
      <c r="A76" s="103" t="s">
        <v>46</v>
      </c>
      <c r="B76" s="103"/>
      <c r="C76" s="103"/>
      <c r="D76" s="103"/>
      <c r="E76" s="103"/>
      <c r="F76" s="45">
        <f>I76/G76/12</f>
        <v>22607.852884615382</v>
      </c>
      <c r="G76" s="1">
        <v>0.13</v>
      </c>
      <c r="H76" s="2">
        <f>F76*G76*12</f>
        <v>35268.250499999995</v>
      </c>
      <c r="I76" s="69">
        <f>(27087.75*1.302)</f>
        <v>35268.250500000002</v>
      </c>
      <c r="J76" s="1">
        <f>J75</f>
        <v>144419</v>
      </c>
      <c r="K76" s="69">
        <f>I76/J76</f>
        <v>0.24420782930223864</v>
      </c>
      <c r="L76" s="36"/>
      <c r="M76" s="84"/>
    </row>
    <row r="77" spans="1:13" ht="32.25" customHeight="1" thickBot="1" x14ac:dyDescent="0.3">
      <c r="A77" s="111" t="s">
        <v>23</v>
      </c>
      <c r="B77" s="112"/>
      <c r="C77" s="112"/>
      <c r="D77" s="112"/>
      <c r="E77" s="112"/>
      <c r="F77" s="26">
        <v>29335.18</v>
      </c>
      <c r="G77" s="26">
        <f>L22</f>
        <v>0.92</v>
      </c>
      <c r="H77" s="72">
        <v>323860.44</v>
      </c>
      <c r="I77" s="66">
        <f>(H77*1.302)</f>
        <v>421666.29288000002</v>
      </c>
      <c r="J77" s="73">
        <f>J69</f>
        <v>144419</v>
      </c>
      <c r="K77" s="66">
        <f>I77/J69</f>
        <v>2.9197425053490194</v>
      </c>
      <c r="L77" s="36"/>
      <c r="M77" s="84"/>
    </row>
    <row r="78" spans="1:13" x14ac:dyDescent="0.25">
      <c r="A78" s="41"/>
      <c r="B78" s="41"/>
      <c r="C78" s="41"/>
      <c r="D78" s="41"/>
      <c r="E78" s="41"/>
      <c r="F78" s="84"/>
      <c r="G78" s="84"/>
      <c r="H78" s="84"/>
      <c r="I78" s="84"/>
      <c r="J78" s="84"/>
      <c r="K78" s="84"/>
      <c r="L78" s="84"/>
      <c r="M78" s="84"/>
    </row>
    <row r="79" spans="1:13" hidden="1" x14ac:dyDescent="0.25">
      <c r="A79" s="137" t="s">
        <v>99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8"/>
      <c r="M79" s="84"/>
    </row>
    <row r="80" spans="1:13" ht="45" hidden="1" x14ac:dyDescent="0.25">
      <c r="A80" s="97" t="s">
        <v>18</v>
      </c>
      <c r="B80" s="97"/>
      <c r="C80" s="97"/>
      <c r="D80" s="97"/>
      <c r="E80" s="97"/>
      <c r="F80" s="82" t="s">
        <v>6</v>
      </c>
      <c r="G80" s="82" t="s">
        <v>56</v>
      </c>
      <c r="H80" s="82" t="s">
        <v>57</v>
      </c>
      <c r="I80" s="82" t="s">
        <v>72</v>
      </c>
      <c r="J80" s="82" t="s">
        <v>67</v>
      </c>
      <c r="K80" s="29" t="s">
        <v>68</v>
      </c>
      <c r="L80" s="30"/>
      <c r="M80" s="84"/>
    </row>
    <row r="81" spans="1:13" ht="37.5" hidden="1" customHeight="1" x14ac:dyDescent="0.25">
      <c r="A81" s="87" t="s">
        <v>100</v>
      </c>
      <c r="B81" s="88"/>
      <c r="C81" s="88"/>
      <c r="D81" s="88"/>
      <c r="E81" s="89"/>
      <c r="F81" s="1"/>
      <c r="G81" s="1">
        <v>12</v>
      </c>
      <c r="H81" s="83"/>
      <c r="I81" s="2">
        <v>0</v>
      </c>
      <c r="J81" s="1">
        <v>27535</v>
      </c>
      <c r="K81" s="64">
        <f>I81/J81</f>
        <v>0</v>
      </c>
      <c r="L81" s="32"/>
      <c r="M81" s="84"/>
    </row>
    <row r="82" spans="1:13" hidden="1" x14ac:dyDescent="0.25">
      <c r="A82" s="126" t="s">
        <v>101</v>
      </c>
      <c r="B82" s="127"/>
      <c r="C82" s="127"/>
      <c r="D82" s="127"/>
      <c r="E82" s="127"/>
      <c r="F82" s="127"/>
      <c r="G82" s="127"/>
      <c r="H82" s="127"/>
      <c r="I82" s="6">
        <f>SUM(I81:I81)</f>
        <v>0</v>
      </c>
      <c r="J82" s="34">
        <f>J81</f>
        <v>27535</v>
      </c>
      <c r="K82" s="6">
        <f>I82/J82</f>
        <v>0</v>
      </c>
      <c r="L82" s="32"/>
      <c r="M82" s="11" t="e">
        <f>I82+'Работа №1'!#REF!+'Работа №2'!#REF!</f>
        <v>#REF!</v>
      </c>
    </row>
    <row r="83" spans="1:13" x14ac:dyDescent="0.25">
      <c r="A83" s="48"/>
      <c r="B83" s="48"/>
      <c r="C83" s="48"/>
      <c r="D83" s="48"/>
      <c r="E83" s="48"/>
      <c r="F83" s="48"/>
      <c r="G83" s="48"/>
      <c r="H83" s="48"/>
      <c r="I83" s="12"/>
      <c r="J83" s="12"/>
      <c r="K83" s="12"/>
      <c r="L83" s="36"/>
      <c r="M83" s="84"/>
    </row>
    <row r="84" spans="1:13" x14ac:dyDescent="0.25">
      <c r="A84" s="128" t="s">
        <v>102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9"/>
      <c r="M84" s="84"/>
    </row>
    <row r="85" spans="1:13" ht="45" x14ac:dyDescent="0.25">
      <c r="A85" s="97" t="s">
        <v>18</v>
      </c>
      <c r="B85" s="97"/>
      <c r="C85" s="97"/>
      <c r="D85" s="97"/>
      <c r="E85" s="97"/>
      <c r="F85" s="82" t="s">
        <v>6</v>
      </c>
      <c r="G85" s="82" t="s">
        <v>56</v>
      </c>
      <c r="H85" s="82" t="s">
        <v>57</v>
      </c>
      <c r="I85" s="82" t="s">
        <v>72</v>
      </c>
      <c r="J85" s="82" t="s">
        <v>67</v>
      </c>
      <c r="K85" s="29" t="s">
        <v>68</v>
      </c>
      <c r="L85" s="30"/>
      <c r="M85" s="84"/>
    </row>
    <row r="86" spans="1:13" ht="30" customHeight="1" x14ac:dyDescent="0.25">
      <c r="A86" s="87" t="s">
        <v>104</v>
      </c>
      <c r="B86" s="88"/>
      <c r="C86" s="88"/>
      <c r="D86" s="88"/>
      <c r="E86" s="89"/>
      <c r="F86" s="1" t="s">
        <v>24</v>
      </c>
      <c r="G86" s="1"/>
      <c r="H86" s="83"/>
      <c r="I86" s="2">
        <f>20000*45.67%</f>
        <v>9134</v>
      </c>
      <c r="J86" s="1">
        <f>J77</f>
        <v>144419</v>
      </c>
      <c r="K86" s="64">
        <f>I86/J86</f>
        <v>6.3246525734148559E-2</v>
      </c>
      <c r="L86" s="32"/>
      <c r="M86" s="84"/>
    </row>
    <row r="87" spans="1:13" x14ac:dyDescent="0.25">
      <c r="A87" s="103" t="s">
        <v>105</v>
      </c>
      <c r="B87" s="103"/>
      <c r="C87" s="103"/>
      <c r="D87" s="103"/>
      <c r="E87" s="103"/>
      <c r="F87" s="1" t="s">
        <v>24</v>
      </c>
      <c r="G87" s="1"/>
      <c r="H87" s="83"/>
      <c r="I87" s="2">
        <f>7810*45.67%</f>
        <v>3566.8269999999998</v>
      </c>
      <c r="J87" s="1">
        <f>J86</f>
        <v>144419</v>
      </c>
      <c r="K87" s="64">
        <f>I87/J87</f>
        <v>2.4697768299185009E-2</v>
      </c>
      <c r="L87" s="32"/>
      <c r="M87" s="84"/>
    </row>
    <row r="88" spans="1:13" ht="15.75" thickBot="1" x14ac:dyDescent="0.3">
      <c r="A88" s="103" t="s">
        <v>112</v>
      </c>
      <c r="B88" s="103"/>
      <c r="C88" s="103"/>
      <c r="D88" s="103"/>
      <c r="E88" s="103"/>
      <c r="F88" s="1" t="s">
        <v>24</v>
      </c>
      <c r="G88" s="1"/>
      <c r="H88" s="83"/>
      <c r="I88" s="65">
        <f>34000*45.67%</f>
        <v>15527.8</v>
      </c>
      <c r="J88" s="1">
        <f>J87</f>
        <v>144419</v>
      </c>
      <c r="K88" s="68">
        <f>I88/J88</f>
        <v>0.10751909374805253</v>
      </c>
      <c r="L88" s="32"/>
      <c r="M88" s="84"/>
    </row>
    <row r="89" spans="1:13" ht="15.75" thickBot="1" x14ac:dyDescent="0.3">
      <c r="A89" s="126" t="s">
        <v>103</v>
      </c>
      <c r="B89" s="127"/>
      <c r="C89" s="127"/>
      <c r="D89" s="127"/>
      <c r="E89" s="127"/>
      <c r="F89" s="127"/>
      <c r="G89" s="127"/>
      <c r="H89" s="127"/>
      <c r="I89" s="70">
        <f>SUM(I86:I88)</f>
        <v>28228.627</v>
      </c>
      <c r="J89" s="67">
        <f>J88</f>
        <v>144419</v>
      </c>
      <c r="K89" s="70">
        <f>I89/J86</f>
        <v>0.19546338778138611</v>
      </c>
      <c r="L89" s="36"/>
      <c r="M89" s="11"/>
    </row>
    <row r="90" spans="1:13" x14ac:dyDescent="0.25">
      <c r="A90" s="48"/>
      <c r="B90" s="48"/>
      <c r="C90" s="48"/>
      <c r="D90" s="48"/>
      <c r="E90" s="48"/>
      <c r="F90" s="48"/>
      <c r="G90" s="48"/>
      <c r="H90" s="48"/>
      <c r="I90" s="12"/>
      <c r="J90" s="12"/>
      <c r="K90" s="12"/>
      <c r="L90" s="36"/>
      <c r="M90" s="84"/>
    </row>
    <row r="91" spans="1:13" x14ac:dyDescent="0.25">
      <c r="A91" s="128" t="s">
        <v>106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9"/>
      <c r="M91" s="84"/>
    </row>
    <row r="92" spans="1:13" ht="45" x14ac:dyDescent="0.25">
      <c r="A92" s="97" t="s">
        <v>18</v>
      </c>
      <c r="B92" s="97"/>
      <c r="C92" s="97"/>
      <c r="D92" s="97"/>
      <c r="E92" s="97"/>
      <c r="F92" s="82" t="s">
        <v>6</v>
      </c>
      <c r="G92" s="82" t="s">
        <v>56</v>
      </c>
      <c r="H92" s="82" t="s">
        <v>57</v>
      </c>
      <c r="I92" s="82" t="s">
        <v>72</v>
      </c>
      <c r="J92" s="82" t="s">
        <v>67</v>
      </c>
      <c r="K92" s="29" t="s">
        <v>68</v>
      </c>
      <c r="L92" s="30"/>
      <c r="M92" s="84"/>
    </row>
    <row r="93" spans="1:13" ht="37.5" customHeight="1" thickBot="1" x14ac:dyDescent="0.3">
      <c r="A93" s="87" t="s">
        <v>108</v>
      </c>
      <c r="B93" s="88"/>
      <c r="C93" s="88"/>
      <c r="D93" s="88"/>
      <c r="E93" s="89"/>
      <c r="F93" s="1"/>
      <c r="G93" s="1"/>
      <c r="H93" s="83"/>
      <c r="I93" s="65">
        <f>71500*45.67%</f>
        <v>32654.05</v>
      </c>
      <c r="J93" s="1">
        <f>J89</f>
        <v>144419</v>
      </c>
      <c r="K93" s="68">
        <f>I93/J93</f>
        <v>0.22610632949958107</v>
      </c>
      <c r="L93" s="32"/>
      <c r="M93" s="84"/>
    </row>
    <row r="94" spans="1:13" ht="15.75" thickBot="1" x14ac:dyDescent="0.3">
      <c r="A94" s="126" t="s">
        <v>107</v>
      </c>
      <c r="B94" s="127"/>
      <c r="C94" s="127"/>
      <c r="D94" s="127"/>
      <c r="E94" s="127"/>
      <c r="F94" s="127"/>
      <c r="G94" s="127"/>
      <c r="H94" s="127"/>
      <c r="I94" s="70">
        <f>SUM(I93:I93)</f>
        <v>32654.05</v>
      </c>
      <c r="J94" s="67">
        <f>J93</f>
        <v>144419</v>
      </c>
      <c r="K94" s="70">
        <f>I94/J93</f>
        <v>0.22610632949958107</v>
      </c>
      <c r="L94" s="36"/>
      <c r="M94" s="11"/>
    </row>
    <row r="95" spans="1:13" x14ac:dyDescent="0.25">
      <c r="A95" s="48"/>
      <c r="B95" s="48"/>
      <c r="C95" s="48"/>
      <c r="D95" s="48"/>
      <c r="E95" s="48"/>
      <c r="F95" s="48"/>
      <c r="G95" s="48"/>
      <c r="H95" s="48"/>
      <c r="I95" s="12"/>
      <c r="J95" s="49"/>
      <c r="K95" s="12"/>
      <c r="L95" s="36"/>
      <c r="M95" s="11"/>
    </row>
    <row r="96" spans="1:13" x14ac:dyDescent="0.25">
      <c r="A96" s="128" t="s">
        <v>109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9"/>
      <c r="M96" s="84"/>
    </row>
    <row r="97" spans="1:13" ht="45" x14ac:dyDescent="0.25">
      <c r="A97" s="97" t="s">
        <v>18</v>
      </c>
      <c r="B97" s="97"/>
      <c r="C97" s="97"/>
      <c r="D97" s="97"/>
      <c r="E97" s="97"/>
      <c r="F97" s="82" t="s">
        <v>6</v>
      </c>
      <c r="G97" s="82" t="s">
        <v>56</v>
      </c>
      <c r="H97" s="82" t="s">
        <v>57</v>
      </c>
      <c r="I97" s="82" t="s">
        <v>72</v>
      </c>
      <c r="J97" s="82" t="s">
        <v>67</v>
      </c>
      <c r="K97" s="29" t="s">
        <v>68</v>
      </c>
      <c r="L97" s="30"/>
      <c r="M97" s="84"/>
    </row>
    <row r="98" spans="1:13" ht="37.5" customHeight="1" thickBot="1" x14ac:dyDescent="0.3">
      <c r="A98" s="87" t="s">
        <v>88</v>
      </c>
      <c r="B98" s="88"/>
      <c r="C98" s="88"/>
      <c r="D98" s="88"/>
      <c r="E98" s="89"/>
      <c r="F98" s="1"/>
      <c r="G98" s="1"/>
      <c r="H98" s="83"/>
      <c r="I98" s="2">
        <f>322900*45.67%-678.09</f>
        <v>146790.34</v>
      </c>
      <c r="J98" s="1">
        <f>J94</f>
        <v>144419</v>
      </c>
      <c r="K98" s="64">
        <f>I98/J98</f>
        <v>1.0164198616525526</v>
      </c>
      <c r="L98" s="32"/>
      <c r="M98" s="84"/>
    </row>
    <row r="99" spans="1:13" ht="15.75" thickBot="1" x14ac:dyDescent="0.3">
      <c r="A99" s="126" t="s">
        <v>107</v>
      </c>
      <c r="B99" s="127"/>
      <c r="C99" s="127"/>
      <c r="D99" s="127"/>
      <c r="E99" s="127"/>
      <c r="F99" s="127"/>
      <c r="G99" s="127"/>
      <c r="H99" s="127"/>
      <c r="I99" s="66">
        <f>SUM(I98:I98)</f>
        <v>146790.34</v>
      </c>
      <c r="J99" s="67">
        <f>J98</f>
        <v>144419</v>
      </c>
      <c r="K99" s="70">
        <f>I99/J98</f>
        <v>1.0164198616525526</v>
      </c>
      <c r="L99" s="36"/>
      <c r="M99" s="11"/>
    </row>
    <row r="100" spans="1:13" x14ac:dyDescent="0.25">
      <c r="A100" s="39"/>
      <c r="B100" s="39"/>
      <c r="C100" s="39"/>
      <c r="D100" s="39"/>
      <c r="E100" s="39"/>
      <c r="F100" s="39"/>
      <c r="G100" s="39"/>
      <c r="H100" s="41"/>
      <c r="I100" s="41"/>
      <c r="J100" s="41"/>
      <c r="K100" s="41"/>
      <c r="L100" s="36"/>
      <c r="M100" s="9"/>
    </row>
    <row r="101" spans="1:13" x14ac:dyDescent="0.25">
      <c r="A101" s="128" t="s">
        <v>25</v>
      </c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9"/>
    </row>
    <row r="102" spans="1:13" x14ac:dyDescent="0.25">
      <c r="A102" s="125" t="s">
        <v>26</v>
      </c>
      <c r="B102" s="125"/>
      <c r="C102" s="125"/>
      <c r="D102" s="94" t="s">
        <v>27</v>
      </c>
      <c r="E102" s="95"/>
      <c r="F102" s="95"/>
      <c r="G102" s="95"/>
      <c r="H102" s="95"/>
      <c r="I102" s="95"/>
      <c r="J102" s="96"/>
      <c r="K102" s="125" t="s">
        <v>37</v>
      </c>
      <c r="L102" s="125"/>
      <c r="M102" s="9"/>
    </row>
    <row r="103" spans="1:13" ht="30.75" thickBot="1" x14ac:dyDescent="0.3">
      <c r="A103" s="1" t="s">
        <v>28</v>
      </c>
      <c r="B103" s="25" t="s">
        <v>29</v>
      </c>
      <c r="C103" s="1" t="s">
        <v>30</v>
      </c>
      <c r="D103" s="1" t="s">
        <v>31</v>
      </c>
      <c r="E103" s="1" t="s">
        <v>32</v>
      </c>
      <c r="F103" s="1" t="s">
        <v>33</v>
      </c>
      <c r="G103" s="1" t="s">
        <v>34</v>
      </c>
      <c r="H103" s="1" t="s">
        <v>113</v>
      </c>
      <c r="I103" s="1" t="s">
        <v>35</v>
      </c>
      <c r="J103" s="1" t="s">
        <v>36</v>
      </c>
      <c r="K103" s="130"/>
      <c r="L103" s="130"/>
      <c r="M103" s="9"/>
    </row>
    <row r="104" spans="1:13" ht="15.75" thickBot="1" x14ac:dyDescent="0.3">
      <c r="A104" s="1">
        <f>K32</f>
        <v>55.792471713140237</v>
      </c>
      <c r="B104" s="1"/>
      <c r="C104" s="1"/>
      <c r="D104" s="1">
        <f>K41</f>
        <v>3.9218663686841762</v>
      </c>
      <c r="E104" s="1">
        <f>K53</f>
        <v>1.4764971952513173</v>
      </c>
      <c r="F104" s="1"/>
      <c r="G104" s="1">
        <f>K70</f>
        <v>0.73024438612647924</v>
      </c>
      <c r="H104" s="1">
        <f>K63</f>
        <v>1.3211882993234962</v>
      </c>
      <c r="I104" s="1">
        <f>K77</f>
        <v>2.9197425053490194</v>
      </c>
      <c r="J104" s="64">
        <f>K89+K94+K99</f>
        <v>1.4379895789335198</v>
      </c>
      <c r="K104" s="131">
        <f>A104+D104+E104+G104+H104+J104+I104</f>
        <v>67.600000046808248</v>
      </c>
      <c r="L104" s="132"/>
      <c r="M104" s="9"/>
    </row>
    <row r="105" spans="1:13" ht="30" customHeight="1" thickBot="1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15.75" thickBot="1" x14ac:dyDescent="0.3">
      <c r="A106" s="50" t="s">
        <v>47</v>
      </c>
      <c r="B106" s="5"/>
      <c r="C106" s="50"/>
      <c r="D106" s="50"/>
      <c r="E106" s="50"/>
      <c r="F106" s="50" t="s">
        <v>48</v>
      </c>
      <c r="G106" s="5"/>
      <c r="H106" s="5"/>
      <c r="I106" s="74">
        <f>I32+I41+I53+I63+I70+I77+I89+I94+I99-0.01</f>
        <v>9762724.3967600018</v>
      </c>
      <c r="J106" s="5"/>
      <c r="K106" s="74">
        <f>K104*144419-0.01</f>
        <v>9762724.3967599999</v>
      </c>
      <c r="L106" s="5"/>
      <c r="M106" s="5"/>
    </row>
    <row r="107" spans="1:13" x14ac:dyDescent="0.25">
      <c r="A107" s="51"/>
      <c r="B107" s="52"/>
      <c r="C107" s="53"/>
    </row>
    <row r="108" spans="1:13" x14ac:dyDescent="0.25">
      <c r="A108" s="54"/>
    </row>
    <row r="109" spans="1:13" x14ac:dyDescent="0.25">
      <c r="A109" s="57" t="s">
        <v>115</v>
      </c>
      <c r="K109" s="80"/>
    </row>
    <row r="110" spans="1:13" x14ac:dyDescent="0.25">
      <c r="A110" s="50" t="s">
        <v>91</v>
      </c>
      <c r="B110" s="55"/>
      <c r="C110" s="5"/>
      <c r="D110" s="50"/>
      <c r="E110" s="50"/>
      <c r="F110" s="50"/>
      <c r="G110" s="5"/>
      <c r="H110" s="5"/>
      <c r="I110" s="5"/>
      <c r="J110" s="5"/>
      <c r="K110" s="5"/>
      <c r="L110" s="5"/>
      <c r="M110" s="5"/>
    </row>
    <row r="111" spans="1:13" x14ac:dyDescent="0.25">
      <c r="A111" s="50" t="s">
        <v>49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</sheetData>
  <mergeCells count="99">
    <mergeCell ref="A82:H82"/>
    <mergeCell ref="A84:L84"/>
    <mergeCell ref="A88:E88"/>
    <mergeCell ref="A89:H89"/>
    <mergeCell ref="A91:L91"/>
    <mergeCell ref="A85:E85"/>
    <mergeCell ref="A86:E86"/>
    <mergeCell ref="A93:E93"/>
    <mergeCell ref="A94:H94"/>
    <mergeCell ref="A96:L96"/>
    <mergeCell ref="A20:E20"/>
    <mergeCell ref="G20:K20"/>
    <mergeCell ref="A21:E21"/>
    <mergeCell ref="G21:K21"/>
    <mergeCell ref="A22:E22"/>
    <mergeCell ref="G22:K22"/>
    <mergeCell ref="A73:M73"/>
    <mergeCell ref="A77:E77"/>
    <mergeCell ref="A79:L79"/>
    <mergeCell ref="A65:L65"/>
    <mergeCell ref="A57:E57"/>
    <mergeCell ref="A66:E66"/>
    <mergeCell ref="A70:H70"/>
    <mergeCell ref="K104:L104"/>
    <mergeCell ref="A34:L34"/>
    <mergeCell ref="A44:E44"/>
    <mergeCell ref="A41:H41"/>
    <mergeCell ref="A58:E58"/>
    <mergeCell ref="A62:E62"/>
    <mergeCell ref="A63:H63"/>
    <mergeCell ref="A101:L101"/>
    <mergeCell ref="A102:C102"/>
    <mergeCell ref="D102:J102"/>
    <mergeCell ref="A52:E52"/>
    <mergeCell ref="A53:H53"/>
    <mergeCell ref="K102:L103"/>
    <mergeCell ref="A67:E67"/>
    <mergeCell ref="A69:E69"/>
    <mergeCell ref="A56:E56"/>
    <mergeCell ref="A68:E68"/>
    <mergeCell ref="A75:E75"/>
    <mergeCell ref="A74:E74"/>
    <mergeCell ref="A76:E76"/>
    <mergeCell ref="A80:E80"/>
    <mergeCell ref="A97:E97"/>
    <mergeCell ref="A99:H99"/>
    <mergeCell ref="A92:E92"/>
    <mergeCell ref="A81:E81"/>
    <mergeCell ref="A1:D1"/>
    <mergeCell ref="A2:F2"/>
    <mergeCell ref="A3:E3"/>
    <mergeCell ref="A5:C5"/>
    <mergeCell ref="A6:L6"/>
    <mergeCell ref="A7:L7"/>
    <mergeCell ref="A8:L8"/>
    <mergeCell ref="A9:L9"/>
    <mergeCell ref="A13:E13"/>
    <mergeCell ref="G13:K13"/>
    <mergeCell ref="A14:E14"/>
    <mergeCell ref="G14:K14"/>
    <mergeCell ref="A15:E15"/>
    <mergeCell ref="G15:K15"/>
    <mergeCell ref="A16:E16"/>
    <mergeCell ref="G16:K16"/>
    <mergeCell ref="A17:E17"/>
    <mergeCell ref="G17:K17"/>
    <mergeCell ref="A18:E18"/>
    <mergeCell ref="G18:K18"/>
    <mergeCell ref="A19:E19"/>
    <mergeCell ref="G19:K19"/>
    <mergeCell ref="A29:E29"/>
    <mergeCell ref="A30:E30"/>
    <mergeCell ref="A31:E31"/>
    <mergeCell ref="A24:G24"/>
    <mergeCell ref="A25:E25"/>
    <mergeCell ref="A26:E26"/>
    <mergeCell ref="A27:E27"/>
    <mergeCell ref="A28:E28"/>
    <mergeCell ref="A46:E46"/>
    <mergeCell ref="A87:E87"/>
    <mergeCell ref="A98:E98"/>
    <mergeCell ref="A32:E32"/>
    <mergeCell ref="A35:E35"/>
    <mergeCell ref="A36:E36"/>
    <mergeCell ref="A45:E45"/>
    <mergeCell ref="A39:E39"/>
    <mergeCell ref="A43:L43"/>
    <mergeCell ref="A37:E37"/>
    <mergeCell ref="A38:E38"/>
    <mergeCell ref="A40:E40"/>
    <mergeCell ref="A47:E47"/>
    <mergeCell ref="A48:E48"/>
    <mergeCell ref="A49:E49"/>
    <mergeCell ref="A50:E50"/>
    <mergeCell ref="A51:E51"/>
    <mergeCell ref="A59:E59"/>
    <mergeCell ref="A60:E60"/>
    <mergeCell ref="A61:E61"/>
    <mergeCell ref="A55:L55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topLeftCell="A86" zoomScale="80" zoomScaleNormal="80" workbookViewId="0">
      <selection activeCell="I99" sqref="I99"/>
    </sheetView>
  </sheetViews>
  <sheetFormatPr defaultRowHeight="15" x14ac:dyDescent="0.25"/>
  <cols>
    <col min="1" max="1" width="9.140625" style="4"/>
    <col min="2" max="2" width="10.28515625" style="4" bestFit="1" customWidth="1"/>
    <col min="3" max="4" width="9.140625" style="4"/>
    <col min="5" max="5" width="10.28515625" style="4" customWidth="1"/>
    <col min="6" max="6" width="13.7109375" style="4" customWidth="1"/>
    <col min="7" max="7" width="14.28515625" style="4" customWidth="1"/>
    <col min="8" max="8" width="17.42578125" style="4" customWidth="1"/>
    <col min="9" max="9" width="15.85546875" style="4" customWidth="1"/>
    <col min="10" max="10" width="14.85546875" style="4" customWidth="1"/>
    <col min="11" max="11" width="17.140625" style="4" customWidth="1"/>
    <col min="12" max="12" width="14" style="4" customWidth="1"/>
    <col min="13" max="13" width="13.28515625" style="4" customWidth="1"/>
    <col min="14" max="16384" width="9.140625" style="4"/>
  </cols>
  <sheetData>
    <row r="1" spans="1:15" ht="15.75" x14ac:dyDescent="0.25">
      <c r="A1" s="120" t="s">
        <v>50</v>
      </c>
      <c r="B1" s="120"/>
      <c r="C1" s="120"/>
      <c r="D1" s="120"/>
      <c r="E1" s="13"/>
      <c r="F1" s="13"/>
    </row>
    <row r="2" spans="1:15" ht="15.75" x14ac:dyDescent="0.25">
      <c r="A2" s="120" t="s">
        <v>51</v>
      </c>
      <c r="B2" s="120"/>
      <c r="C2" s="91"/>
      <c r="D2" s="91"/>
      <c r="E2" s="91"/>
      <c r="F2" s="91"/>
    </row>
    <row r="3" spans="1:15" ht="15.75" x14ac:dyDescent="0.25">
      <c r="A3" s="90" t="s">
        <v>52</v>
      </c>
      <c r="B3" s="90"/>
      <c r="C3" s="90"/>
      <c r="D3" s="91"/>
      <c r="E3" s="91"/>
      <c r="F3" s="13"/>
    </row>
    <row r="4" spans="1:15" ht="9.75" customHeight="1" x14ac:dyDescent="0.25">
      <c r="A4" s="14"/>
      <c r="B4" s="14"/>
      <c r="C4" s="14"/>
      <c r="D4" s="15"/>
      <c r="E4" s="13"/>
      <c r="F4" s="13"/>
    </row>
    <row r="5" spans="1:15" ht="12.75" customHeight="1" x14ac:dyDescent="0.25">
      <c r="A5" s="90"/>
      <c r="B5" s="90"/>
      <c r="C5" s="90"/>
      <c r="D5" s="15"/>
      <c r="E5" s="13"/>
      <c r="F5" s="13"/>
    </row>
    <row r="6" spans="1:15" ht="15.75" x14ac:dyDescent="0.25">
      <c r="A6" s="121" t="s">
        <v>53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5" ht="15.75" x14ac:dyDescent="0.25">
      <c r="A7" s="121" t="s">
        <v>84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5" ht="14.25" customHeight="1" x14ac:dyDescent="0.25">
      <c r="A8" s="122" t="s">
        <v>117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5" ht="16.5" customHeight="1" x14ac:dyDescent="0.25">
      <c r="A9" s="139" t="s">
        <v>114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7"/>
      <c r="O9" s="17"/>
    </row>
    <row r="10" spans="1:15" hidden="1" x14ac:dyDescent="0.25">
      <c r="A10" s="11" t="s">
        <v>85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x14ac:dyDescent="0.25">
      <c r="A11" s="11" t="s">
        <v>119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x14ac:dyDescent="0.25">
      <c r="A12" s="11" t="s">
        <v>62</v>
      </c>
      <c r="B12" s="9"/>
      <c r="C12" s="9"/>
      <c r="D12" s="9"/>
      <c r="E12" s="9"/>
    </row>
    <row r="13" spans="1:15" ht="33" customHeight="1" x14ac:dyDescent="0.25">
      <c r="A13" s="125" t="s">
        <v>0</v>
      </c>
      <c r="B13" s="125"/>
      <c r="C13" s="125"/>
      <c r="D13" s="125"/>
      <c r="E13" s="125"/>
      <c r="F13" s="1" t="s">
        <v>1</v>
      </c>
      <c r="G13" s="125" t="s">
        <v>2</v>
      </c>
      <c r="H13" s="125"/>
      <c r="I13" s="125"/>
      <c r="J13" s="125"/>
      <c r="K13" s="125"/>
      <c r="L13" s="1" t="s">
        <v>1</v>
      </c>
      <c r="M13" s="84"/>
    </row>
    <row r="14" spans="1:15" ht="16.5" customHeight="1" x14ac:dyDescent="0.25">
      <c r="A14" s="113" t="s">
        <v>55</v>
      </c>
      <c r="B14" s="105"/>
      <c r="C14" s="105"/>
      <c r="D14" s="105"/>
      <c r="E14" s="106"/>
      <c r="F14" s="18">
        <f>1*45.67%</f>
        <v>0.45669999999999999</v>
      </c>
      <c r="G14" s="104" t="s">
        <v>39</v>
      </c>
      <c r="H14" s="105"/>
      <c r="I14" s="105"/>
      <c r="J14" s="105"/>
      <c r="K14" s="106"/>
      <c r="L14" s="85">
        <f>1*45.67%</f>
        <v>0.45669999999999999</v>
      </c>
      <c r="M14" s="84"/>
    </row>
    <row r="15" spans="1:15" ht="15.75" customHeight="1" x14ac:dyDescent="0.25">
      <c r="A15" s="113" t="s">
        <v>41</v>
      </c>
      <c r="B15" s="105"/>
      <c r="C15" s="105"/>
      <c r="D15" s="105"/>
      <c r="E15" s="106"/>
      <c r="F15" s="18">
        <f>20.5*45.67%</f>
        <v>9.3623499999999993</v>
      </c>
      <c r="G15" s="104" t="s">
        <v>40</v>
      </c>
      <c r="H15" s="105"/>
      <c r="I15" s="105"/>
      <c r="J15" s="105"/>
      <c r="K15" s="106"/>
      <c r="L15" s="85">
        <f>1*45.67%</f>
        <v>0.45669999999999999</v>
      </c>
      <c r="M15" s="84"/>
    </row>
    <row r="16" spans="1:15" ht="18" customHeight="1" x14ac:dyDescent="0.25">
      <c r="A16" s="113" t="s">
        <v>64</v>
      </c>
      <c r="B16" s="105"/>
      <c r="C16" s="105"/>
      <c r="D16" s="105"/>
      <c r="E16" s="106"/>
      <c r="F16" s="18">
        <f>1*45.67%</f>
        <v>0.45669999999999999</v>
      </c>
      <c r="G16" s="104"/>
      <c r="H16" s="105"/>
      <c r="I16" s="105"/>
      <c r="J16" s="105"/>
      <c r="K16" s="106"/>
      <c r="L16" s="18"/>
      <c r="M16" s="84"/>
    </row>
    <row r="17" spans="1:13" ht="16.5" customHeight="1" x14ac:dyDescent="0.25">
      <c r="A17" s="113" t="s">
        <v>44</v>
      </c>
      <c r="B17" s="105"/>
      <c r="C17" s="105"/>
      <c r="D17" s="105"/>
      <c r="E17" s="106"/>
      <c r="F17" s="18">
        <f>1*45.67%</f>
        <v>0.45669999999999999</v>
      </c>
      <c r="G17" s="104"/>
      <c r="H17" s="105"/>
      <c r="I17" s="105"/>
      <c r="J17" s="105"/>
      <c r="K17" s="106"/>
      <c r="L17" s="18"/>
      <c r="M17" s="84"/>
    </row>
    <row r="18" spans="1:13" ht="15" customHeight="1" x14ac:dyDescent="0.25">
      <c r="A18" s="104" t="s">
        <v>43</v>
      </c>
      <c r="B18" s="107"/>
      <c r="C18" s="107"/>
      <c r="D18" s="107"/>
      <c r="E18" s="108"/>
      <c r="F18" s="18">
        <f>5*45.67%</f>
        <v>2.2835000000000001</v>
      </c>
      <c r="G18" s="104"/>
      <c r="H18" s="105"/>
      <c r="I18" s="105"/>
      <c r="J18" s="105"/>
      <c r="K18" s="106"/>
      <c r="L18" s="18"/>
      <c r="M18" s="84"/>
    </row>
    <row r="19" spans="1:13" ht="15.75" customHeight="1" thickBot="1" x14ac:dyDescent="0.3">
      <c r="A19" s="104" t="s">
        <v>42</v>
      </c>
      <c r="B19" s="107"/>
      <c r="C19" s="107"/>
      <c r="D19" s="107"/>
      <c r="E19" s="108"/>
      <c r="F19" s="18">
        <f>10*45.67%</f>
        <v>4.5670000000000002</v>
      </c>
      <c r="G19" s="104"/>
      <c r="H19" s="107"/>
      <c r="I19" s="107"/>
      <c r="J19" s="107"/>
      <c r="K19" s="108"/>
      <c r="L19" s="18"/>
      <c r="M19" s="84"/>
    </row>
    <row r="20" spans="1:13" ht="14.25" hidden="1" customHeight="1" x14ac:dyDescent="0.3">
      <c r="A20" s="104"/>
      <c r="B20" s="107"/>
      <c r="C20" s="107"/>
      <c r="D20" s="107"/>
      <c r="E20" s="108"/>
      <c r="F20" s="85"/>
      <c r="G20" s="104"/>
      <c r="H20" s="107"/>
      <c r="I20" s="107"/>
      <c r="J20" s="107"/>
      <c r="K20" s="108"/>
      <c r="L20" s="18"/>
      <c r="M20" s="84"/>
    </row>
    <row r="21" spans="1:13" ht="15" hidden="1" customHeight="1" x14ac:dyDescent="0.3">
      <c r="A21" s="104"/>
      <c r="B21" s="105"/>
      <c r="C21" s="105"/>
      <c r="D21" s="105"/>
      <c r="E21" s="106"/>
      <c r="F21" s="61"/>
      <c r="G21" s="104"/>
      <c r="H21" s="107"/>
      <c r="I21" s="107"/>
      <c r="J21" s="107"/>
      <c r="K21" s="108"/>
      <c r="L21" s="62"/>
      <c r="M21" s="84"/>
    </row>
    <row r="22" spans="1:13" ht="15.75" thickBot="1" x14ac:dyDescent="0.3">
      <c r="A22" s="117" t="s">
        <v>3</v>
      </c>
      <c r="B22" s="118"/>
      <c r="C22" s="118"/>
      <c r="D22" s="118"/>
      <c r="E22" s="118"/>
      <c r="F22" s="63">
        <f>SUM(F14:F21)</f>
        <v>17.582949999999997</v>
      </c>
      <c r="G22" s="109"/>
      <c r="H22" s="109"/>
      <c r="I22" s="109"/>
      <c r="J22" s="109"/>
      <c r="K22" s="109"/>
      <c r="L22" s="63">
        <v>0.92</v>
      </c>
      <c r="M22" s="11"/>
    </row>
    <row r="23" spans="1:13" ht="15.75" thickBot="1" x14ac:dyDescent="0.3">
      <c r="A23" s="20"/>
      <c r="B23" s="20"/>
      <c r="C23" s="20"/>
      <c r="D23" s="20"/>
      <c r="E23" s="20"/>
      <c r="F23" s="21"/>
      <c r="G23" s="22"/>
      <c r="H23" s="22"/>
      <c r="I23" s="22"/>
      <c r="J23" s="22"/>
      <c r="K23" s="22"/>
      <c r="L23" s="21"/>
      <c r="M23" s="9"/>
    </row>
    <row r="24" spans="1:13" ht="15.75" thickBot="1" x14ac:dyDescent="0.3">
      <c r="A24" s="134" t="s">
        <v>86</v>
      </c>
      <c r="B24" s="134"/>
      <c r="C24" s="134"/>
      <c r="D24" s="134"/>
      <c r="E24" s="134"/>
      <c r="F24" s="134"/>
      <c r="G24" s="134"/>
      <c r="H24" s="76">
        <v>144419</v>
      </c>
      <c r="I24" s="9"/>
      <c r="J24" s="9"/>
      <c r="K24" s="9"/>
      <c r="L24" s="9"/>
      <c r="M24" s="9"/>
    </row>
    <row r="25" spans="1:13" ht="60.75" thickBot="1" x14ac:dyDescent="0.3">
      <c r="A25" s="94" t="s">
        <v>4</v>
      </c>
      <c r="B25" s="95"/>
      <c r="C25" s="95"/>
      <c r="D25" s="95"/>
      <c r="E25" s="96"/>
      <c r="F25" s="82" t="s">
        <v>5</v>
      </c>
      <c r="G25" s="82" t="s">
        <v>1</v>
      </c>
      <c r="H25" s="75" t="s">
        <v>65</v>
      </c>
      <c r="I25" s="82" t="s">
        <v>66</v>
      </c>
      <c r="J25" s="82" t="s">
        <v>67</v>
      </c>
      <c r="K25" s="24" t="s">
        <v>68</v>
      </c>
      <c r="L25" s="40"/>
      <c r="M25" s="84"/>
    </row>
    <row r="26" spans="1:13" ht="18.75" hidden="1" customHeight="1" x14ac:dyDescent="0.3">
      <c r="A26" s="87" t="s">
        <v>55</v>
      </c>
      <c r="B26" s="88"/>
      <c r="C26" s="88"/>
      <c r="D26" s="88"/>
      <c r="E26" s="89"/>
      <c r="F26" s="1">
        <f>'Услуга №1  '!F26</f>
        <v>0</v>
      </c>
      <c r="G26" s="85">
        <v>0.01</v>
      </c>
      <c r="H26" s="1">
        <f>F26*G26*12</f>
        <v>0</v>
      </c>
      <c r="I26" s="1">
        <f>H26*1.302</f>
        <v>0</v>
      </c>
      <c r="J26" s="1">
        <f>H24</f>
        <v>144419</v>
      </c>
      <c r="K26" s="1">
        <f>I26/J26</f>
        <v>0</v>
      </c>
      <c r="L26" s="36"/>
      <c r="M26" s="84"/>
    </row>
    <row r="27" spans="1:13" ht="16.5" hidden="1" customHeight="1" x14ac:dyDescent="0.3">
      <c r="A27" s="119" t="s">
        <v>41</v>
      </c>
      <c r="B27" s="119"/>
      <c r="C27" s="119"/>
      <c r="D27" s="119"/>
      <c r="E27" s="119"/>
      <c r="F27" s="1">
        <f>'Услуга №1  '!F27</f>
        <v>0</v>
      </c>
      <c r="G27" s="85">
        <v>0.23</v>
      </c>
      <c r="H27" s="1">
        <f t="shared" ref="H27:H31" si="0">F27*G27*12</f>
        <v>0</v>
      </c>
      <c r="I27" s="1">
        <f t="shared" ref="I27:I31" si="1">H27*1.302</f>
        <v>0</v>
      </c>
      <c r="J27" s="1">
        <f>J26</f>
        <v>144419</v>
      </c>
      <c r="K27" s="1">
        <f t="shared" ref="K27:K31" si="2">I27/J27</f>
        <v>0</v>
      </c>
      <c r="L27" s="36"/>
      <c r="M27" s="84"/>
    </row>
    <row r="28" spans="1:13" ht="15" hidden="1" customHeight="1" x14ac:dyDescent="0.3">
      <c r="A28" s="113" t="s">
        <v>64</v>
      </c>
      <c r="B28" s="105"/>
      <c r="C28" s="105"/>
      <c r="D28" s="105"/>
      <c r="E28" s="106"/>
      <c r="F28" s="1">
        <f>'Услуга №1  '!F28</f>
        <v>0</v>
      </c>
      <c r="G28" s="85">
        <v>0.01</v>
      </c>
      <c r="H28" s="1">
        <f t="shared" si="0"/>
        <v>0</v>
      </c>
      <c r="I28" s="1">
        <f t="shared" si="1"/>
        <v>0</v>
      </c>
      <c r="J28" s="1">
        <f>J27</f>
        <v>144419</v>
      </c>
      <c r="K28" s="1">
        <f t="shared" si="2"/>
        <v>0</v>
      </c>
      <c r="L28" s="36"/>
      <c r="M28" s="84"/>
    </row>
    <row r="29" spans="1:13" ht="15" hidden="1" customHeight="1" x14ac:dyDescent="0.3">
      <c r="A29" s="114" t="s">
        <v>44</v>
      </c>
      <c r="B29" s="115"/>
      <c r="C29" s="115"/>
      <c r="D29" s="115"/>
      <c r="E29" s="116"/>
      <c r="F29" s="1">
        <f>'Услуга №1  '!F29</f>
        <v>0</v>
      </c>
      <c r="G29" s="85">
        <v>0.01</v>
      </c>
      <c r="H29" s="1">
        <f t="shared" si="0"/>
        <v>0</v>
      </c>
      <c r="I29" s="1">
        <f t="shared" si="1"/>
        <v>0</v>
      </c>
      <c r="J29" s="1">
        <f>J28</f>
        <v>144419</v>
      </c>
      <c r="K29" s="1">
        <f t="shared" si="2"/>
        <v>0</v>
      </c>
      <c r="L29" s="36"/>
      <c r="M29" s="84"/>
    </row>
    <row r="30" spans="1:13" ht="14.25" hidden="1" customHeight="1" x14ac:dyDescent="0.3">
      <c r="A30" s="104" t="s">
        <v>42</v>
      </c>
      <c r="B30" s="88"/>
      <c r="C30" s="88"/>
      <c r="D30" s="88"/>
      <c r="E30" s="89"/>
      <c r="F30" s="1">
        <f>'Услуга №1  '!F30</f>
        <v>0</v>
      </c>
      <c r="G30" s="85">
        <v>7.0000000000000007E-2</v>
      </c>
      <c r="H30" s="1">
        <f t="shared" si="0"/>
        <v>0</v>
      </c>
      <c r="I30" s="1">
        <f t="shared" si="1"/>
        <v>0</v>
      </c>
      <c r="J30" s="1">
        <f>J27</f>
        <v>144419</v>
      </c>
      <c r="K30" s="1">
        <f t="shared" si="2"/>
        <v>0</v>
      </c>
      <c r="L30" s="36"/>
      <c r="M30" s="84"/>
    </row>
    <row r="31" spans="1:13" ht="15.75" hidden="1" customHeight="1" x14ac:dyDescent="0.3">
      <c r="A31" s="104" t="s">
        <v>43</v>
      </c>
      <c r="B31" s="88"/>
      <c r="C31" s="88"/>
      <c r="D31" s="88"/>
      <c r="E31" s="89"/>
      <c r="F31" s="1">
        <f>'Услуга №1  '!F31</f>
        <v>0</v>
      </c>
      <c r="G31" s="85">
        <v>0.1</v>
      </c>
      <c r="H31" s="1">
        <f t="shared" si="0"/>
        <v>0</v>
      </c>
      <c r="I31" s="69">
        <f t="shared" si="1"/>
        <v>0</v>
      </c>
      <c r="J31" s="1">
        <f>H24</f>
        <v>144419</v>
      </c>
      <c r="K31" s="69">
        <f t="shared" si="2"/>
        <v>0</v>
      </c>
      <c r="L31" s="36"/>
      <c r="M31" s="84"/>
    </row>
    <row r="32" spans="1:13" ht="29.25" customHeight="1" thickBot="1" x14ac:dyDescent="0.3">
      <c r="A32" s="111" t="s">
        <v>69</v>
      </c>
      <c r="B32" s="112"/>
      <c r="C32" s="112"/>
      <c r="D32" s="112"/>
      <c r="E32" s="112"/>
      <c r="F32" s="46">
        <v>29335.19</v>
      </c>
      <c r="G32" s="26">
        <f>F22</f>
        <v>17.582949999999997</v>
      </c>
      <c r="H32" s="72">
        <v>6188550.6699999999</v>
      </c>
      <c r="I32" s="66">
        <f>(H32*1.302)</f>
        <v>8057492.9723399999</v>
      </c>
      <c r="J32" s="73">
        <f>H24</f>
        <v>144419</v>
      </c>
      <c r="K32" s="66">
        <f>I32/J32</f>
        <v>55.792471713140237</v>
      </c>
      <c r="L32" s="36"/>
      <c r="M32" s="84"/>
    </row>
    <row r="33" spans="1:13" x14ac:dyDescent="0.25">
      <c r="A33" s="27"/>
      <c r="B33" s="27"/>
      <c r="C33" s="27"/>
      <c r="D33" s="27"/>
      <c r="E33" s="27"/>
      <c r="F33" s="27"/>
      <c r="G33" s="27"/>
      <c r="H33" s="27"/>
      <c r="I33" s="9"/>
      <c r="J33" s="9"/>
      <c r="K33" s="9"/>
      <c r="L33" s="28"/>
      <c r="M33" s="9"/>
    </row>
    <row r="34" spans="1:13" x14ac:dyDescent="0.25">
      <c r="A34" s="110" t="s">
        <v>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84"/>
    </row>
    <row r="35" spans="1:13" ht="45" x14ac:dyDescent="0.25">
      <c r="A35" s="97" t="s">
        <v>8</v>
      </c>
      <c r="B35" s="97"/>
      <c r="C35" s="97"/>
      <c r="D35" s="97"/>
      <c r="E35" s="97"/>
      <c r="F35" s="82" t="s">
        <v>6</v>
      </c>
      <c r="G35" s="82" t="s">
        <v>56</v>
      </c>
      <c r="H35" s="82" t="s">
        <v>57</v>
      </c>
      <c r="I35" s="82" t="s">
        <v>72</v>
      </c>
      <c r="J35" s="82" t="s">
        <v>67</v>
      </c>
      <c r="K35" s="29" t="s">
        <v>68</v>
      </c>
      <c r="L35" s="30"/>
      <c r="M35" s="84"/>
    </row>
    <row r="36" spans="1:13" x14ac:dyDescent="0.25">
      <c r="A36" s="103" t="s">
        <v>9</v>
      </c>
      <c r="B36" s="103"/>
      <c r="C36" s="103"/>
      <c r="D36" s="103"/>
      <c r="E36" s="103"/>
      <c r="F36" s="1" t="s">
        <v>92</v>
      </c>
      <c r="G36" s="59">
        <f>I36/H36</f>
        <v>16.126192598886632</v>
      </c>
      <c r="H36" s="45">
        <v>7873.41</v>
      </c>
      <c r="I36" s="2">
        <f>278012.1*45.67%</f>
        <v>126968.12606999998</v>
      </c>
      <c r="J36" s="1">
        <f>H24</f>
        <v>144419</v>
      </c>
      <c r="K36" s="64">
        <f>I36/J36</f>
        <v>0.8791649718527339</v>
      </c>
      <c r="L36" s="32"/>
      <c r="M36" s="84"/>
    </row>
    <row r="37" spans="1:13" x14ac:dyDescent="0.25">
      <c r="A37" s="103" t="s">
        <v>10</v>
      </c>
      <c r="B37" s="103"/>
      <c r="C37" s="103"/>
      <c r="D37" s="103"/>
      <c r="E37" s="103"/>
      <c r="F37" s="1" t="s">
        <v>93</v>
      </c>
      <c r="G37" s="59">
        <f t="shared" ref="G37:G40" si="3">I37/H37</f>
        <v>232.67956942708449</v>
      </c>
      <c r="H37" s="45">
        <v>1798.52</v>
      </c>
      <c r="I37" s="2">
        <f>916310.18*45.67%</f>
        <v>418478.85920599999</v>
      </c>
      <c r="J37" s="1">
        <f>J36</f>
        <v>144419</v>
      </c>
      <c r="K37" s="64">
        <f t="shared" ref="K37:K40" si="4">I37/J37</f>
        <v>2.8976717689916147</v>
      </c>
      <c r="L37" s="32"/>
      <c r="M37" s="84"/>
    </row>
    <row r="38" spans="1:13" x14ac:dyDescent="0.25">
      <c r="A38" s="103" t="s">
        <v>11</v>
      </c>
      <c r="B38" s="103"/>
      <c r="C38" s="103"/>
      <c r="D38" s="103"/>
      <c r="E38" s="103"/>
      <c r="F38" s="1" t="s">
        <v>94</v>
      </c>
      <c r="G38" s="59">
        <f t="shared" si="3"/>
        <v>106.15897686741363</v>
      </c>
      <c r="H38" s="45">
        <v>42.84</v>
      </c>
      <c r="I38" s="2">
        <f>9958.07*45.67%</f>
        <v>4547.8505690000002</v>
      </c>
      <c r="J38" s="1">
        <f>J37</f>
        <v>144419</v>
      </c>
      <c r="K38" s="64">
        <f t="shared" si="4"/>
        <v>3.1490666525872638E-2</v>
      </c>
      <c r="L38" s="32"/>
      <c r="M38" s="84"/>
    </row>
    <row r="39" spans="1:13" x14ac:dyDescent="0.25">
      <c r="A39" s="103" t="s">
        <v>12</v>
      </c>
      <c r="B39" s="103"/>
      <c r="C39" s="103"/>
      <c r="D39" s="103"/>
      <c r="E39" s="103"/>
      <c r="F39" s="81" t="s">
        <v>94</v>
      </c>
      <c r="G39" s="59">
        <f t="shared" si="3"/>
        <v>148.71283684885395</v>
      </c>
      <c r="H39" s="45">
        <v>62.39</v>
      </c>
      <c r="I39" s="2">
        <f>20315.73*45.67%</f>
        <v>9278.193890999999</v>
      </c>
      <c r="J39" s="1">
        <f>J37</f>
        <v>144419</v>
      </c>
      <c r="K39" s="64">
        <f t="shared" si="4"/>
        <v>6.4244967012650686E-2</v>
      </c>
      <c r="L39" s="32"/>
      <c r="M39" s="10"/>
    </row>
    <row r="40" spans="1:13" ht="15.75" thickBot="1" x14ac:dyDescent="0.3">
      <c r="A40" s="98" t="s">
        <v>15</v>
      </c>
      <c r="B40" s="123"/>
      <c r="C40" s="123"/>
      <c r="D40" s="123"/>
      <c r="E40" s="123"/>
      <c r="F40" s="81" t="s">
        <v>94</v>
      </c>
      <c r="G40" s="59">
        <f t="shared" si="3"/>
        <v>5.4803613264049265</v>
      </c>
      <c r="H40" s="60">
        <v>1299</v>
      </c>
      <c r="I40" s="65">
        <f>15587.89*45.67%</f>
        <v>7118.9893629999997</v>
      </c>
      <c r="J40" s="1">
        <f t="shared" ref="J40:J41" si="5">J38</f>
        <v>144419</v>
      </c>
      <c r="K40" s="68">
        <f t="shared" si="4"/>
        <v>4.9293994301303844E-2</v>
      </c>
      <c r="L40" s="32"/>
      <c r="M40" s="10"/>
    </row>
    <row r="41" spans="1:13" ht="15" customHeight="1" thickBot="1" x14ac:dyDescent="0.3">
      <c r="A41" s="101" t="s">
        <v>13</v>
      </c>
      <c r="B41" s="102"/>
      <c r="C41" s="102"/>
      <c r="D41" s="102"/>
      <c r="E41" s="102"/>
      <c r="F41" s="102"/>
      <c r="G41" s="102"/>
      <c r="H41" s="102"/>
      <c r="I41" s="66">
        <f>SUM(I36:I39)+I40</f>
        <v>566392.01909900003</v>
      </c>
      <c r="J41" s="67">
        <f t="shared" si="5"/>
        <v>144419</v>
      </c>
      <c r="K41" s="66">
        <f>I41/H24</f>
        <v>3.9218663686841762</v>
      </c>
      <c r="L41" s="36"/>
      <c r="M41" s="84"/>
    </row>
    <row r="42" spans="1:13" x14ac:dyDescent="0.25">
      <c r="A42" s="84"/>
      <c r="B42" s="84"/>
      <c r="C42" s="84"/>
      <c r="D42" s="84"/>
      <c r="E42" s="84"/>
      <c r="F42" s="58"/>
      <c r="G42" s="58"/>
      <c r="H42" s="58"/>
      <c r="I42" s="58"/>
      <c r="J42" s="58"/>
      <c r="K42" s="58"/>
      <c r="L42" s="58"/>
      <c r="M42" s="84"/>
    </row>
    <row r="43" spans="1:13" x14ac:dyDescent="0.25">
      <c r="A43" s="110" t="s">
        <v>14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84"/>
    </row>
    <row r="44" spans="1:13" ht="45" x14ac:dyDescent="0.25">
      <c r="A44" s="94" t="s">
        <v>18</v>
      </c>
      <c r="B44" s="95"/>
      <c r="C44" s="95"/>
      <c r="D44" s="95"/>
      <c r="E44" s="96"/>
      <c r="F44" s="82" t="s">
        <v>6</v>
      </c>
      <c r="G44" s="82" t="s">
        <v>56</v>
      </c>
      <c r="H44" s="82" t="s">
        <v>57</v>
      </c>
      <c r="I44" s="82" t="s">
        <v>72</v>
      </c>
      <c r="J44" s="82" t="s">
        <v>67</v>
      </c>
      <c r="K44" s="29" t="s">
        <v>68</v>
      </c>
      <c r="L44" s="30"/>
      <c r="M44" s="84"/>
    </row>
    <row r="45" spans="1:13" ht="18.75" customHeight="1" x14ac:dyDescent="0.25">
      <c r="A45" s="98" t="s">
        <v>58</v>
      </c>
      <c r="B45" s="99"/>
      <c r="C45" s="99"/>
      <c r="D45" s="99"/>
      <c r="E45" s="100"/>
      <c r="F45" s="81" t="s">
        <v>73</v>
      </c>
      <c r="G45" s="1">
        <v>12</v>
      </c>
      <c r="H45" s="1">
        <v>5535.83</v>
      </c>
      <c r="I45" s="2">
        <f>66430*45.67%</f>
        <v>30338.580999999998</v>
      </c>
      <c r="J45" s="1">
        <f>J36</f>
        <v>144419</v>
      </c>
      <c r="K45" s="64">
        <f>I45/J45</f>
        <v>0.21007333522597441</v>
      </c>
      <c r="L45" s="32"/>
      <c r="M45" s="36"/>
    </row>
    <row r="46" spans="1:13" ht="18.75" customHeight="1" x14ac:dyDescent="0.25">
      <c r="A46" s="98" t="s">
        <v>16</v>
      </c>
      <c r="B46" s="99"/>
      <c r="C46" s="99"/>
      <c r="D46" s="99"/>
      <c r="E46" s="100"/>
      <c r="F46" s="81" t="s">
        <v>17</v>
      </c>
      <c r="G46" s="1">
        <v>4</v>
      </c>
      <c r="H46" s="1">
        <v>1500</v>
      </c>
      <c r="I46" s="2">
        <f>18000*45.67%</f>
        <v>8220.6</v>
      </c>
      <c r="J46" s="1">
        <f>J38</f>
        <v>144419</v>
      </c>
      <c r="K46" s="64">
        <f>I46/J46</f>
        <v>5.6921873160733702E-2</v>
      </c>
      <c r="L46" s="32"/>
      <c r="M46" s="36"/>
    </row>
    <row r="47" spans="1:13" ht="33.75" customHeight="1" x14ac:dyDescent="0.25">
      <c r="A47" s="87" t="s">
        <v>60</v>
      </c>
      <c r="B47" s="88"/>
      <c r="C47" s="88"/>
      <c r="D47" s="88"/>
      <c r="E47" s="89"/>
      <c r="F47" s="81" t="s">
        <v>17</v>
      </c>
      <c r="G47" s="1">
        <v>12</v>
      </c>
      <c r="H47" s="1">
        <v>30955.03</v>
      </c>
      <c r="I47" s="2">
        <f>371460.39*45.67%</f>
        <v>169645.96011300001</v>
      </c>
      <c r="J47" s="1">
        <f>J46</f>
        <v>144419</v>
      </c>
      <c r="K47" s="64">
        <f t="shared" ref="K47:K51" si="6">I47/J47</f>
        <v>1.174678955767593</v>
      </c>
      <c r="L47" s="32"/>
      <c r="M47" s="36"/>
    </row>
    <row r="48" spans="1:13" ht="18.75" customHeight="1" x14ac:dyDescent="0.25">
      <c r="A48" s="98" t="s">
        <v>120</v>
      </c>
      <c r="B48" s="99"/>
      <c r="C48" s="99"/>
      <c r="D48" s="99"/>
      <c r="E48" s="100"/>
      <c r="F48" s="81" t="s">
        <v>17</v>
      </c>
      <c r="G48" s="1"/>
      <c r="H48" s="1"/>
      <c r="I48" s="2">
        <f>5011.84*45.67%</f>
        <v>2288.9073280000002</v>
      </c>
      <c r="J48" s="1">
        <f>J47</f>
        <v>144419</v>
      </c>
      <c r="K48" s="64">
        <f t="shared" si="6"/>
        <v>1.5849073376771754E-2</v>
      </c>
      <c r="L48" s="32"/>
      <c r="M48" s="36"/>
    </row>
    <row r="49" spans="1:13" ht="29.25" customHeight="1" thickBot="1" x14ac:dyDescent="0.3">
      <c r="A49" s="87" t="s">
        <v>59</v>
      </c>
      <c r="B49" s="88"/>
      <c r="C49" s="88"/>
      <c r="D49" s="88"/>
      <c r="E49" s="89"/>
      <c r="F49" s="81" t="s">
        <v>17</v>
      </c>
      <c r="G49" s="1">
        <v>12</v>
      </c>
      <c r="H49" s="1">
        <v>500</v>
      </c>
      <c r="I49" s="2">
        <f>6000*45.67%</f>
        <v>2740.2</v>
      </c>
      <c r="J49" s="1">
        <f>J47</f>
        <v>144419</v>
      </c>
      <c r="K49" s="64">
        <f t="shared" si="6"/>
        <v>1.8973957720244565E-2</v>
      </c>
      <c r="L49" s="32"/>
      <c r="M49" s="36"/>
    </row>
    <row r="50" spans="1:13" ht="18.75" hidden="1" customHeight="1" x14ac:dyDescent="0.3">
      <c r="A50" s="98" t="s">
        <v>95</v>
      </c>
      <c r="B50" s="99"/>
      <c r="C50" s="99"/>
      <c r="D50" s="99"/>
      <c r="E50" s="100"/>
      <c r="F50" s="81" t="s">
        <v>17</v>
      </c>
      <c r="G50" s="1"/>
      <c r="H50" s="1"/>
      <c r="I50" s="2">
        <v>0</v>
      </c>
      <c r="J50" s="1">
        <f>J49</f>
        <v>144419</v>
      </c>
      <c r="K50" s="64">
        <f t="shared" si="6"/>
        <v>0</v>
      </c>
      <c r="L50" s="32"/>
      <c r="M50" s="36"/>
    </row>
    <row r="51" spans="1:13" ht="18.75" hidden="1" customHeight="1" x14ac:dyDescent="0.3">
      <c r="A51" s="98" t="s">
        <v>96</v>
      </c>
      <c r="B51" s="123"/>
      <c r="C51" s="123"/>
      <c r="D51" s="123"/>
      <c r="E51" s="124"/>
      <c r="F51" s="81" t="s">
        <v>17</v>
      </c>
      <c r="G51" s="1"/>
      <c r="H51" s="1"/>
      <c r="I51" s="2">
        <v>0</v>
      </c>
      <c r="J51" s="1">
        <f>J50</f>
        <v>144419</v>
      </c>
      <c r="K51" s="64">
        <f t="shared" si="6"/>
        <v>0</v>
      </c>
      <c r="L51" s="36"/>
      <c r="M51" s="36"/>
    </row>
    <row r="52" spans="1:13" s="84" customFormat="1" ht="30.75" hidden="1" customHeight="1" x14ac:dyDescent="0.3">
      <c r="A52" s="87" t="s">
        <v>97</v>
      </c>
      <c r="B52" s="88"/>
      <c r="C52" s="88"/>
      <c r="D52" s="88"/>
      <c r="E52" s="89"/>
      <c r="F52" s="1" t="s">
        <v>17</v>
      </c>
      <c r="G52" s="1"/>
      <c r="H52" s="1"/>
      <c r="I52" s="69">
        <v>0</v>
      </c>
      <c r="J52" s="1">
        <f>J48</f>
        <v>144419</v>
      </c>
      <c r="K52" s="69">
        <f>I52/J52</f>
        <v>0</v>
      </c>
      <c r="L52" s="36"/>
    </row>
    <row r="53" spans="1:13" ht="18.75" customHeight="1" thickBot="1" x14ac:dyDescent="0.3">
      <c r="A53" s="126" t="s">
        <v>74</v>
      </c>
      <c r="B53" s="127"/>
      <c r="C53" s="127"/>
      <c r="D53" s="127"/>
      <c r="E53" s="127"/>
      <c r="F53" s="127"/>
      <c r="G53" s="127"/>
      <c r="H53" s="127"/>
      <c r="I53" s="66">
        <f>SUM(I45:I52)</f>
        <v>213234.248441</v>
      </c>
      <c r="J53" s="67">
        <f>J49</f>
        <v>144419</v>
      </c>
      <c r="K53" s="66">
        <f>I53/H24</f>
        <v>1.4764971952513173</v>
      </c>
      <c r="L53" s="36"/>
      <c r="M53" s="11"/>
    </row>
    <row r="54" spans="1:13" x14ac:dyDescent="0.25">
      <c r="A54" s="37"/>
      <c r="B54" s="37"/>
      <c r="C54" s="37"/>
      <c r="D54" s="37"/>
      <c r="E54" s="37"/>
      <c r="F54" s="38"/>
      <c r="G54" s="39"/>
      <c r="H54" s="39"/>
      <c r="I54" s="41"/>
      <c r="J54" s="38"/>
      <c r="K54" s="41"/>
      <c r="L54" s="36"/>
      <c r="M54" s="84"/>
    </row>
    <row r="55" spans="1:13" s="84" customFormat="1" x14ac:dyDescent="0.25">
      <c r="A55" s="110" t="s">
        <v>75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3" s="84" customFormat="1" ht="60" customHeight="1" x14ac:dyDescent="0.25">
      <c r="A56" s="94" t="s">
        <v>18</v>
      </c>
      <c r="B56" s="95"/>
      <c r="C56" s="95"/>
      <c r="D56" s="95"/>
      <c r="E56" s="96"/>
      <c r="F56" s="82" t="s">
        <v>6</v>
      </c>
      <c r="G56" s="82" t="s">
        <v>56</v>
      </c>
      <c r="H56" s="82" t="s">
        <v>57</v>
      </c>
      <c r="I56" s="82" t="s">
        <v>72</v>
      </c>
      <c r="J56" s="82" t="s">
        <v>67</v>
      </c>
      <c r="K56" s="24" t="s">
        <v>68</v>
      </c>
      <c r="L56" s="40"/>
    </row>
    <row r="57" spans="1:13" s="84" customFormat="1" ht="37.5" customHeight="1" x14ac:dyDescent="0.25">
      <c r="A57" s="87" t="s">
        <v>76</v>
      </c>
      <c r="B57" s="88"/>
      <c r="C57" s="88"/>
      <c r="D57" s="88"/>
      <c r="E57" s="89"/>
      <c r="F57" s="1" t="s">
        <v>17</v>
      </c>
      <c r="G57" s="1">
        <v>11</v>
      </c>
      <c r="H57" s="1">
        <v>24203.64</v>
      </c>
      <c r="I57" s="1">
        <f>266240*45.67%</f>
        <v>121591.808</v>
      </c>
      <c r="J57" s="1">
        <f>J52</f>
        <v>144419</v>
      </c>
      <c r="K57" s="1">
        <f t="shared" ref="K57" si="7">I57/J57</f>
        <v>0.84193775057298559</v>
      </c>
      <c r="L57" s="36"/>
    </row>
    <row r="58" spans="1:13" s="84" customFormat="1" ht="18.75" customHeight="1" x14ac:dyDescent="0.25">
      <c r="A58" s="98" t="s">
        <v>45</v>
      </c>
      <c r="B58" s="99"/>
      <c r="C58" s="99"/>
      <c r="D58" s="99"/>
      <c r="E58" s="100"/>
      <c r="F58" s="1" t="s">
        <v>17</v>
      </c>
      <c r="G58" s="1"/>
      <c r="H58" s="1"/>
      <c r="I58" s="1">
        <f>40000*45.67%</f>
        <v>18268</v>
      </c>
      <c r="J58" s="1">
        <f>J50</f>
        <v>144419</v>
      </c>
      <c r="K58" s="1">
        <f>I58/J58</f>
        <v>0.12649305146829712</v>
      </c>
      <c r="L58" s="36"/>
    </row>
    <row r="59" spans="1:13" s="84" customFormat="1" ht="46.5" hidden="1" customHeight="1" x14ac:dyDescent="0.25">
      <c r="A59" s="87" t="s">
        <v>111</v>
      </c>
      <c r="B59" s="135"/>
      <c r="C59" s="135"/>
      <c r="D59" s="135"/>
      <c r="E59" s="136"/>
      <c r="F59" s="1" t="s">
        <v>17</v>
      </c>
      <c r="G59" s="1"/>
      <c r="H59" s="1"/>
      <c r="I59" s="45">
        <v>0</v>
      </c>
      <c r="J59" s="1">
        <f t="shared" ref="J59:J61" si="8">J51</f>
        <v>144419</v>
      </c>
      <c r="K59" s="1">
        <f t="shared" ref="K59:K60" si="9">I59/J59</f>
        <v>0</v>
      </c>
      <c r="L59" s="36"/>
    </row>
    <row r="60" spans="1:13" s="84" customFormat="1" ht="18.75" customHeight="1" x14ac:dyDescent="0.25">
      <c r="A60" s="98" t="s">
        <v>121</v>
      </c>
      <c r="B60" s="123"/>
      <c r="C60" s="123"/>
      <c r="D60" s="123"/>
      <c r="E60" s="124"/>
      <c r="F60" s="1" t="s">
        <v>17</v>
      </c>
      <c r="G60" s="1">
        <v>12</v>
      </c>
      <c r="H60" s="1">
        <v>1333.33</v>
      </c>
      <c r="I60" s="1">
        <f>16000*45.67%</f>
        <v>7307.2</v>
      </c>
      <c r="J60" s="1">
        <f t="shared" si="8"/>
        <v>144419</v>
      </c>
      <c r="K60" s="1">
        <f t="shared" si="9"/>
        <v>5.0597220587318845E-2</v>
      </c>
      <c r="L60" s="36"/>
    </row>
    <row r="61" spans="1:13" s="84" customFormat="1" ht="18.75" customHeight="1" thickBot="1" x14ac:dyDescent="0.3">
      <c r="A61" s="98" t="s">
        <v>122</v>
      </c>
      <c r="B61" s="123"/>
      <c r="C61" s="123"/>
      <c r="D61" s="123"/>
      <c r="E61" s="124"/>
      <c r="F61" s="1" t="s">
        <v>17</v>
      </c>
      <c r="G61" s="1"/>
      <c r="H61" s="1"/>
      <c r="I61" s="1">
        <f>95550*45.67%</f>
        <v>43637.684999999998</v>
      </c>
      <c r="J61" s="1">
        <f t="shared" si="8"/>
        <v>144419</v>
      </c>
      <c r="K61" s="1">
        <f>I61/J61</f>
        <v>0.3021602766948947</v>
      </c>
      <c r="L61" s="36"/>
    </row>
    <row r="62" spans="1:13" s="84" customFormat="1" ht="18.75" hidden="1" customHeight="1" x14ac:dyDescent="0.3">
      <c r="A62" s="103" t="s">
        <v>98</v>
      </c>
      <c r="B62" s="103"/>
      <c r="C62" s="103"/>
      <c r="D62" s="103"/>
      <c r="E62" s="103"/>
      <c r="F62" s="1" t="s">
        <v>17</v>
      </c>
      <c r="G62" s="1"/>
      <c r="H62" s="1"/>
      <c r="I62" s="69">
        <v>0</v>
      </c>
      <c r="J62" s="1">
        <f>J58</f>
        <v>144419</v>
      </c>
      <c r="K62" s="69">
        <f t="shared" ref="K62" si="10">I62/J62</f>
        <v>0</v>
      </c>
      <c r="L62" s="36"/>
    </row>
    <row r="63" spans="1:13" s="84" customFormat="1" ht="15.75" thickBot="1" x14ac:dyDescent="0.3">
      <c r="A63" s="126" t="s">
        <v>77</v>
      </c>
      <c r="B63" s="127"/>
      <c r="C63" s="127"/>
      <c r="D63" s="127"/>
      <c r="E63" s="127"/>
      <c r="F63" s="127"/>
      <c r="G63" s="127"/>
      <c r="H63" s="127"/>
      <c r="I63" s="70">
        <f>SUM(I57:I62)</f>
        <v>190804.69300000003</v>
      </c>
      <c r="J63" s="67">
        <f>J59</f>
        <v>144419</v>
      </c>
      <c r="K63" s="70">
        <f>SUM(K57:K62)</f>
        <v>1.3211882993234962</v>
      </c>
      <c r="L63" s="36"/>
      <c r="M63" s="11"/>
    </row>
    <row r="64" spans="1:13" s="84" customFormat="1" x14ac:dyDescent="0.25">
      <c r="A64" s="41"/>
      <c r="B64" s="41"/>
      <c r="C64" s="41"/>
      <c r="D64" s="41"/>
      <c r="E64" s="41"/>
      <c r="F64" s="41"/>
      <c r="G64" s="41"/>
      <c r="H64" s="41"/>
      <c r="I64" s="7"/>
      <c r="J64" s="7"/>
      <c r="K64" s="7"/>
      <c r="L64" s="36"/>
    </row>
    <row r="65" spans="1:13" s="84" customFormat="1" x14ac:dyDescent="0.25">
      <c r="A65" s="110" t="s">
        <v>78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</row>
    <row r="66" spans="1:13" s="84" customFormat="1" ht="60" customHeight="1" x14ac:dyDescent="0.25">
      <c r="A66" s="94" t="s">
        <v>19</v>
      </c>
      <c r="B66" s="95"/>
      <c r="C66" s="95"/>
      <c r="D66" s="95"/>
      <c r="E66" s="96"/>
      <c r="F66" s="82" t="s">
        <v>6</v>
      </c>
      <c r="G66" s="82" t="s">
        <v>56</v>
      </c>
      <c r="H66" s="82" t="s">
        <v>57</v>
      </c>
      <c r="I66" s="82" t="s">
        <v>72</v>
      </c>
      <c r="J66" s="86" t="s">
        <v>67</v>
      </c>
      <c r="K66" s="24" t="s">
        <v>68</v>
      </c>
      <c r="L66" s="40"/>
      <c r="M66" s="40"/>
    </row>
    <row r="67" spans="1:13" s="84" customFormat="1" ht="36.75" customHeight="1" x14ac:dyDescent="0.25">
      <c r="A67" s="98" t="s">
        <v>20</v>
      </c>
      <c r="B67" s="99"/>
      <c r="C67" s="99"/>
      <c r="D67" s="99"/>
      <c r="E67" s="100"/>
      <c r="F67" s="43" t="s">
        <v>21</v>
      </c>
      <c r="G67" s="1">
        <v>12</v>
      </c>
      <c r="H67" s="1">
        <v>464.72</v>
      </c>
      <c r="I67" s="1">
        <f>66920*45.67%</f>
        <v>30562.364000000001</v>
      </c>
      <c r="J67" s="64">
        <f>J62</f>
        <v>144419</v>
      </c>
      <c r="K67" s="1">
        <f>I67/J67</f>
        <v>0.21162287510646108</v>
      </c>
      <c r="L67" s="36"/>
      <c r="M67" s="36"/>
    </row>
    <row r="68" spans="1:13" s="84" customFormat="1" ht="36.75" customHeight="1" x14ac:dyDescent="0.25">
      <c r="A68" s="98" t="s">
        <v>89</v>
      </c>
      <c r="B68" s="99"/>
      <c r="C68" s="99"/>
      <c r="D68" s="99"/>
      <c r="E68" s="100"/>
      <c r="F68" s="43" t="s">
        <v>24</v>
      </c>
      <c r="G68" s="1"/>
      <c r="H68" s="1"/>
      <c r="I68" s="1">
        <f>11000*45.67%</f>
        <v>5023.7</v>
      </c>
      <c r="J68" s="64">
        <f>J67</f>
        <v>144419</v>
      </c>
      <c r="K68" s="1">
        <f>I68/J68</f>
        <v>3.4785589153781701E-2</v>
      </c>
      <c r="L68" s="36"/>
      <c r="M68" s="36"/>
    </row>
    <row r="69" spans="1:13" s="84" customFormat="1" ht="30.75" thickBot="1" x14ac:dyDescent="0.3">
      <c r="A69" s="98" t="s">
        <v>79</v>
      </c>
      <c r="B69" s="99"/>
      <c r="C69" s="99"/>
      <c r="D69" s="99"/>
      <c r="E69" s="100"/>
      <c r="F69" s="43" t="s">
        <v>80</v>
      </c>
      <c r="G69" s="1">
        <v>7</v>
      </c>
      <c r="H69" s="1">
        <v>12750</v>
      </c>
      <c r="I69" s="69">
        <f>153000*45.67%</f>
        <v>69875.100000000006</v>
      </c>
      <c r="J69" s="64">
        <f>J67</f>
        <v>144419</v>
      </c>
      <c r="K69" s="69">
        <f>I69/J69</f>
        <v>0.48383592186623647</v>
      </c>
      <c r="L69" s="36"/>
      <c r="M69" s="36"/>
    </row>
    <row r="70" spans="1:13" s="84" customFormat="1" ht="15.75" thickBot="1" x14ac:dyDescent="0.3">
      <c r="A70" s="126" t="s">
        <v>22</v>
      </c>
      <c r="B70" s="127"/>
      <c r="C70" s="127"/>
      <c r="D70" s="127"/>
      <c r="E70" s="127"/>
      <c r="F70" s="127"/>
      <c r="G70" s="127"/>
      <c r="H70" s="127"/>
      <c r="I70" s="70">
        <f>SUM(I67:I69)</f>
        <v>105461.164</v>
      </c>
      <c r="J70" s="71">
        <f>J69</f>
        <v>144419</v>
      </c>
      <c r="K70" s="70">
        <f>I70/J67</f>
        <v>0.73024438612647924</v>
      </c>
      <c r="L70" s="7"/>
      <c r="M70" s="44"/>
    </row>
    <row r="71" spans="1:13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</row>
    <row r="73" spans="1:13" x14ac:dyDescent="0.25">
      <c r="A73" s="110" t="s">
        <v>38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</row>
    <row r="74" spans="1:13" ht="60.75" thickBot="1" x14ac:dyDescent="0.3">
      <c r="A74" s="94" t="s">
        <v>4</v>
      </c>
      <c r="B74" s="95"/>
      <c r="C74" s="95"/>
      <c r="D74" s="95"/>
      <c r="E74" s="96"/>
      <c r="F74" s="82" t="s">
        <v>5</v>
      </c>
      <c r="G74" s="82" t="s">
        <v>1</v>
      </c>
      <c r="H74" s="82" t="s">
        <v>65</v>
      </c>
      <c r="I74" s="82" t="s">
        <v>66</v>
      </c>
      <c r="J74" s="82" t="s">
        <v>67</v>
      </c>
      <c r="K74" s="24" t="s">
        <v>68</v>
      </c>
      <c r="L74" s="40"/>
      <c r="M74" s="84"/>
    </row>
    <row r="75" spans="1:13" ht="15.75" hidden="1" thickBot="1" x14ac:dyDescent="0.3">
      <c r="A75" s="103" t="s">
        <v>40</v>
      </c>
      <c r="B75" s="103"/>
      <c r="C75" s="103"/>
      <c r="D75" s="103"/>
      <c r="E75" s="103"/>
      <c r="F75" s="45">
        <f>I75/G75/12</f>
        <v>25730.891846153845</v>
      </c>
      <c r="G75" s="1">
        <v>0.13</v>
      </c>
      <c r="H75" s="2">
        <f>F75*G75*12</f>
        <v>40140.191279999999</v>
      </c>
      <c r="I75" s="1">
        <f>(30829.64*1.302)</f>
        <v>40140.191279999999</v>
      </c>
      <c r="J75" s="1">
        <f>J69</f>
        <v>144419</v>
      </c>
      <c r="K75" s="1">
        <f>I75/J75</f>
        <v>0.27794259259515713</v>
      </c>
      <c r="L75" s="36"/>
      <c r="M75" s="84"/>
    </row>
    <row r="76" spans="1:13" ht="15.75" hidden="1" thickBot="1" x14ac:dyDescent="0.3">
      <c r="A76" s="103" t="s">
        <v>46</v>
      </c>
      <c r="B76" s="103"/>
      <c r="C76" s="103"/>
      <c r="D76" s="103"/>
      <c r="E76" s="103"/>
      <c r="F76" s="45">
        <f>I76/G76/12</f>
        <v>22607.852884615382</v>
      </c>
      <c r="G76" s="1">
        <v>0.13</v>
      </c>
      <c r="H76" s="2">
        <f>F76*G76*12</f>
        <v>35268.250499999995</v>
      </c>
      <c r="I76" s="69">
        <f>(27087.75*1.302)</f>
        <v>35268.250500000002</v>
      </c>
      <c r="J76" s="1">
        <f>J75</f>
        <v>144419</v>
      </c>
      <c r="K76" s="69">
        <f>I76/J76</f>
        <v>0.24420782930223864</v>
      </c>
      <c r="L76" s="36"/>
      <c r="M76" s="84"/>
    </row>
    <row r="77" spans="1:13" ht="32.25" customHeight="1" thickBot="1" x14ac:dyDescent="0.3">
      <c r="A77" s="111" t="s">
        <v>23</v>
      </c>
      <c r="B77" s="112"/>
      <c r="C77" s="112"/>
      <c r="D77" s="112"/>
      <c r="E77" s="112"/>
      <c r="F77" s="26">
        <v>29335.18</v>
      </c>
      <c r="G77" s="26">
        <f>L22</f>
        <v>0.92</v>
      </c>
      <c r="H77" s="72">
        <v>323860.44</v>
      </c>
      <c r="I77" s="66">
        <f>(H77*1.302)</f>
        <v>421666.29288000002</v>
      </c>
      <c r="J77" s="73">
        <f>J69</f>
        <v>144419</v>
      </c>
      <c r="K77" s="66">
        <f>I77/J69</f>
        <v>2.9197425053490194</v>
      </c>
      <c r="L77" s="36"/>
      <c r="M77" s="84"/>
    </row>
    <row r="78" spans="1:13" x14ac:dyDescent="0.25">
      <c r="A78" s="41"/>
      <c r="B78" s="41"/>
      <c r="C78" s="41"/>
      <c r="D78" s="41"/>
      <c r="E78" s="41"/>
      <c r="F78" s="84"/>
      <c r="G78" s="84"/>
      <c r="H78" s="84"/>
      <c r="I78" s="84"/>
      <c r="J78" s="84"/>
      <c r="K78" s="84"/>
      <c r="L78" s="84"/>
      <c r="M78" s="84"/>
    </row>
    <row r="79" spans="1:13" hidden="1" x14ac:dyDescent="0.25">
      <c r="A79" s="137" t="s">
        <v>99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8"/>
      <c r="M79" s="84"/>
    </row>
    <row r="80" spans="1:13" ht="45" hidden="1" x14ac:dyDescent="0.25">
      <c r="A80" s="97" t="s">
        <v>18</v>
      </c>
      <c r="B80" s="97"/>
      <c r="C80" s="97"/>
      <c r="D80" s="97"/>
      <c r="E80" s="97"/>
      <c r="F80" s="82" t="s">
        <v>6</v>
      </c>
      <c r="G80" s="82" t="s">
        <v>56</v>
      </c>
      <c r="H80" s="82" t="s">
        <v>57</v>
      </c>
      <c r="I80" s="82" t="s">
        <v>72</v>
      </c>
      <c r="J80" s="82" t="s">
        <v>67</v>
      </c>
      <c r="K80" s="29" t="s">
        <v>68</v>
      </c>
      <c r="L80" s="30"/>
      <c r="M80" s="84"/>
    </row>
    <row r="81" spans="1:13" ht="37.5" hidden="1" customHeight="1" x14ac:dyDescent="0.25">
      <c r="A81" s="87" t="s">
        <v>100</v>
      </c>
      <c r="B81" s="88"/>
      <c r="C81" s="88"/>
      <c r="D81" s="88"/>
      <c r="E81" s="89"/>
      <c r="F81" s="1"/>
      <c r="G81" s="1">
        <v>12</v>
      </c>
      <c r="H81" s="83"/>
      <c r="I81" s="2">
        <v>0</v>
      </c>
      <c r="J81" s="1">
        <v>27535</v>
      </c>
      <c r="K81" s="64">
        <f>I81/J81</f>
        <v>0</v>
      </c>
      <c r="L81" s="32"/>
      <c r="M81" s="84"/>
    </row>
    <row r="82" spans="1:13" hidden="1" x14ac:dyDescent="0.25">
      <c r="A82" s="126" t="s">
        <v>101</v>
      </c>
      <c r="B82" s="127"/>
      <c r="C82" s="127"/>
      <c r="D82" s="127"/>
      <c r="E82" s="127"/>
      <c r="F82" s="127"/>
      <c r="G82" s="127"/>
      <c r="H82" s="127"/>
      <c r="I82" s="6">
        <f>SUM(I81:I81)</f>
        <v>0</v>
      </c>
      <c r="J82" s="34">
        <f>J81</f>
        <v>27535</v>
      </c>
      <c r="K82" s="6">
        <f>I82/J82</f>
        <v>0</v>
      </c>
      <c r="L82" s="32"/>
      <c r="M82" s="11" t="e">
        <f>I82+'Работа №1'!#REF!+'Работа №2'!#REF!</f>
        <v>#REF!</v>
      </c>
    </row>
    <row r="83" spans="1:13" x14ac:dyDescent="0.25">
      <c r="A83" s="48"/>
      <c r="B83" s="48"/>
      <c r="C83" s="48"/>
      <c r="D83" s="48"/>
      <c r="E83" s="48"/>
      <c r="F83" s="48"/>
      <c r="G83" s="48"/>
      <c r="H83" s="48"/>
      <c r="I83" s="12"/>
      <c r="J83" s="12"/>
      <c r="K83" s="12"/>
      <c r="L83" s="36"/>
      <c r="M83" s="84"/>
    </row>
    <row r="84" spans="1:13" x14ac:dyDescent="0.25">
      <c r="A84" s="128" t="s">
        <v>102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9"/>
      <c r="M84" s="84"/>
    </row>
    <row r="85" spans="1:13" ht="45" x14ac:dyDescent="0.25">
      <c r="A85" s="97" t="s">
        <v>18</v>
      </c>
      <c r="B85" s="97"/>
      <c r="C85" s="97"/>
      <c r="D85" s="97"/>
      <c r="E85" s="97"/>
      <c r="F85" s="82" t="s">
        <v>6</v>
      </c>
      <c r="G85" s="82" t="s">
        <v>56</v>
      </c>
      <c r="H85" s="82" t="s">
        <v>57</v>
      </c>
      <c r="I85" s="82" t="s">
        <v>72</v>
      </c>
      <c r="J85" s="82" t="s">
        <v>67</v>
      </c>
      <c r="K85" s="29" t="s">
        <v>68</v>
      </c>
      <c r="L85" s="30"/>
      <c r="M85" s="84"/>
    </row>
    <row r="86" spans="1:13" ht="30" customHeight="1" x14ac:dyDescent="0.25">
      <c r="A86" s="87" t="s">
        <v>104</v>
      </c>
      <c r="B86" s="88"/>
      <c r="C86" s="88"/>
      <c r="D86" s="88"/>
      <c r="E86" s="89"/>
      <c r="F86" s="1" t="s">
        <v>24</v>
      </c>
      <c r="G86" s="1"/>
      <c r="H86" s="83"/>
      <c r="I86" s="2">
        <f>20000*45.67%</f>
        <v>9134</v>
      </c>
      <c r="J86" s="1">
        <f>J77</f>
        <v>144419</v>
      </c>
      <c r="K86" s="64">
        <f>I86/J86</f>
        <v>6.3246525734148559E-2</v>
      </c>
      <c r="L86" s="32"/>
      <c r="M86" s="84"/>
    </row>
    <row r="87" spans="1:13" x14ac:dyDescent="0.25">
      <c r="A87" s="103" t="s">
        <v>105</v>
      </c>
      <c r="B87" s="103"/>
      <c r="C87" s="103"/>
      <c r="D87" s="103"/>
      <c r="E87" s="103"/>
      <c r="F87" s="1" t="s">
        <v>24</v>
      </c>
      <c r="G87" s="1"/>
      <c r="H87" s="83"/>
      <c r="I87" s="2">
        <f>7810*45.67%</f>
        <v>3566.8269999999998</v>
      </c>
      <c r="J87" s="1">
        <f>J86</f>
        <v>144419</v>
      </c>
      <c r="K87" s="64">
        <f>I87/J87</f>
        <v>2.4697768299185009E-2</v>
      </c>
      <c r="L87" s="32"/>
      <c r="M87" s="84"/>
    </row>
    <row r="88" spans="1:13" ht="15.75" thickBot="1" x14ac:dyDescent="0.3">
      <c r="A88" s="103" t="s">
        <v>112</v>
      </c>
      <c r="B88" s="103"/>
      <c r="C88" s="103"/>
      <c r="D88" s="103"/>
      <c r="E88" s="103"/>
      <c r="F88" s="1" t="s">
        <v>24</v>
      </c>
      <c r="G88" s="1"/>
      <c r="H88" s="83"/>
      <c r="I88" s="65">
        <f>34000*45.67%</f>
        <v>15527.8</v>
      </c>
      <c r="J88" s="1">
        <f>J87</f>
        <v>144419</v>
      </c>
      <c r="K88" s="68">
        <f>I88/J88</f>
        <v>0.10751909374805253</v>
      </c>
      <c r="L88" s="32"/>
      <c r="M88" s="84"/>
    </row>
    <row r="89" spans="1:13" ht="15.75" thickBot="1" x14ac:dyDescent="0.3">
      <c r="A89" s="126" t="s">
        <v>103</v>
      </c>
      <c r="B89" s="127"/>
      <c r="C89" s="127"/>
      <c r="D89" s="127"/>
      <c r="E89" s="127"/>
      <c r="F89" s="127"/>
      <c r="G89" s="127"/>
      <c r="H89" s="127"/>
      <c r="I89" s="70">
        <f>SUM(I86:I88)</f>
        <v>28228.627</v>
      </c>
      <c r="J89" s="67">
        <f>J88</f>
        <v>144419</v>
      </c>
      <c r="K89" s="70">
        <f>I89/J86</f>
        <v>0.19546338778138611</v>
      </c>
      <c r="L89" s="36"/>
      <c r="M89" s="11"/>
    </row>
    <row r="90" spans="1:13" x14ac:dyDescent="0.25">
      <c r="A90" s="48"/>
      <c r="B90" s="48"/>
      <c r="C90" s="48"/>
      <c r="D90" s="48"/>
      <c r="E90" s="48"/>
      <c r="F90" s="48"/>
      <c r="G90" s="48"/>
      <c r="H90" s="48"/>
      <c r="I90" s="12"/>
      <c r="J90" s="12"/>
      <c r="K90" s="12"/>
      <c r="L90" s="36"/>
      <c r="M90" s="84"/>
    </row>
    <row r="91" spans="1:13" x14ac:dyDescent="0.25">
      <c r="A91" s="128" t="s">
        <v>106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9"/>
      <c r="M91" s="84"/>
    </row>
    <row r="92" spans="1:13" ht="45" x14ac:dyDescent="0.25">
      <c r="A92" s="97" t="s">
        <v>18</v>
      </c>
      <c r="B92" s="97"/>
      <c r="C92" s="97"/>
      <c r="D92" s="97"/>
      <c r="E92" s="97"/>
      <c r="F92" s="82" t="s">
        <v>6</v>
      </c>
      <c r="G92" s="82" t="s">
        <v>56</v>
      </c>
      <c r="H92" s="82" t="s">
        <v>57</v>
      </c>
      <c r="I92" s="82" t="s">
        <v>72</v>
      </c>
      <c r="J92" s="82" t="s">
        <v>67</v>
      </c>
      <c r="K92" s="29" t="s">
        <v>68</v>
      </c>
      <c r="L92" s="30"/>
      <c r="M92" s="84"/>
    </row>
    <row r="93" spans="1:13" ht="37.5" customHeight="1" thickBot="1" x14ac:dyDescent="0.3">
      <c r="A93" s="87" t="s">
        <v>108</v>
      </c>
      <c r="B93" s="88"/>
      <c r="C93" s="88"/>
      <c r="D93" s="88"/>
      <c r="E93" s="89"/>
      <c r="F93" s="1"/>
      <c r="G93" s="1"/>
      <c r="H93" s="83"/>
      <c r="I93" s="65">
        <f>71500*45.67%</f>
        <v>32654.05</v>
      </c>
      <c r="J93" s="1">
        <f>J89</f>
        <v>144419</v>
      </c>
      <c r="K93" s="68">
        <f>I93/J93</f>
        <v>0.22610632949958107</v>
      </c>
      <c r="L93" s="32"/>
      <c r="M93" s="84"/>
    </row>
    <row r="94" spans="1:13" ht="15.75" thickBot="1" x14ac:dyDescent="0.3">
      <c r="A94" s="126" t="s">
        <v>107</v>
      </c>
      <c r="B94" s="127"/>
      <c r="C94" s="127"/>
      <c r="D94" s="127"/>
      <c r="E94" s="127"/>
      <c r="F94" s="127"/>
      <c r="G94" s="127"/>
      <c r="H94" s="127"/>
      <c r="I94" s="70">
        <f>SUM(I93:I93)</f>
        <v>32654.05</v>
      </c>
      <c r="J94" s="67">
        <f>J93</f>
        <v>144419</v>
      </c>
      <c r="K94" s="70">
        <f>I94/J93</f>
        <v>0.22610632949958107</v>
      </c>
      <c r="L94" s="36"/>
      <c r="M94" s="11"/>
    </row>
    <row r="95" spans="1:13" x14ac:dyDescent="0.25">
      <c r="A95" s="48"/>
      <c r="B95" s="48"/>
      <c r="C95" s="48"/>
      <c r="D95" s="48"/>
      <c r="E95" s="48"/>
      <c r="F95" s="48"/>
      <c r="G95" s="48"/>
      <c r="H95" s="48"/>
      <c r="I95" s="12"/>
      <c r="J95" s="49"/>
      <c r="K95" s="12"/>
      <c r="L95" s="36"/>
      <c r="M95" s="11"/>
    </row>
    <row r="96" spans="1:13" x14ac:dyDescent="0.25">
      <c r="A96" s="128" t="s">
        <v>109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9"/>
      <c r="M96" s="84"/>
    </row>
    <row r="97" spans="1:13" ht="45" x14ac:dyDescent="0.25">
      <c r="A97" s="97" t="s">
        <v>18</v>
      </c>
      <c r="B97" s="97"/>
      <c r="C97" s="97"/>
      <c r="D97" s="97"/>
      <c r="E97" s="97"/>
      <c r="F97" s="82" t="s">
        <v>6</v>
      </c>
      <c r="G97" s="82" t="s">
        <v>56</v>
      </c>
      <c r="H97" s="82" t="s">
        <v>57</v>
      </c>
      <c r="I97" s="82" t="s">
        <v>72</v>
      </c>
      <c r="J97" s="82" t="s">
        <v>67</v>
      </c>
      <c r="K97" s="29" t="s">
        <v>68</v>
      </c>
      <c r="L97" s="30"/>
      <c r="M97" s="84"/>
    </row>
    <row r="98" spans="1:13" ht="37.5" customHeight="1" thickBot="1" x14ac:dyDescent="0.3">
      <c r="A98" s="87" t="s">
        <v>88</v>
      </c>
      <c r="B98" s="88"/>
      <c r="C98" s="88"/>
      <c r="D98" s="88"/>
      <c r="E98" s="89"/>
      <c r="F98" s="1"/>
      <c r="G98" s="1"/>
      <c r="H98" s="83"/>
      <c r="I98" s="2">
        <f>322900*45.67%-678.09</f>
        <v>146790.34</v>
      </c>
      <c r="J98" s="1">
        <f>J94</f>
        <v>144419</v>
      </c>
      <c r="K98" s="64">
        <f>I98/J98</f>
        <v>1.0164198616525526</v>
      </c>
      <c r="L98" s="32"/>
      <c r="M98" s="84"/>
    </row>
    <row r="99" spans="1:13" ht="15.75" thickBot="1" x14ac:dyDescent="0.3">
      <c r="A99" s="126" t="s">
        <v>107</v>
      </c>
      <c r="B99" s="127"/>
      <c r="C99" s="127"/>
      <c r="D99" s="127"/>
      <c r="E99" s="127"/>
      <c r="F99" s="127"/>
      <c r="G99" s="127"/>
      <c r="H99" s="127"/>
      <c r="I99" s="66">
        <f>SUM(I98:I98)</f>
        <v>146790.34</v>
      </c>
      <c r="J99" s="67">
        <f>J98</f>
        <v>144419</v>
      </c>
      <c r="K99" s="70">
        <f>I99/J98</f>
        <v>1.0164198616525526</v>
      </c>
      <c r="L99" s="36"/>
      <c r="M99" s="11"/>
    </row>
    <row r="100" spans="1:13" x14ac:dyDescent="0.25">
      <c r="A100" s="39"/>
      <c r="B100" s="39"/>
      <c r="C100" s="39"/>
      <c r="D100" s="39"/>
      <c r="E100" s="39"/>
      <c r="F100" s="39"/>
      <c r="G100" s="39"/>
      <c r="H100" s="41"/>
      <c r="I100" s="41"/>
      <c r="J100" s="41"/>
      <c r="K100" s="41"/>
      <c r="L100" s="36"/>
      <c r="M100" s="84"/>
    </row>
    <row r="101" spans="1:13" x14ac:dyDescent="0.25">
      <c r="A101" s="128" t="s">
        <v>25</v>
      </c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84"/>
    </row>
    <row r="102" spans="1:13" x14ac:dyDescent="0.25">
      <c r="A102" s="125" t="s">
        <v>26</v>
      </c>
      <c r="B102" s="125"/>
      <c r="C102" s="125"/>
      <c r="D102" s="94" t="s">
        <v>27</v>
      </c>
      <c r="E102" s="95"/>
      <c r="F102" s="95"/>
      <c r="G102" s="95"/>
      <c r="H102" s="95"/>
      <c r="I102" s="95"/>
      <c r="J102" s="96"/>
      <c r="K102" s="125" t="s">
        <v>37</v>
      </c>
      <c r="L102" s="125"/>
      <c r="M102" s="84"/>
    </row>
    <row r="103" spans="1:13" ht="30.75" thickBot="1" x14ac:dyDescent="0.3">
      <c r="A103" s="1" t="s">
        <v>28</v>
      </c>
      <c r="B103" s="25" t="s">
        <v>29</v>
      </c>
      <c r="C103" s="1" t="s">
        <v>30</v>
      </c>
      <c r="D103" s="1" t="s">
        <v>31</v>
      </c>
      <c r="E103" s="1" t="s">
        <v>32</v>
      </c>
      <c r="F103" s="1" t="s">
        <v>33</v>
      </c>
      <c r="G103" s="1" t="s">
        <v>34</v>
      </c>
      <c r="H103" s="1" t="s">
        <v>113</v>
      </c>
      <c r="I103" s="1" t="s">
        <v>35</v>
      </c>
      <c r="J103" s="1" t="s">
        <v>36</v>
      </c>
      <c r="K103" s="130"/>
      <c r="L103" s="130"/>
      <c r="M103" s="84"/>
    </row>
    <row r="104" spans="1:13" ht="15.75" thickBot="1" x14ac:dyDescent="0.3">
      <c r="A104" s="1">
        <f>K32</f>
        <v>55.792471713140237</v>
      </c>
      <c r="B104" s="1"/>
      <c r="C104" s="1"/>
      <c r="D104" s="1">
        <f>K41</f>
        <v>3.9218663686841762</v>
      </c>
      <c r="E104" s="1">
        <f>K53</f>
        <v>1.4764971952513173</v>
      </c>
      <c r="F104" s="1"/>
      <c r="G104" s="1">
        <f>K70</f>
        <v>0.73024438612647924</v>
      </c>
      <c r="H104" s="1">
        <f>K63</f>
        <v>1.3211882993234962</v>
      </c>
      <c r="I104" s="1">
        <f>K77</f>
        <v>2.9197425053490194</v>
      </c>
      <c r="J104" s="64">
        <f>K89+K94+K99</f>
        <v>1.4379895789335198</v>
      </c>
      <c r="K104" s="131">
        <f>A104+D104+E104+G104+H104+J104+I104</f>
        <v>67.600000046808248</v>
      </c>
      <c r="L104" s="132"/>
      <c r="M104" s="84"/>
    </row>
    <row r="105" spans="1:13" ht="30" customHeight="1" thickBot="1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15.75" thickBot="1" x14ac:dyDescent="0.3">
      <c r="A106" s="50" t="s">
        <v>47</v>
      </c>
      <c r="B106" s="5"/>
      <c r="C106" s="50"/>
      <c r="D106" s="50"/>
      <c r="E106" s="50"/>
      <c r="F106" s="50" t="s">
        <v>48</v>
      </c>
      <c r="G106" s="5"/>
      <c r="H106" s="5"/>
      <c r="I106" s="74">
        <f>I32+I41+I53+I63+I70+I77+I89+I94+I99-0.01</f>
        <v>9762724.3967600018</v>
      </c>
      <c r="J106" s="5"/>
      <c r="K106" s="74">
        <f>K104*144419-0.01</f>
        <v>9762724.3967599999</v>
      </c>
      <c r="L106" s="5"/>
      <c r="M106" s="5"/>
    </row>
    <row r="107" spans="1:13" x14ac:dyDescent="0.25">
      <c r="A107" s="51"/>
      <c r="B107" s="52"/>
      <c r="C107" s="53"/>
    </row>
    <row r="108" spans="1:13" x14ac:dyDescent="0.25">
      <c r="A108" s="54"/>
      <c r="K108" s="80"/>
    </row>
    <row r="109" spans="1:13" x14ac:dyDescent="0.25">
      <c r="A109" s="57" t="s">
        <v>115</v>
      </c>
    </row>
    <row r="110" spans="1:13" x14ac:dyDescent="0.25">
      <c r="A110" s="50" t="s">
        <v>91</v>
      </c>
      <c r="B110" s="55"/>
      <c r="C110" s="5"/>
      <c r="D110" s="50"/>
      <c r="E110" s="50"/>
      <c r="F110" s="50"/>
      <c r="G110" s="5"/>
      <c r="H110" s="5"/>
      <c r="I110" s="5"/>
      <c r="J110" s="5"/>
      <c r="K110" s="5"/>
      <c r="L110" s="5"/>
      <c r="M110" s="5"/>
    </row>
    <row r="111" spans="1:13" x14ac:dyDescent="0.25">
      <c r="A111" s="50" t="s">
        <v>49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</sheetData>
  <mergeCells count="99">
    <mergeCell ref="K104:L104"/>
    <mergeCell ref="A25:E25"/>
    <mergeCell ref="A26:E26"/>
    <mergeCell ref="A27:E27"/>
    <mergeCell ref="A28:E28"/>
    <mergeCell ref="A29:E29"/>
    <mergeCell ref="A30:E30"/>
    <mergeCell ref="A31:E31"/>
    <mergeCell ref="A32:E32"/>
    <mergeCell ref="A93:E93"/>
    <mergeCell ref="A94:H94"/>
    <mergeCell ref="A96:L96"/>
    <mergeCell ref="A97:E97"/>
    <mergeCell ref="A98:E98"/>
    <mergeCell ref="A99:H99"/>
    <mergeCell ref="A101:L101"/>
    <mergeCell ref="A102:C102"/>
    <mergeCell ref="D102:J102"/>
    <mergeCell ref="K102:L103"/>
    <mergeCell ref="A81:E81"/>
    <mergeCell ref="A82:H82"/>
    <mergeCell ref="A84:L84"/>
    <mergeCell ref="A85:E85"/>
    <mergeCell ref="A86:E86"/>
    <mergeCell ref="A87:E87"/>
    <mergeCell ref="A89:H89"/>
    <mergeCell ref="A91:L91"/>
    <mergeCell ref="A92:E92"/>
    <mergeCell ref="A88:E88"/>
    <mergeCell ref="A67:E67"/>
    <mergeCell ref="A68:E68"/>
    <mergeCell ref="A69:E69"/>
    <mergeCell ref="A70:H70"/>
    <mergeCell ref="A73:M73"/>
    <mergeCell ref="A63:H63"/>
    <mergeCell ref="A65:L65"/>
    <mergeCell ref="A50:E50"/>
    <mergeCell ref="A51:E51"/>
    <mergeCell ref="A60:E60"/>
    <mergeCell ref="A61:E61"/>
    <mergeCell ref="A66:E66"/>
    <mergeCell ref="A80:E80"/>
    <mergeCell ref="A48:E48"/>
    <mergeCell ref="A62:E62"/>
    <mergeCell ref="A77:E77"/>
    <mergeCell ref="A52:E52"/>
    <mergeCell ref="A74:E74"/>
    <mergeCell ref="A75:E75"/>
    <mergeCell ref="A76:E76"/>
    <mergeCell ref="A79:L79"/>
    <mergeCell ref="A53:H53"/>
    <mergeCell ref="A55:L55"/>
    <mergeCell ref="A57:E57"/>
    <mergeCell ref="A58:E58"/>
    <mergeCell ref="A59:E59"/>
    <mergeCell ref="A36:E36"/>
    <mergeCell ref="A34:L34"/>
    <mergeCell ref="A35:E35"/>
    <mergeCell ref="A24:G24"/>
    <mergeCell ref="A1:D1"/>
    <mergeCell ref="A2:F2"/>
    <mergeCell ref="A3:E3"/>
    <mergeCell ref="A5:C5"/>
    <mergeCell ref="A7:L7"/>
    <mergeCell ref="A8:L8"/>
    <mergeCell ref="A9:M9"/>
    <mergeCell ref="A13:E13"/>
    <mergeCell ref="G13:K13"/>
    <mergeCell ref="A14:E14"/>
    <mergeCell ref="G14:K14"/>
    <mergeCell ref="A15:E15"/>
    <mergeCell ref="A6:L6"/>
    <mergeCell ref="G20:K20"/>
    <mergeCell ref="A21:E21"/>
    <mergeCell ref="G21:K21"/>
    <mergeCell ref="A22:E22"/>
    <mergeCell ref="G22:K22"/>
    <mergeCell ref="A18:E18"/>
    <mergeCell ref="G18:K18"/>
    <mergeCell ref="A19:E19"/>
    <mergeCell ref="G19:K19"/>
    <mergeCell ref="A20:E20"/>
    <mergeCell ref="G15:K15"/>
    <mergeCell ref="A16:E16"/>
    <mergeCell ref="G16:K16"/>
    <mergeCell ref="A17:E17"/>
    <mergeCell ref="G17:K17"/>
    <mergeCell ref="A44:E44"/>
    <mergeCell ref="A49:E49"/>
    <mergeCell ref="A56:E56"/>
    <mergeCell ref="A45:E45"/>
    <mergeCell ref="A37:E37"/>
    <mergeCell ref="A38:E38"/>
    <mergeCell ref="A39:E39"/>
    <mergeCell ref="A41:H41"/>
    <mergeCell ref="A43:L43"/>
    <mergeCell ref="A40:E40"/>
    <mergeCell ref="A46:E46"/>
    <mergeCell ref="A47:E47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  </vt:lpstr>
      <vt:lpstr>Работа №1</vt:lpstr>
      <vt:lpstr>Работа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2022-01-11T02:23:08Z</dcterms:modified>
</cp:coreProperties>
</file>