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з.пл." sheetId="1" r:id="rId1"/>
    <sheet name="материалы" sheetId="4" r:id="rId2"/>
    <sheet name="иные" sheetId="5" r:id="rId3"/>
  </sheets>
  <definedNames>
    <definedName name="_xlnm.Print_Titles" localSheetId="2">иные!$5:$6</definedName>
    <definedName name="_xlnm.Print_Titles" localSheetId="1">материалы!$4:$4</definedName>
  </definedNames>
  <calcPr calcId="124519"/>
</workbook>
</file>

<file path=xl/calcChain.xml><?xml version="1.0" encoding="utf-8"?>
<calcChain xmlns="http://schemas.openxmlformats.org/spreadsheetml/2006/main">
  <c r="K173" i="4"/>
  <c r="J173"/>
  <c r="K172"/>
  <c r="J172"/>
  <c r="E171" l="1"/>
  <c r="E93"/>
  <c r="E94" s="1"/>
  <c r="E95" s="1"/>
  <c r="E96" s="1"/>
  <c r="E97" s="1"/>
  <c r="E86"/>
  <c r="E78"/>
  <c r="E71"/>
  <c r="E63"/>
  <c r="E64" s="1"/>
  <c r="E65" s="1"/>
  <c r="E66" s="1"/>
  <c r="E67" s="1"/>
  <c r="E56"/>
  <c r="E57" s="1"/>
  <c r="E58" s="1"/>
  <c r="E59" s="1"/>
  <c r="E60" s="1"/>
  <c r="E49"/>
  <c r="E50" s="1"/>
  <c r="E51" s="1"/>
  <c r="E52" s="1"/>
  <c r="E53" s="1"/>
  <c r="E42"/>
  <c r="E35"/>
  <c r="E36" s="1"/>
  <c r="E37" s="1"/>
  <c r="E38" s="1"/>
  <c r="E39" s="1"/>
  <c r="E28"/>
  <c r="E29" s="1"/>
  <c r="E30" s="1"/>
  <c r="E31" s="1"/>
  <c r="E32" s="1"/>
  <c r="E21"/>
  <c r="E87"/>
  <c r="E88" s="1"/>
  <c r="E89" s="1"/>
  <c r="E90" s="1"/>
  <c r="E79"/>
  <c r="E80" s="1"/>
  <c r="E81" s="1"/>
  <c r="E82" s="1"/>
  <c r="E72"/>
  <c r="E73" s="1"/>
  <c r="E74" s="1"/>
  <c r="E75" s="1"/>
  <c r="E43"/>
  <c r="E44" s="1"/>
  <c r="E45" s="1"/>
  <c r="E46" s="1"/>
  <c r="E22"/>
  <c r="E23" s="1"/>
  <c r="E24" s="1"/>
  <c r="E25" s="1"/>
  <c r="E13"/>
  <c r="E14" s="1"/>
  <c r="E15" s="1"/>
  <c r="E16" s="1"/>
  <c r="E8"/>
  <c r="E9" s="1"/>
  <c r="E7"/>
  <c r="E6"/>
  <c r="L19" i="1"/>
  <c r="L18"/>
  <c r="L16"/>
  <c r="L15"/>
  <c r="L14"/>
  <c r="L13"/>
  <c r="L12"/>
  <c r="L11"/>
  <c r="L10"/>
  <c r="L9"/>
  <c r="L8"/>
  <c r="L7"/>
  <c r="L6"/>
  <c r="E21"/>
  <c r="I19"/>
  <c r="I18"/>
  <c r="I7"/>
  <c r="I8"/>
  <c r="I9"/>
  <c r="I10"/>
  <c r="I11"/>
  <c r="I12"/>
  <c r="I13"/>
  <c r="I14"/>
  <c r="I15"/>
  <c r="I16"/>
  <c r="I6"/>
  <c r="C6"/>
  <c r="C12"/>
  <c r="C9"/>
  <c r="C15"/>
  <c r="C7"/>
  <c r="H81" i="4" l="1"/>
  <c r="H30"/>
  <c r="G48" i="5" l="1"/>
  <c r="G44"/>
  <c r="N6" i="1" l="1"/>
  <c r="N7" l="1"/>
  <c r="G57" i="5" l="1"/>
  <c r="G53"/>
  <c r="G39"/>
  <c r="G35"/>
  <c r="G27"/>
  <c r="G15"/>
  <c r="G11"/>
  <c r="G7"/>
  <c r="E57" l="1"/>
  <c r="E58" s="1"/>
  <c r="E53"/>
  <c r="E54" s="1"/>
  <c r="E48"/>
  <c r="E49" s="1"/>
  <c r="E44"/>
  <c r="E45" s="1"/>
  <c r="E40"/>
  <c r="E39"/>
  <c r="E35"/>
  <c r="E36" s="1"/>
  <c r="E31"/>
  <c r="E32" s="1"/>
  <c r="E27"/>
  <c r="E28" s="1"/>
  <c r="E23"/>
  <c r="E24" s="1"/>
  <c r="E19"/>
  <c r="E20" s="1"/>
  <c r="E15"/>
  <c r="E16" s="1"/>
  <c r="E11"/>
  <c r="E12" s="1"/>
  <c r="E7"/>
  <c r="E8" s="1"/>
  <c r="E110" i="4"/>
  <c r="E166"/>
  <c r="E150"/>
  <c r="E140"/>
  <c r="E130"/>
  <c r="E120"/>
  <c r="J160"/>
  <c r="F37" l="1"/>
  <c r="I37" s="1"/>
  <c r="J37" s="1"/>
  <c r="F125"/>
  <c r="I125" s="1"/>
  <c r="I128" s="1"/>
  <c r="J128" s="1"/>
  <c r="F126"/>
  <c r="I126" s="1"/>
  <c r="J126" s="1"/>
  <c r="J92"/>
  <c r="E105"/>
  <c r="F105" s="1"/>
  <c r="I105" s="1"/>
  <c r="I108" s="1"/>
  <c r="E167"/>
  <c r="F167" s="1"/>
  <c r="I167" s="1"/>
  <c r="J167" s="1"/>
  <c r="F166"/>
  <c r="I166" s="1"/>
  <c r="I169" s="1"/>
  <c r="J169" s="1"/>
  <c r="F145"/>
  <c r="I145" s="1"/>
  <c r="I148" s="1"/>
  <c r="J148" s="1"/>
  <c r="E146"/>
  <c r="F146" s="1"/>
  <c r="I146" s="1"/>
  <c r="J146" s="1"/>
  <c r="F130"/>
  <c r="I130" s="1"/>
  <c r="J130" s="1"/>
  <c r="E131"/>
  <c r="F131" s="1"/>
  <c r="I131" s="1"/>
  <c r="J131" s="1"/>
  <c r="F120"/>
  <c r="I120" s="1"/>
  <c r="J120" s="1"/>
  <c r="E121"/>
  <c r="F121" s="1"/>
  <c r="I121" s="1"/>
  <c r="J121" s="1"/>
  <c r="E151"/>
  <c r="F151" s="1"/>
  <c r="I151" s="1"/>
  <c r="J151" s="1"/>
  <c r="F150"/>
  <c r="I150" s="1"/>
  <c r="J150" s="1"/>
  <c r="F110"/>
  <c r="I110" s="1"/>
  <c r="I113" s="1"/>
  <c r="J113" s="1"/>
  <c r="E111"/>
  <c r="F111" s="1"/>
  <c r="I111" s="1"/>
  <c r="J111" s="1"/>
  <c r="E141"/>
  <c r="F141" s="1"/>
  <c r="I141" s="1"/>
  <c r="J141" s="1"/>
  <c r="F140"/>
  <c r="I140" s="1"/>
  <c r="I143" s="1"/>
  <c r="J143" s="1"/>
  <c r="F162"/>
  <c r="I162" s="1"/>
  <c r="J162" s="1"/>
  <c r="F161"/>
  <c r="I161" s="1"/>
  <c r="J161" s="1"/>
  <c r="E115"/>
  <c r="E135"/>
  <c r="E17"/>
  <c r="J166" l="1"/>
  <c r="I122"/>
  <c r="I124" s="1"/>
  <c r="J124" s="1"/>
  <c r="I168"/>
  <c r="J168" s="1"/>
  <c r="J110"/>
  <c r="J125"/>
  <c r="I133"/>
  <c r="J133" s="1"/>
  <c r="J105"/>
  <c r="E106"/>
  <c r="F106" s="1"/>
  <c r="I106" s="1"/>
  <c r="J108"/>
  <c r="I127"/>
  <c r="I129" s="1"/>
  <c r="J129" s="1"/>
  <c r="I123"/>
  <c r="J123" s="1"/>
  <c r="J145"/>
  <c r="J140"/>
  <c r="J99"/>
  <c r="I163"/>
  <c r="I147"/>
  <c r="I149" s="1"/>
  <c r="J149" s="1"/>
  <c r="E116"/>
  <c r="F116" s="1"/>
  <c r="I116" s="1"/>
  <c r="J116" s="1"/>
  <c r="F115"/>
  <c r="I115" s="1"/>
  <c r="E136"/>
  <c r="F136" s="1"/>
  <c r="I136" s="1"/>
  <c r="J136" s="1"/>
  <c r="F135"/>
  <c r="I135" s="1"/>
  <c r="F155"/>
  <c r="I155" s="1"/>
  <c r="F156"/>
  <c r="I156" s="1"/>
  <c r="J156" s="1"/>
  <c r="I164"/>
  <c r="J164" s="1"/>
  <c r="I153"/>
  <c r="J153" s="1"/>
  <c r="I142"/>
  <c r="I152"/>
  <c r="I132"/>
  <c r="I112"/>
  <c r="I165" l="1"/>
  <c r="J165" s="1"/>
  <c r="I170"/>
  <c r="J170" s="1"/>
  <c r="I107"/>
  <c r="I109" s="1"/>
  <c r="J109" s="1"/>
  <c r="J106"/>
  <c r="I117"/>
  <c r="I118"/>
  <c r="J118" s="1"/>
  <c r="J115"/>
  <c r="I158"/>
  <c r="J158" s="1"/>
  <c r="J155"/>
  <c r="I157"/>
  <c r="I138"/>
  <c r="J138" s="1"/>
  <c r="J135"/>
  <c r="I137"/>
  <c r="I154"/>
  <c r="J154" s="1"/>
  <c r="I134"/>
  <c r="J134" s="1"/>
  <c r="I144"/>
  <c r="J144" s="1"/>
  <c r="I114"/>
  <c r="J114" s="1"/>
  <c r="I159" l="1"/>
  <c r="J159" s="1"/>
  <c r="I119"/>
  <c r="J119" s="1"/>
  <c r="I139"/>
  <c r="J139" s="1"/>
  <c r="F30" l="1"/>
  <c r="F15" l="1"/>
  <c r="I15" s="1"/>
  <c r="J20" l="1"/>
  <c r="J15"/>
  <c r="F7"/>
  <c r="F8"/>
  <c r="F9"/>
  <c r="I8" l="1"/>
  <c r="J8" s="1"/>
  <c r="J12" l="1"/>
  <c r="F16" l="1"/>
  <c r="I16" s="1"/>
  <c r="J16" s="1"/>
  <c r="F23"/>
  <c r="I23" s="1"/>
  <c r="I30"/>
  <c r="F44"/>
  <c r="I44" s="1"/>
  <c r="F51"/>
  <c r="I51" s="1"/>
  <c r="F58"/>
  <c r="I58" s="1"/>
  <c r="F80"/>
  <c r="I80" s="1"/>
  <c r="F65"/>
  <c r="I65" s="1"/>
  <c r="F88"/>
  <c r="I88" s="1"/>
  <c r="F95"/>
  <c r="I95" s="1"/>
  <c r="F73"/>
  <c r="I73" s="1"/>
  <c r="F74"/>
  <c r="J80" l="1"/>
  <c r="J84"/>
  <c r="J51"/>
  <c r="J55"/>
  <c r="J58"/>
  <c r="J62"/>
  <c r="J44"/>
  <c r="J48"/>
  <c r="J65"/>
  <c r="J69"/>
  <c r="J95"/>
  <c r="J88"/>
  <c r="J73"/>
  <c r="J77"/>
  <c r="J30"/>
  <c r="J34"/>
  <c r="J23"/>
  <c r="J27"/>
  <c r="H59" i="5"/>
  <c r="F58"/>
  <c r="H58" s="1"/>
  <c r="F57"/>
  <c r="H57" s="1"/>
  <c r="H55"/>
  <c r="F54"/>
  <c r="H54" s="1"/>
  <c r="F53"/>
  <c r="H53" s="1"/>
  <c r="H50"/>
  <c r="F49"/>
  <c r="H49" s="1"/>
  <c r="F48"/>
  <c r="H48" s="1"/>
  <c r="H46"/>
  <c r="F45"/>
  <c r="H45" s="1"/>
  <c r="F44"/>
  <c r="H44" s="1"/>
  <c r="F96" i="4"/>
  <c r="I96" s="1"/>
  <c r="J96" s="1"/>
  <c r="F94"/>
  <c r="I94" s="1"/>
  <c r="J94" s="1"/>
  <c r="F93"/>
  <c r="I93" s="1"/>
  <c r="F89"/>
  <c r="I89" s="1"/>
  <c r="J89" s="1"/>
  <c r="F87"/>
  <c r="I87" s="1"/>
  <c r="J87" s="1"/>
  <c r="F86"/>
  <c r="I86" s="1"/>
  <c r="J86" s="1"/>
  <c r="F81"/>
  <c r="I81" s="1"/>
  <c r="J81" s="1"/>
  <c r="F79"/>
  <c r="I79" s="1"/>
  <c r="J79" s="1"/>
  <c r="F78"/>
  <c r="I78" s="1"/>
  <c r="I74"/>
  <c r="J74" s="1"/>
  <c r="F72"/>
  <c r="I72" s="1"/>
  <c r="J72" s="1"/>
  <c r="F71"/>
  <c r="I71" s="1"/>
  <c r="H41" i="5"/>
  <c r="F40"/>
  <c r="H40" s="1"/>
  <c r="F39"/>
  <c r="H39" s="1"/>
  <c r="H37"/>
  <c r="F36"/>
  <c r="H36" s="1"/>
  <c r="F35"/>
  <c r="H35" s="1"/>
  <c r="H33"/>
  <c r="F32"/>
  <c r="H32" s="1"/>
  <c r="F31"/>
  <c r="H31" s="1"/>
  <c r="F66" i="4"/>
  <c r="I66" s="1"/>
  <c r="J66" s="1"/>
  <c r="F64"/>
  <c r="I64" s="1"/>
  <c r="F63"/>
  <c r="I63" s="1"/>
  <c r="F59"/>
  <c r="I59" s="1"/>
  <c r="J59" s="1"/>
  <c r="F57"/>
  <c r="I57" s="1"/>
  <c r="J57" s="1"/>
  <c r="F56"/>
  <c r="I56" s="1"/>
  <c r="F52"/>
  <c r="I52" s="1"/>
  <c r="J52" s="1"/>
  <c r="F50"/>
  <c r="I50" s="1"/>
  <c r="J50" s="1"/>
  <c r="F49"/>
  <c r="I49" s="1"/>
  <c r="H29" i="5"/>
  <c r="F28"/>
  <c r="H28" s="1"/>
  <c r="F27"/>
  <c r="H27" s="1"/>
  <c r="H25"/>
  <c r="F24"/>
  <c r="H24" s="1"/>
  <c r="F23"/>
  <c r="H23" s="1"/>
  <c r="H21"/>
  <c r="F20"/>
  <c r="H20" s="1"/>
  <c r="F19"/>
  <c r="H19" s="1"/>
  <c r="F45" i="4"/>
  <c r="I45" s="1"/>
  <c r="J45" s="1"/>
  <c r="F43"/>
  <c r="I43" s="1"/>
  <c r="J43" s="1"/>
  <c r="F42"/>
  <c r="I42" s="1"/>
  <c r="F38"/>
  <c r="I38" s="1"/>
  <c r="J38" s="1"/>
  <c r="F36"/>
  <c r="I36" s="1"/>
  <c r="F35"/>
  <c r="I35" s="1"/>
  <c r="F31"/>
  <c r="I31" s="1"/>
  <c r="J31" s="1"/>
  <c r="F29"/>
  <c r="I29" s="1"/>
  <c r="J29" s="1"/>
  <c r="F28"/>
  <c r="I28" s="1"/>
  <c r="F24"/>
  <c r="I24" s="1"/>
  <c r="J24" s="1"/>
  <c r="F22"/>
  <c r="I22" s="1"/>
  <c r="J22" s="1"/>
  <c r="F21"/>
  <c r="I21" s="1"/>
  <c r="F17"/>
  <c r="I17" s="1"/>
  <c r="J17" s="1"/>
  <c r="F14"/>
  <c r="I14" s="1"/>
  <c r="J14" s="1"/>
  <c r="F13"/>
  <c r="I13" s="1"/>
  <c r="H17" i="5"/>
  <c r="F16"/>
  <c r="H16" s="1"/>
  <c r="F15"/>
  <c r="H15" s="1"/>
  <c r="H13"/>
  <c r="F12"/>
  <c r="H12" s="1"/>
  <c r="F11"/>
  <c r="H11" s="1"/>
  <c r="J64" i="4" l="1"/>
  <c r="I67"/>
  <c r="I39"/>
  <c r="H30" i="5"/>
  <c r="I30" s="1"/>
  <c r="I25" i="4"/>
  <c r="I26" s="1"/>
  <c r="J26" s="1"/>
  <c r="L26" s="1"/>
  <c r="J36"/>
  <c r="J41"/>
  <c r="I75"/>
  <c r="I76" s="1"/>
  <c r="J76" s="1"/>
  <c r="L76" s="1"/>
  <c r="H56" i="5"/>
  <c r="I56" s="1"/>
  <c r="H60"/>
  <c r="I60" s="1"/>
  <c r="H51"/>
  <c r="I51" s="1"/>
  <c r="H47"/>
  <c r="I47" s="1"/>
  <c r="I97" i="4"/>
  <c r="I98" s="1"/>
  <c r="J93"/>
  <c r="I90"/>
  <c r="I91" s="1"/>
  <c r="J71"/>
  <c r="I82"/>
  <c r="J78"/>
  <c r="H42" i="5"/>
  <c r="I42" s="1"/>
  <c r="H38"/>
  <c r="I38" s="1"/>
  <c r="H34"/>
  <c r="I34" s="1"/>
  <c r="J63" i="4"/>
  <c r="I60"/>
  <c r="J56"/>
  <c r="I53"/>
  <c r="J49"/>
  <c r="H26" i="5"/>
  <c r="I26" s="1"/>
  <c r="H22"/>
  <c r="I22" s="1"/>
  <c r="I46" i="4"/>
  <c r="J42"/>
  <c r="J35"/>
  <c r="I32"/>
  <c r="J28"/>
  <c r="J21"/>
  <c r="I18"/>
  <c r="J13"/>
  <c r="H18" i="5"/>
  <c r="I18" s="1"/>
  <c r="H14"/>
  <c r="I14" s="1"/>
  <c r="I9" i="4"/>
  <c r="J9" s="1"/>
  <c r="I7"/>
  <c r="J7" s="1"/>
  <c r="N8" i="1"/>
  <c r="N9"/>
  <c r="N10"/>
  <c r="N11"/>
  <c r="N12"/>
  <c r="N13"/>
  <c r="N16"/>
  <c r="N14"/>
  <c r="N18"/>
  <c r="N19"/>
  <c r="N15"/>
  <c r="G19"/>
  <c r="H19" s="1"/>
  <c r="G18"/>
  <c r="H18" s="1"/>
  <c r="G16"/>
  <c r="H16" s="1"/>
  <c r="K17"/>
  <c r="M17" s="1"/>
  <c r="G10"/>
  <c r="H10" s="1"/>
  <c r="G11"/>
  <c r="H11" s="1"/>
  <c r="G12"/>
  <c r="H12" s="1"/>
  <c r="G13"/>
  <c r="H13" s="1"/>
  <c r="G14"/>
  <c r="H14" s="1"/>
  <c r="G15"/>
  <c r="H15" s="1"/>
  <c r="G6"/>
  <c r="J75" i="4" l="1"/>
  <c r="J25"/>
  <c r="J39"/>
  <c r="I40"/>
  <c r="J40" s="1"/>
  <c r="L40" s="1"/>
  <c r="J46"/>
  <c r="I47"/>
  <c r="J47" s="1"/>
  <c r="L47" s="1"/>
  <c r="J60"/>
  <c r="I61"/>
  <c r="J61" s="1"/>
  <c r="L61" s="1"/>
  <c r="J82"/>
  <c r="I83"/>
  <c r="J83" s="1"/>
  <c r="L83" s="1"/>
  <c r="J67"/>
  <c r="I68"/>
  <c r="J68" s="1"/>
  <c r="L68" s="1"/>
  <c r="J97"/>
  <c r="J98"/>
  <c r="L98" s="1"/>
  <c r="J90"/>
  <c r="J91"/>
  <c r="L91" s="1"/>
  <c r="J53"/>
  <c r="I54"/>
  <c r="J54" s="1"/>
  <c r="L54" s="1"/>
  <c r="J32"/>
  <c r="I33"/>
  <c r="J33" s="1"/>
  <c r="L33" s="1"/>
  <c r="J18"/>
  <c r="I19"/>
  <c r="J19" s="1"/>
  <c r="L19" s="1"/>
  <c r="J18" i="1"/>
  <c r="K18" s="1"/>
  <c r="M18" s="1"/>
  <c r="J19"/>
  <c r="K19" s="1"/>
  <c r="M19" s="1"/>
  <c r="J16"/>
  <c r="K16" s="1"/>
  <c r="M16" s="1"/>
  <c r="J14"/>
  <c r="K14" s="1"/>
  <c r="M14" s="1"/>
  <c r="J13"/>
  <c r="K13" s="1"/>
  <c r="M13" s="1"/>
  <c r="J12"/>
  <c r="K12" s="1"/>
  <c r="M12" s="1"/>
  <c r="J11"/>
  <c r="K11" s="1"/>
  <c r="M11" s="1"/>
  <c r="J10"/>
  <c r="K10" s="1"/>
  <c r="M10" s="1"/>
  <c r="J15"/>
  <c r="K15" s="1"/>
  <c r="M15" s="1"/>
  <c r="G9" l="1"/>
  <c r="H9" s="1"/>
  <c r="G8"/>
  <c r="H8" s="1"/>
  <c r="G7"/>
  <c r="H7" s="1"/>
  <c r="J7" s="1"/>
  <c r="K7" s="1"/>
  <c r="J9" l="1"/>
  <c r="K9" s="1"/>
  <c r="M9" s="1"/>
  <c r="M7"/>
  <c r="J8"/>
  <c r="K8" s="1"/>
  <c r="M8" s="1"/>
  <c r="F8" i="5" l="1"/>
  <c r="H9"/>
  <c r="H8" l="1"/>
  <c r="F7"/>
  <c r="H7" s="1"/>
  <c r="F6" i="4"/>
  <c r="I6" s="1"/>
  <c r="I10" l="1"/>
  <c r="H10" i="5"/>
  <c r="I10" s="1"/>
  <c r="J6" i="4"/>
  <c r="I11" l="1"/>
  <c r="J11" s="1"/>
  <c r="L11" s="1"/>
  <c r="J10"/>
  <c r="H6" i="1"/>
  <c r="J6" l="1"/>
  <c r="K6" s="1"/>
  <c r="M6" l="1"/>
</calcChain>
</file>

<file path=xl/sharedStrings.xml><?xml version="1.0" encoding="utf-8"?>
<sst xmlns="http://schemas.openxmlformats.org/spreadsheetml/2006/main" count="377" uniqueCount="62">
  <si>
    <t>Затраты на оплату труда (с начислениями) работников непосредственно связанных с оказанием услуги</t>
  </si>
  <si>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</si>
  <si>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</si>
  <si>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</si>
  <si>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</si>
  <si>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</si>
  <si>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</si>
  <si>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</si>
  <si>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</si>
  <si>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</si>
  <si>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</si>
  <si>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</si>
  <si>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Заработная плата на 1 ставку</t>
  </si>
  <si>
    <t>Затраты на приобретение материальных запасов и особо ценного движимого имущества, потребляемых в процессе оказания услуги</t>
  </si>
  <si>
    <t>Наименование запасов и особо ценного движимого имущества по группам</t>
  </si>
  <si>
    <t>Нормативное количество материальных запасов, ОЦДИ</t>
  </si>
  <si>
    <t>Срок полезного использования, лет</t>
  </si>
  <si>
    <t>Цена 1 ед., ресурса, рублей</t>
  </si>
  <si>
    <t>6=4/5</t>
  </si>
  <si>
    <t>Единица измерения нормы</t>
  </si>
  <si>
    <t>9=6*8</t>
  </si>
  <si>
    <t>Писчая бумага</t>
  </si>
  <si>
    <t>пач.</t>
  </si>
  <si>
    <t>Наименование затрат</t>
  </si>
  <si>
    <t>Нормативный объем</t>
  </si>
  <si>
    <t>медицинский осмотр</t>
  </si>
  <si>
    <t>договор</t>
  </si>
  <si>
    <t>Цена , рублей</t>
  </si>
  <si>
    <t xml:space="preserve">командировочные </t>
  </si>
  <si>
    <t>УСЛУГА "Реализация основных общеобразовательных программ дошкольного образования"</t>
  </si>
  <si>
    <t>д/сад Аленка</t>
  </si>
  <si>
    <t>Категория работников по штатному расписанию</t>
  </si>
  <si>
    <t>д/сад Вишенка</t>
  </si>
  <si>
    <t>д/сад Капитошка</t>
  </si>
  <si>
    <t>д/сад Катюша</t>
  </si>
  <si>
    <t>д/сад Колосок</t>
  </si>
  <si>
    <t>д/сад Теремок</t>
  </si>
  <si>
    <t>д/сад Калинка</t>
  </si>
  <si>
    <t>д/сад № 6</t>
  </si>
  <si>
    <t>д/сад Росинка</t>
  </si>
  <si>
    <t>д/сад Сибирячок</t>
  </si>
  <si>
    <t>д/сад Тополек</t>
  </si>
  <si>
    <t>Норма на 1 воспитанника, шт.</t>
  </si>
  <si>
    <t>Показатель объема, воспитанники</t>
  </si>
  <si>
    <t>Канцелярия</t>
  </si>
  <si>
    <t>Игрушки</t>
  </si>
  <si>
    <t>Показатель объема, воспитанник</t>
  </si>
  <si>
    <t>Продукты питания</t>
  </si>
  <si>
    <t>краевой бюджет</t>
  </si>
  <si>
    <t>муниципальный бюджет</t>
  </si>
  <si>
    <t xml:space="preserve">Иные затраты, непосредственно связанные с оказанием услуги </t>
  </si>
  <si>
    <t>УСЛУГА "Присмотр и уход"</t>
  </si>
  <si>
    <t>призы</t>
  </si>
  <si>
    <t>пед. работники+ АУП и уч.вспомог. персонал</t>
  </si>
  <si>
    <t>по норме</t>
  </si>
  <si>
    <t>в бюджете</t>
  </si>
  <si>
    <t>мебель</t>
  </si>
  <si>
    <t>Школа №4</t>
  </si>
  <si>
    <t>норма</t>
  </si>
  <si>
    <t>филиал СШ№3</t>
  </si>
  <si>
    <t>кр.б.</t>
  </si>
  <si>
    <t>мун.б.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</si>
</sst>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"/>
    <numFmt numFmtId="166" formatCode="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3" xfId="0" applyFon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0" fontId="0" fillId="0" borderId="7" xfId="0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1" fontId="0" fillId="0" borderId="1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2" fontId="3" fillId="0" borderId="10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4" fontId="1" fillId="0" borderId="5" xfId="0" applyNumberFormat="1" applyFont="1" applyBorder="1"/>
    <xf numFmtId="164" fontId="1" fillId="0" borderId="1" xfId="0" applyNumberFormat="1" applyFont="1" applyBorder="1"/>
    <xf numFmtId="164" fontId="1" fillId="0" borderId="12" xfId="0" applyNumberFormat="1" applyFont="1" applyBorder="1"/>
    <xf numFmtId="0" fontId="7" fillId="0" borderId="0" xfId="0" applyFont="1"/>
    <xf numFmtId="0" fontId="1" fillId="0" borderId="14" xfId="0" applyFont="1" applyBorder="1"/>
    <xf numFmtId="2" fontId="0" fillId="0" borderId="14" xfId="0" applyNumberFormat="1" applyBorder="1"/>
    <xf numFmtId="2" fontId="1" fillId="0" borderId="14" xfId="0" applyNumberFormat="1" applyFont="1" applyBorder="1"/>
    <xf numFmtId="164" fontId="1" fillId="0" borderId="0" xfId="0" applyNumberFormat="1" applyFont="1"/>
    <xf numFmtId="0" fontId="4" fillId="0" borderId="13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1" fillId="0" borderId="10" xfId="0" applyNumberFormat="1" applyFont="1" applyBorder="1"/>
    <xf numFmtId="1" fontId="0" fillId="0" borderId="10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164" fontId="1" fillId="0" borderId="0" xfId="0" applyNumberFormat="1" applyFont="1" applyBorder="1"/>
    <xf numFmtId="1" fontId="0" fillId="0" borderId="0" xfId="0" applyNumberFormat="1" applyBorder="1" applyAlignment="1">
      <alignment horizontal="center"/>
    </xf>
    <xf numFmtId="2" fontId="0" fillId="0" borderId="0" xfId="0" applyNumberFormat="1" applyBorder="1"/>
    <xf numFmtId="2" fontId="1" fillId="0" borderId="5" xfId="0" applyNumberFormat="1" applyFont="1" applyBorder="1"/>
    <xf numFmtId="2" fontId="1" fillId="0" borderId="10" xfId="0" applyNumberFormat="1" applyFont="1" applyBorder="1"/>
    <xf numFmtId="0" fontId="0" fillId="0" borderId="17" xfId="0" applyBorder="1"/>
    <xf numFmtId="165" fontId="1" fillId="0" borderId="0" xfId="0" applyNumberFormat="1" applyFont="1"/>
    <xf numFmtId="164" fontId="1" fillId="0" borderId="14" xfId="0" applyNumberFormat="1" applyFont="1" applyBorder="1"/>
    <xf numFmtId="1" fontId="0" fillId="0" borderId="14" xfId="0" applyNumberFormat="1" applyBorder="1" applyAlignment="1">
      <alignment horizontal="center"/>
    </xf>
    <xf numFmtId="0" fontId="8" fillId="0" borderId="0" xfId="0" applyFont="1"/>
    <xf numFmtId="0" fontId="0" fillId="0" borderId="18" xfId="0" applyBorder="1"/>
    <xf numFmtId="0" fontId="1" fillId="0" borderId="19" xfId="0" applyFont="1" applyBorder="1"/>
    <xf numFmtId="164" fontId="1" fillId="0" borderId="19" xfId="0" applyNumberFormat="1" applyFont="1" applyBorder="1"/>
    <xf numFmtId="1" fontId="0" fillId="0" borderId="19" xfId="0" applyNumberFormat="1" applyBorder="1" applyAlignment="1">
      <alignment horizontal="center"/>
    </xf>
    <xf numFmtId="2" fontId="0" fillId="0" borderId="19" xfId="0" applyNumberFormat="1" applyBorder="1"/>
    <xf numFmtId="0" fontId="1" fillId="0" borderId="2" xfId="0" applyFont="1" applyBorder="1"/>
    <xf numFmtId="2" fontId="0" fillId="0" borderId="2" xfId="0" applyNumberFormat="1" applyBorder="1"/>
    <xf numFmtId="0" fontId="0" fillId="0" borderId="21" xfId="0" applyBorder="1"/>
    <xf numFmtId="0" fontId="1" fillId="0" borderId="22" xfId="0" applyFont="1" applyBorder="1"/>
    <xf numFmtId="164" fontId="1" fillId="0" borderId="22" xfId="0" applyNumberFormat="1" applyFont="1" applyBorder="1"/>
    <xf numFmtId="1" fontId="0" fillId="0" borderId="22" xfId="0" applyNumberFormat="1" applyBorder="1" applyAlignment="1">
      <alignment horizontal="center"/>
    </xf>
    <xf numFmtId="2" fontId="0" fillId="0" borderId="22" xfId="0" applyNumberFormat="1" applyBorder="1"/>
    <xf numFmtId="0" fontId="1" fillId="0" borderId="5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0" fillId="0" borderId="13" xfId="0" applyBorder="1"/>
    <xf numFmtId="164" fontId="1" fillId="0" borderId="2" xfId="0" applyNumberFormat="1" applyFont="1" applyBorder="1"/>
    <xf numFmtId="1" fontId="0" fillId="0" borderId="2" xfId="0" applyNumberFormat="1" applyBorder="1" applyAlignment="1">
      <alignment horizontal="center"/>
    </xf>
    <xf numFmtId="0" fontId="0" fillId="0" borderId="14" xfId="0" applyBorder="1"/>
    <xf numFmtId="166" fontId="1" fillId="0" borderId="0" xfId="0" applyNumberFormat="1" applyFont="1"/>
    <xf numFmtId="166" fontId="2" fillId="0" borderId="0" xfId="0" applyNumberFormat="1" applyFont="1" applyBorder="1"/>
    <xf numFmtId="166" fontId="1" fillId="0" borderId="6" xfId="0" applyNumberFormat="1" applyFont="1" applyBorder="1" applyAlignment="1">
      <alignment horizontal="center" vertical="center" wrapText="1"/>
    </xf>
    <xf numFmtId="166" fontId="5" fillId="0" borderId="16" xfId="0" applyNumberFormat="1" applyFont="1" applyBorder="1" applyAlignment="1">
      <alignment horizontal="center"/>
    </xf>
    <xf numFmtId="2" fontId="1" fillId="2" borderId="0" xfId="0" applyNumberFormat="1" applyFont="1" applyFill="1"/>
    <xf numFmtId="164" fontId="2" fillId="0" borderId="6" xfId="0" applyNumberFormat="1" applyFont="1" applyBorder="1"/>
    <xf numFmtId="164" fontId="2" fillId="0" borderId="8" xfId="0" applyNumberFormat="1" applyFont="1" applyBorder="1"/>
    <xf numFmtId="164" fontId="2" fillId="0" borderId="11" xfId="0" applyNumberFormat="1" applyFont="1" applyBorder="1"/>
    <xf numFmtId="164" fontId="1" fillId="0" borderId="15" xfId="0" applyNumberFormat="1" applyFont="1" applyBorder="1"/>
    <xf numFmtId="164" fontId="1" fillId="0" borderId="6" xfId="0" applyNumberFormat="1" applyFont="1" applyBorder="1"/>
    <xf numFmtId="164" fontId="1" fillId="0" borderId="8" xfId="0" applyNumberFormat="1" applyFont="1" applyBorder="1"/>
    <xf numFmtId="164" fontId="2" fillId="2" borderId="11" xfId="0" applyNumberFormat="1" applyFont="1" applyFill="1" applyBorder="1"/>
    <xf numFmtId="164" fontId="2" fillId="2" borderId="20" xfId="0" applyNumberFormat="1" applyFont="1" applyFill="1" applyBorder="1"/>
    <xf numFmtId="164" fontId="2" fillId="2" borderId="15" xfId="0" applyNumberFormat="1" applyFont="1" applyFill="1" applyBorder="1"/>
    <xf numFmtId="164" fontId="2" fillId="2" borderId="23" xfId="0" applyNumberFormat="1" applyFont="1" applyFill="1" applyBorder="1"/>
    <xf numFmtId="164" fontId="2" fillId="2" borderId="8" xfId="0" applyNumberFormat="1" applyFont="1" applyFill="1" applyBorder="1"/>
    <xf numFmtId="164" fontId="2" fillId="2" borderId="16" xfId="0" applyNumberFormat="1" applyFont="1" applyFill="1" applyBorder="1"/>
    <xf numFmtId="2" fontId="1" fillId="3" borderId="1" xfId="0" applyNumberFormat="1" applyFont="1" applyFill="1" applyBorder="1"/>
    <xf numFmtId="2" fontId="1" fillId="3" borderId="10" xfId="0" applyNumberFormat="1" applyFont="1" applyFill="1" applyBorder="1"/>
    <xf numFmtId="2" fontId="1" fillId="3" borderId="5" xfId="0" applyNumberFormat="1" applyFont="1" applyFill="1" applyBorder="1"/>
    <xf numFmtId="0" fontId="1" fillId="3" borderId="1" xfId="0" applyFont="1" applyFill="1" applyBorder="1"/>
    <xf numFmtId="0" fontId="1" fillId="3" borderId="5" xfId="0" applyFont="1" applyFill="1" applyBorder="1"/>
    <xf numFmtId="0" fontId="1" fillId="3" borderId="10" xfId="0" applyFont="1" applyFill="1" applyBorder="1"/>
    <xf numFmtId="0" fontId="1" fillId="3" borderId="14" xfId="0" applyFont="1" applyFill="1" applyBorder="1"/>
    <xf numFmtId="2" fontId="1" fillId="3" borderId="0" xfId="0" applyNumberFormat="1" applyFont="1" applyFill="1"/>
    <xf numFmtId="0" fontId="1" fillId="3" borderId="0" xfId="0" applyFont="1" applyFill="1"/>
    <xf numFmtId="0" fontId="1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/>
    </xf>
    <xf numFmtId="0" fontId="1" fillId="3" borderId="12" xfId="0" applyFont="1" applyFill="1" applyBorder="1"/>
    <xf numFmtId="0" fontId="1" fillId="3" borderId="19" xfId="0" applyFont="1" applyFill="1" applyBorder="1"/>
    <xf numFmtId="0" fontId="1" fillId="3" borderId="22" xfId="0" applyFont="1" applyFill="1" applyBorder="1"/>
    <xf numFmtId="0" fontId="1" fillId="3" borderId="0" xfId="0" applyFont="1" applyFill="1" applyBorder="1"/>
    <xf numFmtId="0" fontId="1" fillId="3" borderId="2" xfId="0" applyFont="1" applyFill="1" applyBorder="1"/>
    <xf numFmtId="0" fontId="5" fillId="3" borderId="10" xfId="0" applyFont="1" applyFill="1" applyBorder="1" applyAlignment="1">
      <alignment horizontal="center"/>
    </xf>
    <xf numFmtId="0" fontId="1" fillId="3" borderId="3" xfId="0" applyFont="1" applyFill="1" applyBorder="1"/>
    <xf numFmtId="165" fontId="1" fillId="3" borderId="0" xfId="0" applyNumberFormat="1" applyFont="1" applyFill="1"/>
    <xf numFmtId="0" fontId="1" fillId="3" borderId="0" xfId="0" applyFont="1" applyFill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T21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O16" sqref="O16"/>
    </sheetView>
  </sheetViews>
  <sheetFormatPr defaultRowHeight="15"/>
  <cols>
    <col min="1" max="1" width="17.42578125" customWidth="1"/>
    <col min="2" max="2" width="25.28515625" style="1" customWidth="1"/>
    <col min="3" max="3" width="7.85546875" style="1" customWidth="1"/>
    <col min="4" max="4" width="10.28515625" style="1" customWidth="1"/>
    <col min="5" max="5" width="5.85546875" style="1" customWidth="1"/>
    <col min="6" max="6" width="8.85546875" style="1" customWidth="1"/>
    <col min="7" max="7" width="12.5703125" customWidth="1"/>
    <col min="8" max="8" width="10.42578125" customWidth="1"/>
    <col min="9" max="9" width="7.85546875" style="1" customWidth="1"/>
    <col min="10" max="10" width="16.28515625" style="1" customWidth="1"/>
    <col min="11" max="11" width="11.7109375" style="1" customWidth="1"/>
    <col min="12" max="12" width="11.85546875" style="1" customWidth="1"/>
    <col min="13" max="13" width="6.7109375" style="1" customWidth="1"/>
    <col min="14" max="14" width="11.42578125" style="1" bestFit="1" customWidth="1"/>
    <col min="15" max="15" width="17.28515625" style="1" customWidth="1"/>
    <col min="16" max="20" width="9.140625" style="1"/>
  </cols>
  <sheetData>
    <row r="1" spans="1:14" ht="18.75">
      <c r="A1" s="31" t="s">
        <v>29</v>
      </c>
    </row>
    <row r="2" spans="1:14" ht="18.75">
      <c r="A2" s="108" t="s">
        <v>0</v>
      </c>
      <c r="B2" s="108"/>
      <c r="C2" s="108"/>
      <c r="D2" s="108"/>
      <c r="E2" s="108"/>
      <c r="F2" s="108"/>
      <c r="G2" s="108"/>
      <c r="H2" s="108"/>
      <c r="I2" s="108"/>
      <c r="J2" s="108"/>
    </row>
    <row r="3" spans="1:14">
      <c r="I3" s="51" t="s">
        <v>48</v>
      </c>
    </row>
    <row r="4" spans="1:14" ht="105.4" customHeight="1">
      <c r="A4" s="4" t="s">
        <v>3</v>
      </c>
      <c r="B4" s="4" t="s">
        <v>31</v>
      </c>
      <c r="C4" s="4" t="s">
        <v>1</v>
      </c>
      <c r="D4" s="4" t="s">
        <v>12</v>
      </c>
      <c r="E4" s="4" t="s">
        <v>43</v>
      </c>
      <c r="F4" s="4" t="s">
        <v>2</v>
      </c>
      <c r="G4" s="4" t="s">
        <v>4</v>
      </c>
      <c r="H4" s="4" t="s">
        <v>6</v>
      </c>
      <c r="I4" s="4" t="s">
        <v>8</v>
      </c>
      <c r="J4" s="4" t="s">
        <v>10</v>
      </c>
      <c r="K4" s="2" t="s">
        <v>54</v>
      </c>
      <c r="L4" s="2" t="s">
        <v>55</v>
      </c>
      <c r="M4" s="2"/>
    </row>
    <row r="5" spans="1:14" ht="15.75" thickBot="1">
      <c r="A5" s="8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 t="s">
        <v>5</v>
      </c>
      <c r="H5" s="8" t="s">
        <v>7</v>
      </c>
      <c r="I5" s="9" t="s">
        <v>9</v>
      </c>
      <c r="J5" s="9" t="s">
        <v>11</v>
      </c>
    </row>
    <row r="6" spans="1:14" ht="28.15" customHeight="1">
      <c r="A6" s="11" t="s">
        <v>32</v>
      </c>
      <c r="B6" s="64" t="s">
        <v>53</v>
      </c>
      <c r="C6" s="90">
        <f>3+21.7+5.75+14.5</f>
        <v>44.95</v>
      </c>
      <c r="D6" s="45">
        <v>21258.47004</v>
      </c>
      <c r="E6" s="92">
        <v>206</v>
      </c>
      <c r="F6" s="5">
        <v>1973</v>
      </c>
      <c r="G6" s="13">
        <f>C6*F6</f>
        <v>88686.35</v>
      </c>
      <c r="H6" s="13">
        <f>G6/E6</f>
        <v>430.51626213592237</v>
      </c>
      <c r="I6" s="7">
        <f>D6*12*1.302/1973</f>
        <v>168.34380937909782</v>
      </c>
      <c r="J6" s="76">
        <f>I6*H6</f>
        <v>72474.747567611426</v>
      </c>
      <c r="K6" s="3">
        <f>J6*E6</f>
        <v>14929797.998927955</v>
      </c>
      <c r="L6" s="95">
        <f>6983422+2108993+4483397+1353986</f>
        <v>14929798</v>
      </c>
      <c r="M6" s="3">
        <f>L6-K6</f>
        <v>1.0720454156398773E-3</v>
      </c>
      <c r="N6" s="35">
        <f>L6/12/1.302/C6</f>
        <v>21258.470041526482</v>
      </c>
    </row>
    <row r="7" spans="1:14" ht="30">
      <c r="A7" s="14" t="s">
        <v>33</v>
      </c>
      <c r="B7" s="65" t="s">
        <v>53</v>
      </c>
      <c r="C7" s="88">
        <f>3+22+5.88+17.5</f>
        <v>48.379999999999995</v>
      </c>
      <c r="D7" s="7">
        <v>24855.9339</v>
      </c>
      <c r="E7" s="91">
        <v>165</v>
      </c>
      <c r="F7" s="5">
        <v>1973</v>
      </c>
      <c r="G7" s="6">
        <f>C7*F7</f>
        <v>95453.739999999991</v>
      </c>
      <c r="H7" s="6">
        <f>G7/E7</f>
        <v>578.50751515151512</v>
      </c>
      <c r="I7" s="7">
        <f t="shared" ref="I7:I19" si="0">D7*12*1.302/1973</f>
        <v>196.83178472052711</v>
      </c>
      <c r="J7" s="77">
        <f>I7*H7</f>
        <v>113868.66668151011</v>
      </c>
      <c r="K7" s="3">
        <f>J7*E7</f>
        <v>18788330.002449166</v>
      </c>
      <c r="L7" s="95">
        <f>9657269+2916495+4773092+1441474</f>
        <v>18788330</v>
      </c>
      <c r="M7" s="3">
        <f t="shared" ref="M7:M19" si="1">L7-K7</f>
        <v>-2.4491660296916962E-3</v>
      </c>
      <c r="N7" s="35">
        <f>L7/12/1.302/C7</f>
        <v>24855.933896759885</v>
      </c>
    </row>
    <row r="8" spans="1:14" ht="30">
      <c r="A8" s="14" t="s">
        <v>34</v>
      </c>
      <c r="B8" s="65" t="s">
        <v>53</v>
      </c>
      <c r="C8" s="88">
        <v>42.25</v>
      </c>
      <c r="D8" s="7">
        <v>25941.685829999999</v>
      </c>
      <c r="E8" s="91">
        <v>202</v>
      </c>
      <c r="F8" s="5">
        <v>1973</v>
      </c>
      <c r="G8" s="6">
        <f t="shared" ref="G8:G9" si="2">C8*F8</f>
        <v>83359.25</v>
      </c>
      <c r="H8" s="6">
        <f t="shared" ref="H8:H9" si="3">G8/E8</f>
        <v>412.66955445544556</v>
      </c>
      <c r="I8" s="7">
        <f t="shared" si="0"/>
        <v>205.42975134714646</v>
      </c>
      <c r="J8" s="77">
        <f t="shared" ref="J8:J9" si="4">I8*H8</f>
        <v>84774.603960319902</v>
      </c>
      <c r="K8" s="3">
        <f t="shared" ref="K8:K19" si="5">J8*E8</f>
        <v>17124469.999984622</v>
      </c>
      <c r="L8" s="95">
        <f>8587266+2593354+4565169+1378681</f>
        <v>17124470</v>
      </c>
      <c r="M8" s="3">
        <f t="shared" si="1"/>
        <v>1.5377998352050781E-5</v>
      </c>
      <c r="N8" s="35">
        <f t="shared" ref="N8:N19" si="6">L8/12/1.302/C8</f>
        <v>25941.6858300233</v>
      </c>
    </row>
    <row r="9" spans="1:14" ht="30">
      <c r="A9" s="14" t="s">
        <v>35</v>
      </c>
      <c r="B9" s="65" t="s">
        <v>53</v>
      </c>
      <c r="C9" s="88">
        <f>2+15.5+3.75+10</f>
        <v>31.25</v>
      </c>
      <c r="D9" s="7">
        <v>26541.08756</v>
      </c>
      <c r="E9" s="91">
        <v>150</v>
      </c>
      <c r="F9" s="5">
        <v>1973</v>
      </c>
      <c r="G9" s="6">
        <f t="shared" si="2"/>
        <v>61656.25</v>
      </c>
      <c r="H9" s="6">
        <f t="shared" si="3"/>
        <v>411.04166666666669</v>
      </c>
      <c r="I9" s="7">
        <f t="shared" si="0"/>
        <v>210.17635683600611</v>
      </c>
      <c r="J9" s="77">
        <f t="shared" si="4"/>
        <v>86391.240007800021</v>
      </c>
      <c r="K9" s="3">
        <f t="shared" si="5"/>
        <v>12958686.001170004</v>
      </c>
      <c r="L9" s="95">
        <f>6274866+1895009+3678042+1110769</f>
        <v>12958686</v>
      </c>
      <c r="M9" s="3">
        <f t="shared" si="1"/>
        <v>-1.1700037866830826E-3</v>
      </c>
      <c r="N9" s="35">
        <f t="shared" si="6"/>
        <v>26541.087557603689</v>
      </c>
    </row>
    <row r="10" spans="1:14" ht="30">
      <c r="A10" s="14" t="s">
        <v>59</v>
      </c>
      <c r="B10" s="65" t="s">
        <v>53</v>
      </c>
      <c r="C10" s="88">
        <v>4.6500000000000004</v>
      </c>
      <c r="D10" s="7">
        <v>44177.526720000002</v>
      </c>
      <c r="E10" s="91">
        <v>36</v>
      </c>
      <c r="F10" s="5">
        <v>1973</v>
      </c>
      <c r="G10" s="6">
        <f t="shared" ref="G10:G14" si="7">C10*F10</f>
        <v>9174.4500000000007</v>
      </c>
      <c r="H10" s="6">
        <f t="shared" ref="H10:H14" si="8">G10/E10</f>
        <v>254.84583333333336</v>
      </c>
      <c r="I10" s="7">
        <f t="shared" si="0"/>
        <v>349.83764697074514</v>
      </c>
      <c r="J10" s="77">
        <f t="shared" ref="J10:J14" si="9">I10*H10</f>
        <v>89154.666673632033</v>
      </c>
      <c r="K10" s="3">
        <f t="shared" si="5"/>
        <v>3209568.000250753</v>
      </c>
      <c r="L10" s="95">
        <f>1408980+1056126+425512+318950</f>
        <v>3209568</v>
      </c>
      <c r="M10" s="3">
        <f t="shared" si="1"/>
        <v>-2.507530152797699E-4</v>
      </c>
      <c r="N10" s="35">
        <f t="shared" si="6"/>
        <v>44177.526716548564</v>
      </c>
    </row>
    <row r="11" spans="1:14" ht="30">
      <c r="A11" s="14" t="s">
        <v>39</v>
      </c>
      <c r="B11" s="65" t="s">
        <v>53</v>
      </c>
      <c r="C11" s="88">
        <v>44.2</v>
      </c>
      <c r="D11" s="7">
        <v>25964.091390000001</v>
      </c>
      <c r="E11" s="91">
        <v>198</v>
      </c>
      <c r="F11" s="5">
        <v>1973</v>
      </c>
      <c r="G11" s="6">
        <f t="shared" si="7"/>
        <v>87206.6</v>
      </c>
      <c r="H11" s="6">
        <f t="shared" si="8"/>
        <v>440.43737373737378</v>
      </c>
      <c r="I11" s="7">
        <f t="shared" si="0"/>
        <v>205.60717885319821</v>
      </c>
      <c r="J11" s="77">
        <f t="shared" si="9"/>
        <v>90557.085875653109</v>
      </c>
      <c r="K11" s="3">
        <f t="shared" si="5"/>
        <v>17930303.003379315</v>
      </c>
      <c r="L11" s="95">
        <f>9518501+4252853+2874587+1284362</f>
        <v>17930303</v>
      </c>
      <c r="M11" s="3">
        <f t="shared" si="1"/>
        <v>-3.3793151378631592E-3</v>
      </c>
      <c r="N11" s="35">
        <f t="shared" si="6"/>
        <v>25964.091385106563</v>
      </c>
    </row>
    <row r="12" spans="1:14" ht="30">
      <c r="A12" s="14" t="s">
        <v>40</v>
      </c>
      <c r="B12" s="65" t="s">
        <v>53</v>
      </c>
      <c r="C12" s="88">
        <f>4+23.75+6+14.25</f>
        <v>48</v>
      </c>
      <c r="D12" s="7">
        <v>27523.973529999999</v>
      </c>
      <c r="E12" s="91">
        <v>232</v>
      </c>
      <c r="F12" s="5">
        <v>1973</v>
      </c>
      <c r="G12" s="6">
        <f t="shared" si="7"/>
        <v>94704</v>
      </c>
      <c r="H12" s="6">
        <f t="shared" si="8"/>
        <v>408.20689655172413</v>
      </c>
      <c r="I12" s="7">
        <f t="shared" si="0"/>
        <v>217.9597376749721</v>
      </c>
      <c r="J12" s="77">
        <f t="shared" si="9"/>
        <v>88972.668089528262</v>
      </c>
      <c r="K12" s="3">
        <f t="shared" si="5"/>
        <v>20641658.996770557</v>
      </c>
      <c r="L12" s="95">
        <f>10828410+5025399+3270180+1517670</f>
        <v>20641659</v>
      </c>
      <c r="M12" s="3">
        <f t="shared" si="1"/>
        <v>3.2294429838657379E-3</v>
      </c>
      <c r="N12" s="35">
        <f t="shared" si="6"/>
        <v>27523.973534306195</v>
      </c>
    </row>
    <row r="13" spans="1:14" ht="30">
      <c r="A13" s="14" t="s">
        <v>57</v>
      </c>
      <c r="B13" s="65" t="s">
        <v>53</v>
      </c>
      <c r="C13" s="88">
        <v>23.5</v>
      </c>
      <c r="D13" s="7">
        <v>26610.841479999999</v>
      </c>
      <c r="E13" s="91">
        <v>122</v>
      </c>
      <c r="F13" s="5">
        <v>1973</v>
      </c>
      <c r="G13" s="6">
        <f t="shared" si="7"/>
        <v>46365.5</v>
      </c>
      <c r="H13" s="6">
        <f t="shared" si="8"/>
        <v>380.04508196721309</v>
      </c>
      <c r="I13" s="7">
        <f t="shared" si="0"/>
        <v>210.72873151724278</v>
      </c>
      <c r="J13" s="77">
        <f t="shared" si="9"/>
        <v>80086.418042317368</v>
      </c>
      <c r="K13" s="3">
        <f t="shared" si="5"/>
        <v>9770543.001162719</v>
      </c>
      <c r="L13" s="95">
        <f>5208000+2296257+1572816+693470</f>
        <v>9770543</v>
      </c>
      <c r="M13" s="3">
        <f t="shared" si="1"/>
        <v>-1.1627189815044403E-3</v>
      </c>
      <c r="N13" s="35">
        <f t="shared" si="6"/>
        <v>26610.84147683324</v>
      </c>
    </row>
    <row r="14" spans="1:14" ht="30">
      <c r="A14" s="14" t="s">
        <v>41</v>
      </c>
      <c r="B14" s="65" t="s">
        <v>53</v>
      </c>
      <c r="C14" s="88">
        <v>26.5</v>
      </c>
      <c r="D14" s="7">
        <v>25365.849829999999</v>
      </c>
      <c r="E14" s="91">
        <v>120</v>
      </c>
      <c r="F14" s="5">
        <v>1973</v>
      </c>
      <c r="G14" s="6">
        <f t="shared" si="7"/>
        <v>52284.5</v>
      </c>
      <c r="H14" s="6">
        <f t="shared" si="8"/>
        <v>435.70416666666665</v>
      </c>
      <c r="I14" s="7">
        <f t="shared" si="0"/>
        <v>200.86976064060823</v>
      </c>
      <c r="J14" s="77">
        <f t="shared" si="9"/>
        <v>87519.791668449005</v>
      </c>
      <c r="K14" s="3">
        <f t="shared" si="5"/>
        <v>10502375.00021388</v>
      </c>
      <c r="L14" s="95">
        <f>5334435+2731905+1611000+825035</f>
        <v>10502375</v>
      </c>
      <c r="M14" s="3">
        <f t="shared" si="1"/>
        <v>-2.1388009190559387E-4</v>
      </c>
      <c r="N14" s="35">
        <f t="shared" si="6"/>
        <v>25365.849829483424</v>
      </c>
    </row>
    <row r="15" spans="1:14" ht="30.2" customHeight="1">
      <c r="A15" s="14" t="s">
        <v>30</v>
      </c>
      <c r="B15" s="65" t="s">
        <v>53</v>
      </c>
      <c r="C15" s="88">
        <f>3+26+11.5+15.25</f>
        <v>55.75</v>
      </c>
      <c r="D15" s="7">
        <v>28633.958559999999</v>
      </c>
      <c r="E15" s="91">
        <v>173</v>
      </c>
      <c r="F15" s="5">
        <v>1973</v>
      </c>
      <c r="G15" s="6">
        <f>C15*F15</f>
        <v>109994.75</v>
      </c>
      <c r="H15" s="6">
        <f>G15/E15</f>
        <v>635.80780346820814</v>
      </c>
      <c r="I15" s="7">
        <f t="shared" si="0"/>
        <v>226.74960392368982</v>
      </c>
      <c r="J15" s="77">
        <f>I15*H15</f>
        <v>144169.16760800741</v>
      </c>
      <c r="K15" s="3">
        <f>J15*E15</f>
        <v>24941265.99618528</v>
      </c>
      <c r="L15" s="95">
        <f>14577014+4579104+4402258+1382890</f>
        <v>24941266</v>
      </c>
      <c r="M15" s="3">
        <f t="shared" si="1"/>
        <v>3.8147196173667908E-3</v>
      </c>
      <c r="N15" s="35">
        <f t="shared" si="6"/>
        <v>28633.958564379507</v>
      </c>
    </row>
    <row r="16" spans="1:14" ht="30.75" thickBot="1">
      <c r="A16" s="15" t="s">
        <v>36</v>
      </c>
      <c r="B16" s="66" t="s">
        <v>53</v>
      </c>
      <c r="C16" s="89">
        <v>54</v>
      </c>
      <c r="D16" s="46">
        <v>30375.21098</v>
      </c>
      <c r="E16" s="93">
        <v>248</v>
      </c>
      <c r="F16" s="5">
        <v>1973</v>
      </c>
      <c r="G16" s="17">
        <f>C16*F16</f>
        <v>106542</v>
      </c>
      <c r="H16" s="17">
        <f>G16/E16</f>
        <v>429.60483870967744</v>
      </c>
      <c r="I16" s="7">
        <f t="shared" si="0"/>
        <v>240.53841680259504</v>
      </c>
      <c r="J16" s="78">
        <f>I16*H16</f>
        <v>103336.46775396001</v>
      </c>
      <c r="K16" s="3">
        <f t="shared" si="5"/>
        <v>25627444.002982084</v>
      </c>
      <c r="L16" s="95">
        <f>14030396+5652741+4237179+1707128</f>
        <v>25627444</v>
      </c>
      <c r="M16" s="3">
        <f t="shared" si="1"/>
        <v>-2.9820837080478668E-3</v>
      </c>
      <c r="N16" s="35">
        <f t="shared" si="6"/>
        <v>30375.21097646546</v>
      </c>
    </row>
    <row r="17" spans="1:14" ht="15.75" thickBot="1">
      <c r="A17" s="47"/>
      <c r="B17" s="32"/>
      <c r="C17" s="34"/>
      <c r="D17" s="34"/>
      <c r="E17" s="94"/>
      <c r="F17" s="32"/>
      <c r="G17" s="33"/>
      <c r="H17" s="33"/>
      <c r="I17" s="34"/>
      <c r="J17" s="79"/>
      <c r="K17" s="3">
        <f t="shared" si="5"/>
        <v>0</v>
      </c>
      <c r="L17" s="75"/>
      <c r="M17" s="3">
        <f t="shared" si="1"/>
        <v>0</v>
      </c>
      <c r="N17" s="35"/>
    </row>
    <row r="18" spans="1:14" ht="30">
      <c r="A18" s="11" t="s">
        <v>37</v>
      </c>
      <c r="B18" s="64" t="s">
        <v>53</v>
      </c>
      <c r="C18" s="90">
        <v>67</v>
      </c>
      <c r="D18" s="45">
        <v>27746.557150000001</v>
      </c>
      <c r="E18" s="92">
        <v>315</v>
      </c>
      <c r="F18" s="5">
        <v>1973</v>
      </c>
      <c r="G18" s="13">
        <f>C18*F18</f>
        <v>132191</v>
      </c>
      <c r="H18" s="13">
        <f>G18/E18</f>
        <v>419.65396825396823</v>
      </c>
      <c r="I18" s="7">
        <f t="shared" si="0"/>
        <v>219.72235626538267</v>
      </c>
      <c r="J18" s="76">
        <f>I18*H18</f>
        <v>92207.358720880002</v>
      </c>
      <c r="K18" s="3">
        <f t="shared" si="5"/>
        <v>29045317.997077201</v>
      </c>
      <c r="L18" s="95">
        <f>15801209+6507023+4771965+1965121</f>
        <v>29045318</v>
      </c>
      <c r="M18" s="3">
        <f t="shared" si="1"/>
        <v>2.9227994382381439E-3</v>
      </c>
      <c r="N18" s="35">
        <f t="shared" si="6"/>
        <v>27746.557152792106</v>
      </c>
    </row>
    <row r="19" spans="1:14" ht="30.75" thickBot="1">
      <c r="A19" s="15" t="s">
        <v>38</v>
      </c>
      <c r="B19" s="66" t="s">
        <v>53</v>
      </c>
      <c r="C19" s="89">
        <v>99.6</v>
      </c>
      <c r="D19" s="46">
        <v>27919.513439999999</v>
      </c>
      <c r="E19" s="93">
        <v>400</v>
      </c>
      <c r="F19" s="5">
        <v>1973</v>
      </c>
      <c r="G19" s="17">
        <f>C19*F19</f>
        <v>196510.8</v>
      </c>
      <c r="H19" s="17">
        <f>G19/E19</f>
        <v>491.27699999999999</v>
      </c>
      <c r="I19" s="7">
        <f t="shared" si="0"/>
        <v>221.09198073317791</v>
      </c>
      <c r="J19" s="78">
        <f>I19*H19</f>
        <v>108617.40501865344</v>
      </c>
      <c r="K19" s="3">
        <f t="shared" si="5"/>
        <v>43446962.007461376</v>
      </c>
      <c r="L19" s="95">
        <f>22508453+10860949+6797553+3280007</f>
        <v>43446962</v>
      </c>
      <c r="M19" s="3">
        <f t="shared" si="1"/>
        <v>-7.4613764882087708E-3</v>
      </c>
      <c r="N19" s="35">
        <f t="shared" si="6"/>
        <v>27919.513435205237</v>
      </c>
    </row>
    <row r="21" spans="1:14">
      <c r="E21" s="1">
        <f>SUM(E6:E19)</f>
        <v>2567</v>
      </c>
    </row>
  </sheetData>
  <mergeCells count="1">
    <mergeCell ref="A2:J2"/>
  </mergeCells>
  <pageMargins left="0.31496062992125984" right="0" top="0.35433070866141736" bottom="0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S173"/>
  <sheetViews>
    <sheetView tabSelected="1" workbookViewId="0">
      <pane xSplit="1" ySplit="5" topLeftCell="B48" activePane="bottomRight" state="frozen"/>
      <selection pane="topRight" activeCell="B1" sqref="B1"/>
      <selection pane="bottomLeft" activeCell="A6" sqref="A6"/>
      <selection pane="bottomRight" activeCell="K68" sqref="K68"/>
    </sheetView>
  </sheetViews>
  <sheetFormatPr defaultRowHeight="15"/>
  <cols>
    <col min="1" max="1" width="15.85546875" customWidth="1"/>
    <col min="2" max="2" width="19.42578125" style="1" customWidth="1"/>
    <col min="3" max="3" width="13.42578125" style="1" customWidth="1"/>
    <col min="4" max="4" width="15" style="1" customWidth="1"/>
    <col min="5" max="5" width="11.42578125" style="96" customWidth="1"/>
    <col min="6" max="6" width="18.28515625" style="1" customWidth="1"/>
    <col min="7" max="7" width="12.5703125" customWidth="1"/>
    <col min="8" max="8" width="14.5703125" customWidth="1"/>
    <col min="9" max="9" width="13.42578125" style="1" customWidth="1"/>
    <col min="10" max="10" width="12.7109375" style="1" customWidth="1"/>
    <col min="11" max="11" width="10.42578125" style="1" customWidth="1"/>
    <col min="12" max="12" width="4.85546875" style="1" customWidth="1"/>
    <col min="13" max="19" width="9.140625" style="1"/>
  </cols>
  <sheetData>
    <row r="1" spans="1:12" ht="38.25" customHeight="1">
      <c r="A1" s="109" t="s">
        <v>13</v>
      </c>
      <c r="B1" s="109"/>
      <c r="C1" s="109"/>
      <c r="D1" s="109"/>
      <c r="E1" s="109"/>
      <c r="F1" s="109"/>
      <c r="G1" s="109"/>
      <c r="H1" s="109"/>
      <c r="I1" s="109"/>
    </row>
    <row r="2" spans="1:12" ht="18.75">
      <c r="A2" s="31" t="s">
        <v>29</v>
      </c>
    </row>
    <row r="3" spans="1:12" ht="15.75" thickBot="1"/>
    <row r="4" spans="1:12" ht="75">
      <c r="A4" s="21" t="s">
        <v>3</v>
      </c>
      <c r="B4" s="22" t="s">
        <v>14</v>
      </c>
      <c r="C4" s="22" t="s">
        <v>19</v>
      </c>
      <c r="D4" s="22" t="s">
        <v>15</v>
      </c>
      <c r="E4" s="97" t="s">
        <v>43</v>
      </c>
      <c r="F4" s="22" t="s">
        <v>42</v>
      </c>
      <c r="G4" s="22" t="s">
        <v>16</v>
      </c>
      <c r="H4" s="22" t="s">
        <v>17</v>
      </c>
      <c r="I4" s="23" t="s">
        <v>10</v>
      </c>
      <c r="J4" s="2"/>
      <c r="K4" s="2"/>
      <c r="L4" s="2"/>
    </row>
    <row r="5" spans="1:12" ht="15.75" thickBot="1">
      <c r="A5" s="36">
        <v>1</v>
      </c>
      <c r="B5" s="9">
        <v>2</v>
      </c>
      <c r="C5" s="9">
        <v>3</v>
      </c>
      <c r="D5" s="9">
        <v>4</v>
      </c>
      <c r="E5" s="98">
        <v>5</v>
      </c>
      <c r="F5" s="9" t="s">
        <v>18</v>
      </c>
      <c r="G5" s="9">
        <v>7</v>
      </c>
      <c r="H5" s="8">
        <v>8</v>
      </c>
      <c r="I5" s="37" t="s">
        <v>20</v>
      </c>
      <c r="J5" s="1" t="s">
        <v>58</v>
      </c>
      <c r="K5" s="1" t="s">
        <v>55</v>
      </c>
    </row>
    <row r="6" spans="1:12">
      <c r="A6" s="11" t="s">
        <v>32</v>
      </c>
      <c r="B6" s="12" t="s">
        <v>21</v>
      </c>
      <c r="C6" s="12" t="s">
        <v>22</v>
      </c>
      <c r="D6" s="12">
        <v>56</v>
      </c>
      <c r="E6" s="99">
        <f>з.пл.!E6</f>
        <v>206</v>
      </c>
      <c r="F6" s="28">
        <f>D6/E6</f>
        <v>0.27184466019417475</v>
      </c>
      <c r="G6" s="19">
        <v>1</v>
      </c>
      <c r="H6" s="13">
        <v>300</v>
      </c>
      <c r="I6" s="80">
        <f>F6*H6</f>
        <v>81.553398058252426</v>
      </c>
      <c r="J6" s="96">
        <f>I6*E6</f>
        <v>16800</v>
      </c>
      <c r="K6" s="96"/>
      <c r="L6" s="96"/>
    </row>
    <row r="7" spans="1:12">
      <c r="A7" s="14"/>
      <c r="B7" s="5" t="s">
        <v>44</v>
      </c>
      <c r="C7" s="5" t="s">
        <v>26</v>
      </c>
      <c r="D7" s="5">
        <v>1</v>
      </c>
      <c r="E7" s="91">
        <f>E6</f>
        <v>206</v>
      </c>
      <c r="F7" s="29">
        <f>D7/E7</f>
        <v>4.8543689320388345E-3</v>
      </c>
      <c r="G7" s="18">
        <v>1</v>
      </c>
      <c r="H7" s="6">
        <v>35000</v>
      </c>
      <c r="I7" s="81">
        <f t="shared" ref="I7:I9" si="0">F7*H7</f>
        <v>169.90291262135921</v>
      </c>
      <c r="J7" s="96">
        <f t="shared" ref="J7:J10" si="1">I7*E7</f>
        <v>35000</v>
      </c>
      <c r="K7" s="96"/>
      <c r="L7" s="96"/>
    </row>
    <row r="8" spans="1:12">
      <c r="A8" s="14"/>
      <c r="B8" s="5" t="s">
        <v>56</v>
      </c>
      <c r="C8" s="5" t="s">
        <v>26</v>
      </c>
      <c r="D8" s="5">
        <v>1</v>
      </c>
      <c r="E8" s="91">
        <f t="shared" ref="E8:E9" si="2">E7</f>
        <v>206</v>
      </c>
      <c r="F8" s="29">
        <f>D8/E8</f>
        <v>4.8543689320388345E-3</v>
      </c>
      <c r="G8" s="18">
        <v>1</v>
      </c>
      <c r="H8" s="6">
        <v>70850</v>
      </c>
      <c r="I8" s="81">
        <f t="shared" ref="I8" si="3">F8*H8</f>
        <v>343.93203883495141</v>
      </c>
      <c r="J8" s="96">
        <f t="shared" si="1"/>
        <v>70849.999999999985</v>
      </c>
      <c r="K8" s="96"/>
      <c r="L8" s="96"/>
    </row>
    <row r="9" spans="1:12">
      <c r="A9" s="14"/>
      <c r="B9" s="5" t="s">
        <v>45</v>
      </c>
      <c r="C9" s="5" t="s">
        <v>26</v>
      </c>
      <c r="D9" s="5">
        <v>1</v>
      </c>
      <c r="E9" s="91">
        <f t="shared" si="2"/>
        <v>206</v>
      </c>
      <c r="F9" s="29">
        <f>D9/E9</f>
        <v>4.8543689320388345E-3</v>
      </c>
      <c r="G9" s="18">
        <v>1</v>
      </c>
      <c r="H9" s="6">
        <v>30000</v>
      </c>
      <c r="I9" s="81">
        <f t="shared" si="0"/>
        <v>145.63106796116503</v>
      </c>
      <c r="J9" s="96">
        <f t="shared" si="1"/>
        <v>29999.999999999996</v>
      </c>
      <c r="K9" s="96"/>
      <c r="L9" s="96"/>
    </row>
    <row r="10" spans="1:12" ht="15.75" thickBot="1">
      <c r="A10" s="15"/>
      <c r="B10" s="16"/>
      <c r="C10" s="16"/>
      <c r="D10" s="16"/>
      <c r="E10" s="93"/>
      <c r="F10" s="38"/>
      <c r="G10" s="39"/>
      <c r="H10" s="17"/>
      <c r="I10" s="82">
        <f>SUM(I6:I9)</f>
        <v>741.01941747572812</v>
      </c>
      <c r="J10" s="96">
        <f t="shared" si="1"/>
        <v>0</v>
      </c>
      <c r="K10" s="96"/>
      <c r="L10" s="96"/>
    </row>
    <row r="11" spans="1:12" ht="15.75" thickBot="1">
      <c r="A11" s="52"/>
      <c r="B11" s="53"/>
      <c r="C11" s="53"/>
      <c r="D11" s="53"/>
      <c r="E11" s="100"/>
      <c r="F11" s="54"/>
      <c r="G11" s="55" t="s">
        <v>48</v>
      </c>
      <c r="H11" s="56"/>
      <c r="I11" s="83">
        <f>I10-I12</f>
        <v>741.01941747572812</v>
      </c>
      <c r="J11" s="106">
        <f>I11*E6</f>
        <v>152650</v>
      </c>
      <c r="K11" s="95">
        <v>152650</v>
      </c>
      <c r="L11" s="95">
        <f>K11-J11</f>
        <v>0</v>
      </c>
    </row>
    <row r="12" spans="1:12" ht="15.75" thickBot="1">
      <c r="A12" s="47"/>
      <c r="B12" s="32"/>
      <c r="C12" s="32"/>
      <c r="D12" s="32"/>
      <c r="E12" s="94"/>
      <c r="F12" s="49"/>
      <c r="G12" s="50" t="s">
        <v>49</v>
      </c>
      <c r="H12" s="33"/>
      <c r="I12" s="84">
        <v>0</v>
      </c>
      <c r="J12" s="48">
        <f>I12*122</f>
        <v>0</v>
      </c>
    </row>
    <row r="13" spans="1:12">
      <c r="A13" s="11" t="s">
        <v>33</v>
      </c>
      <c r="B13" s="12" t="s">
        <v>21</v>
      </c>
      <c r="C13" s="12" t="s">
        <v>22</v>
      </c>
      <c r="D13" s="12">
        <v>80</v>
      </c>
      <c r="E13" s="99">
        <f>з.пл.!E7</f>
        <v>165</v>
      </c>
      <c r="F13" s="28">
        <f>D13/E13</f>
        <v>0.48484848484848486</v>
      </c>
      <c r="G13" s="19">
        <v>1</v>
      </c>
      <c r="H13" s="13">
        <v>250</v>
      </c>
      <c r="I13" s="80">
        <f>F13*H13</f>
        <v>121.21212121212122</v>
      </c>
      <c r="J13" s="96">
        <f>I13*E13</f>
        <v>20000</v>
      </c>
      <c r="K13" s="96"/>
      <c r="L13" s="96"/>
    </row>
    <row r="14" spans="1:12">
      <c r="A14" s="14"/>
      <c r="B14" s="5" t="s">
        <v>44</v>
      </c>
      <c r="C14" s="5" t="s">
        <v>26</v>
      </c>
      <c r="D14" s="5">
        <v>1</v>
      </c>
      <c r="E14" s="91">
        <f>E13</f>
        <v>165</v>
      </c>
      <c r="F14" s="29">
        <f>D14/E14</f>
        <v>6.0606060606060606E-3</v>
      </c>
      <c r="G14" s="18">
        <v>1</v>
      </c>
      <c r="H14" s="6">
        <v>15000</v>
      </c>
      <c r="I14" s="81">
        <f t="shared" ref="I14:I17" si="4">F14*H14</f>
        <v>90.909090909090907</v>
      </c>
      <c r="J14" s="96">
        <f t="shared" ref="J14:J15" si="5">I14*E13</f>
        <v>15000</v>
      </c>
      <c r="K14" s="96"/>
      <c r="L14" s="96"/>
    </row>
    <row r="15" spans="1:12">
      <c r="A15" s="14"/>
      <c r="B15" s="5" t="s">
        <v>56</v>
      </c>
      <c r="C15" s="5" t="s">
        <v>26</v>
      </c>
      <c r="D15" s="5">
        <v>1</v>
      </c>
      <c r="E15" s="91">
        <f t="shared" ref="E15:E16" si="6">E14</f>
        <v>165</v>
      </c>
      <c r="F15" s="29">
        <f>D15/E15</f>
        <v>6.0606060606060606E-3</v>
      </c>
      <c r="G15" s="18">
        <v>1</v>
      </c>
      <c r="H15" s="6">
        <v>20000</v>
      </c>
      <c r="I15" s="81">
        <f t="shared" si="4"/>
        <v>121.21212121212122</v>
      </c>
      <c r="J15" s="96">
        <f t="shared" si="5"/>
        <v>20000</v>
      </c>
      <c r="K15" s="96"/>
      <c r="L15" s="96"/>
    </row>
    <row r="16" spans="1:12">
      <c r="A16" s="14"/>
      <c r="B16" s="5" t="s">
        <v>52</v>
      </c>
      <c r="C16" s="5" t="s">
        <v>26</v>
      </c>
      <c r="D16" s="5">
        <v>1</v>
      </c>
      <c r="E16" s="91">
        <f t="shared" si="6"/>
        <v>165</v>
      </c>
      <c r="F16" s="29">
        <f>D16/E16</f>
        <v>6.0606060606060606E-3</v>
      </c>
      <c r="G16" s="18">
        <v>1</v>
      </c>
      <c r="H16" s="6">
        <v>25000</v>
      </c>
      <c r="I16" s="81">
        <f t="shared" ref="I16" si="7">F16*H16</f>
        <v>151.5151515151515</v>
      </c>
      <c r="J16" s="96">
        <f>I16*E13</f>
        <v>24999.999999999996</v>
      </c>
      <c r="K16" s="96"/>
      <c r="L16" s="96"/>
    </row>
    <row r="17" spans="1:12">
      <c r="A17" s="14"/>
      <c r="B17" s="5" t="s">
        <v>45</v>
      </c>
      <c r="C17" s="5" t="s">
        <v>26</v>
      </c>
      <c r="D17" s="5">
        <v>1</v>
      </c>
      <c r="E17" s="91">
        <f t="shared" ref="E17" si="8">E16</f>
        <v>165</v>
      </c>
      <c r="F17" s="29">
        <f>D17/E17</f>
        <v>6.0606060606060606E-3</v>
      </c>
      <c r="G17" s="18">
        <v>1</v>
      </c>
      <c r="H17" s="6">
        <v>37471.599999999999</v>
      </c>
      <c r="I17" s="81">
        <f t="shared" si="4"/>
        <v>227.10060606060605</v>
      </c>
      <c r="J17" s="96">
        <f>I17*E14</f>
        <v>37471.599999999999</v>
      </c>
      <c r="K17" s="96"/>
      <c r="L17" s="96"/>
    </row>
    <row r="18" spans="1:12" ht="15.75" thickBot="1">
      <c r="A18" s="15"/>
      <c r="B18" s="16"/>
      <c r="C18" s="16"/>
      <c r="D18" s="16"/>
      <c r="E18" s="93"/>
      <c r="F18" s="38"/>
      <c r="G18" s="39"/>
      <c r="H18" s="17"/>
      <c r="I18" s="82">
        <f>SUM(I13:I17)</f>
        <v>711.94909090909096</v>
      </c>
      <c r="J18" s="96">
        <f>I18*E17</f>
        <v>117471.6</v>
      </c>
      <c r="K18" s="96"/>
      <c r="L18" s="96"/>
    </row>
    <row r="19" spans="1:12" ht="15.75" thickBot="1">
      <c r="A19" s="52"/>
      <c r="B19" s="53"/>
      <c r="C19" s="53"/>
      <c r="D19" s="53"/>
      <c r="E19" s="100"/>
      <c r="F19" s="54"/>
      <c r="G19" s="55" t="s">
        <v>48</v>
      </c>
      <c r="H19" s="56"/>
      <c r="I19" s="83">
        <f>I18-I20</f>
        <v>711.94909090909096</v>
      </c>
      <c r="J19" s="106">
        <f>I19*E14</f>
        <v>117471.6</v>
      </c>
      <c r="K19" s="95">
        <v>117471.6</v>
      </c>
      <c r="L19" s="95">
        <f>K19-J19</f>
        <v>0</v>
      </c>
    </row>
    <row r="20" spans="1:12" ht="15.75" thickBot="1">
      <c r="A20" s="47"/>
      <c r="B20" s="32"/>
      <c r="C20" s="32"/>
      <c r="D20" s="32"/>
      <c r="E20" s="94"/>
      <c r="F20" s="49"/>
      <c r="G20" s="50" t="s">
        <v>49</v>
      </c>
      <c r="H20" s="33"/>
      <c r="I20" s="84">
        <v>0</v>
      </c>
      <c r="J20" s="48">
        <f>I20*240</f>
        <v>0</v>
      </c>
    </row>
    <row r="21" spans="1:12">
      <c r="A21" s="11" t="s">
        <v>34</v>
      </c>
      <c r="B21" s="12" t="s">
        <v>21</v>
      </c>
      <c r="C21" s="12" t="s">
        <v>22</v>
      </c>
      <c r="D21" s="12">
        <v>30</v>
      </c>
      <c r="E21" s="99">
        <f>з.пл.!E8</f>
        <v>202</v>
      </c>
      <c r="F21" s="28">
        <f>D21/E21</f>
        <v>0.14851485148514851</v>
      </c>
      <c r="G21" s="19">
        <v>1</v>
      </c>
      <c r="H21" s="13">
        <v>250</v>
      </c>
      <c r="I21" s="80">
        <f>F21*H21</f>
        <v>37.128712871287128</v>
      </c>
      <c r="J21" s="96">
        <f>I21*E21</f>
        <v>7500</v>
      </c>
      <c r="K21" s="96"/>
      <c r="L21" s="96"/>
    </row>
    <row r="22" spans="1:12">
      <c r="A22" s="14"/>
      <c r="B22" s="5" t="s">
        <v>44</v>
      </c>
      <c r="C22" s="5" t="s">
        <v>26</v>
      </c>
      <c r="D22" s="5">
        <v>1</v>
      </c>
      <c r="E22" s="91">
        <f>E21</f>
        <v>202</v>
      </c>
      <c r="F22" s="29">
        <f>D22/E22</f>
        <v>4.9504950495049506E-3</v>
      </c>
      <c r="G22" s="18">
        <v>1</v>
      </c>
      <c r="H22" s="6">
        <v>15000</v>
      </c>
      <c r="I22" s="81">
        <f t="shared" ref="I22:I24" si="9">F22*H22</f>
        <v>74.257425742574256</v>
      </c>
      <c r="J22" s="96">
        <f t="shared" ref="J22" si="10">I22*E21</f>
        <v>15000</v>
      </c>
      <c r="K22" s="96"/>
      <c r="L22" s="96"/>
    </row>
    <row r="23" spans="1:12">
      <c r="A23" s="14"/>
      <c r="B23" s="5" t="s">
        <v>56</v>
      </c>
      <c r="C23" s="5" t="s">
        <v>26</v>
      </c>
      <c r="D23" s="5">
        <v>1</v>
      </c>
      <c r="E23" s="91">
        <f t="shared" ref="E23:E25" si="11">E22</f>
        <v>202</v>
      </c>
      <c r="F23" s="29">
        <f>D23/E23</f>
        <v>4.9504950495049506E-3</v>
      </c>
      <c r="G23" s="18">
        <v>1</v>
      </c>
      <c r="H23" s="6">
        <v>61823</v>
      </c>
      <c r="I23" s="81">
        <f t="shared" ref="I23" si="12">F23*H23</f>
        <v>306.05445544554453</v>
      </c>
      <c r="J23" s="96">
        <f>I23*E21</f>
        <v>61822.999999999993</v>
      </c>
      <c r="K23" s="96"/>
      <c r="L23" s="96"/>
    </row>
    <row r="24" spans="1:12">
      <c r="A24" s="14"/>
      <c r="B24" s="5" t="s">
        <v>45</v>
      </c>
      <c r="C24" s="5" t="s">
        <v>26</v>
      </c>
      <c r="D24" s="5">
        <v>1</v>
      </c>
      <c r="E24" s="91">
        <f t="shared" si="11"/>
        <v>202</v>
      </c>
      <c r="F24" s="29">
        <f>D24/E24</f>
        <v>4.9504950495049506E-3</v>
      </c>
      <c r="G24" s="18">
        <v>1</v>
      </c>
      <c r="H24" s="6">
        <v>25255</v>
      </c>
      <c r="I24" s="81">
        <f t="shared" si="9"/>
        <v>125.02475247524752</v>
      </c>
      <c r="J24" s="96">
        <f>I24*E22</f>
        <v>25255</v>
      </c>
      <c r="K24" s="96"/>
      <c r="L24" s="96"/>
    </row>
    <row r="25" spans="1:12" ht="15.75" thickBot="1">
      <c r="A25" s="15"/>
      <c r="B25" s="16"/>
      <c r="C25" s="16"/>
      <c r="D25" s="16"/>
      <c r="E25" s="91">
        <f t="shared" si="11"/>
        <v>202</v>
      </c>
      <c r="F25" s="38"/>
      <c r="G25" s="39"/>
      <c r="H25" s="17"/>
      <c r="I25" s="82">
        <f>SUM(I21:I24)</f>
        <v>542.46534653465346</v>
      </c>
      <c r="J25" s="96">
        <f>I25*E24</f>
        <v>109578</v>
      </c>
      <c r="K25" s="96"/>
      <c r="L25" s="96"/>
    </row>
    <row r="26" spans="1:12" ht="15.75" thickBot="1">
      <c r="A26" s="52"/>
      <c r="B26" s="53"/>
      <c r="C26" s="53"/>
      <c r="D26" s="53"/>
      <c r="E26" s="100"/>
      <c r="F26" s="54"/>
      <c r="G26" s="55" t="s">
        <v>48</v>
      </c>
      <c r="H26" s="56"/>
      <c r="I26" s="83">
        <f>I25-I27</f>
        <v>542.46534653465346</v>
      </c>
      <c r="J26" s="106">
        <f>I26*E21</f>
        <v>109578</v>
      </c>
      <c r="K26" s="95">
        <v>109578</v>
      </c>
      <c r="L26" s="95">
        <f>K26-J26</f>
        <v>0</v>
      </c>
    </row>
    <row r="27" spans="1:12" ht="15.75" thickBot="1">
      <c r="A27" s="47"/>
      <c r="B27" s="32"/>
      <c r="C27" s="32"/>
      <c r="D27" s="32"/>
      <c r="E27" s="94"/>
      <c r="F27" s="49"/>
      <c r="G27" s="50" t="s">
        <v>49</v>
      </c>
      <c r="H27" s="33"/>
      <c r="I27" s="84">
        <v>0</v>
      </c>
      <c r="J27" s="48">
        <f>I27*123</f>
        <v>0</v>
      </c>
    </row>
    <row r="28" spans="1:12">
      <c r="A28" s="11" t="s">
        <v>35</v>
      </c>
      <c r="B28" s="12" t="s">
        <v>21</v>
      </c>
      <c r="C28" s="12" t="s">
        <v>22</v>
      </c>
      <c r="D28" s="12">
        <v>40</v>
      </c>
      <c r="E28" s="99">
        <f>з.пл.!E9</f>
        <v>150</v>
      </c>
      <c r="F28" s="28">
        <f>D28/E28</f>
        <v>0.26666666666666666</v>
      </c>
      <c r="G28" s="19">
        <v>1</v>
      </c>
      <c r="H28" s="13">
        <v>250</v>
      </c>
      <c r="I28" s="80">
        <f>F28*H28</f>
        <v>66.666666666666671</v>
      </c>
      <c r="J28" s="96">
        <f>I28*E28</f>
        <v>10000</v>
      </c>
      <c r="K28" s="96"/>
      <c r="L28" s="96"/>
    </row>
    <row r="29" spans="1:12">
      <c r="A29" s="14"/>
      <c r="B29" s="5" t="s">
        <v>44</v>
      </c>
      <c r="C29" s="5" t="s">
        <v>26</v>
      </c>
      <c r="D29" s="5">
        <v>1</v>
      </c>
      <c r="E29" s="91">
        <f>E28</f>
        <v>150</v>
      </c>
      <c r="F29" s="29">
        <f>D29/E29</f>
        <v>6.6666666666666671E-3</v>
      </c>
      <c r="G29" s="18">
        <v>1</v>
      </c>
      <c r="H29" s="6">
        <v>10000</v>
      </c>
      <c r="I29" s="81">
        <f t="shared" ref="I29:I31" si="13">F29*H29</f>
        <v>66.666666666666671</v>
      </c>
      <c r="J29" s="96">
        <f t="shared" ref="J29" si="14">I29*E28</f>
        <v>10000</v>
      </c>
      <c r="K29" s="96"/>
      <c r="L29" s="96"/>
    </row>
    <row r="30" spans="1:12">
      <c r="A30" s="14"/>
      <c r="B30" s="5" t="s">
        <v>56</v>
      </c>
      <c r="C30" s="5" t="s">
        <v>26</v>
      </c>
      <c r="D30" s="5">
        <v>1</v>
      </c>
      <c r="E30" s="91">
        <f t="shared" ref="E30:E32" si="15">E29</f>
        <v>150</v>
      </c>
      <c r="F30" s="29">
        <f>D30/E30</f>
        <v>6.6666666666666671E-3</v>
      </c>
      <c r="G30" s="18">
        <v>1</v>
      </c>
      <c r="H30" s="6">
        <f>15660+34800</f>
        <v>50460</v>
      </c>
      <c r="I30" s="81">
        <f t="shared" ref="I30" si="16">F30*H30</f>
        <v>336.40000000000003</v>
      </c>
      <c r="J30" s="96">
        <f>I30*E28</f>
        <v>50460.000000000007</v>
      </c>
      <c r="K30" s="96"/>
      <c r="L30" s="96"/>
    </row>
    <row r="31" spans="1:12">
      <c r="A31" s="14"/>
      <c r="B31" s="5" t="s">
        <v>45</v>
      </c>
      <c r="C31" s="5" t="s">
        <v>26</v>
      </c>
      <c r="D31" s="5">
        <v>1</v>
      </c>
      <c r="E31" s="91">
        <f t="shared" si="15"/>
        <v>150</v>
      </c>
      <c r="F31" s="29">
        <f>D31/E31</f>
        <v>6.6666666666666671E-3</v>
      </c>
      <c r="G31" s="18">
        <v>1</v>
      </c>
      <c r="H31" s="6">
        <v>17710</v>
      </c>
      <c r="I31" s="81">
        <f t="shared" si="13"/>
        <v>118.06666666666668</v>
      </c>
      <c r="J31" s="96">
        <f>I31*E29</f>
        <v>17710</v>
      </c>
      <c r="K31" s="96"/>
      <c r="L31" s="96"/>
    </row>
    <row r="32" spans="1:12" ht="15.75" thickBot="1">
      <c r="A32" s="15"/>
      <c r="B32" s="16"/>
      <c r="C32" s="16"/>
      <c r="D32" s="16"/>
      <c r="E32" s="91">
        <f t="shared" si="15"/>
        <v>150</v>
      </c>
      <c r="F32" s="38"/>
      <c r="G32" s="39"/>
      <c r="H32" s="17"/>
      <c r="I32" s="82">
        <f>SUM(I28:I31)</f>
        <v>587.80000000000007</v>
      </c>
      <c r="J32" s="96">
        <f>I32*E31</f>
        <v>88170.000000000015</v>
      </c>
      <c r="K32" s="96"/>
      <c r="L32" s="96"/>
    </row>
    <row r="33" spans="1:12" ht="15.75" thickBot="1">
      <c r="A33" s="52"/>
      <c r="B33" s="53"/>
      <c r="C33" s="53"/>
      <c r="D33" s="53"/>
      <c r="E33" s="100"/>
      <c r="F33" s="54"/>
      <c r="G33" s="55" t="s">
        <v>48</v>
      </c>
      <c r="H33" s="56"/>
      <c r="I33" s="83">
        <f>I32-I34</f>
        <v>587.80000000000007</v>
      </c>
      <c r="J33" s="106">
        <f>I33*E28</f>
        <v>88170.000000000015</v>
      </c>
      <c r="K33" s="95">
        <v>88170</v>
      </c>
      <c r="L33" s="95">
        <f>K33-J33</f>
        <v>0</v>
      </c>
    </row>
    <row r="34" spans="1:12" ht="15.75" thickBot="1">
      <c r="A34" s="47"/>
      <c r="B34" s="32"/>
      <c r="C34" s="32"/>
      <c r="D34" s="32"/>
      <c r="E34" s="94"/>
      <c r="F34" s="49"/>
      <c r="G34" s="50" t="s">
        <v>49</v>
      </c>
      <c r="H34" s="33"/>
      <c r="I34" s="84">
        <v>0</v>
      </c>
      <c r="J34" s="48">
        <f>I34*140</f>
        <v>0</v>
      </c>
    </row>
    <row r="35" spans="1:12">
      <c r="A35" s="14" t="s">
        <v>59</v>
      </c>
      <c r="B35" s="12" t="s">
        <v>21</v>
      </c>
      <c r="C35" s="12" t="s">
        <v>22</v>
      </c>
      <c r="D35" s="12">
        <v>40</v>
      </c>
      <c r="E35" s="99">
        <f>з.пл.!E10</f>
        <v>36</v>
      </c>
      <c r="F35" s="28">
        <f>D35/E35</f>
        <v>1.1111111111111112</v>
      </c>
      <c r="G35" s="19">
        <v>1</v>
      </c>
      <c r="H35" s="13">
        <v>250</v>
      </c>
      <c r="I35" s="80">
        <f>F35*H35</f>
        <v>277.77777777777777</v>
      </c>
      <c r="J35" s="96">
        <f>I35*E35</f>
        <v>10000</v>
      </c>
      <c r="K35" s="96"/>
      <c r="L35" s="96"/>
    </row>
    <row r="36" spans="1:12">
      <c r="A36" s="14"/>
      <c r="B36" s="5" t="s">
        <v>56</v>
      </c>
      <c r="C36" s="5" t="s">
        <v>26</v>
      </c>
      <c r="D36" s="5">
        <v>1</v>
      </c>
      <c r="E36" s="91">
        <f>E35</f>
        <v>36</v>
      </c>
      <c r="F36" s="29">
        <f>D36/E36</f>
        <v>2.7777777777777776E-2</v>
      </c>
      <c r="G36" s="18">
        <v>1</v>
      </c>
      <c r="H36" s="6"/>
      <c r="I36" s="81">
        <f t="shared" ref="I36:I38" si="17">F36*H36</f>
        <v>0</v>
      </c>
      <c r="J36" s="96">
        <f t="shared" ref="J36:J38" si="18">I36*E35</f>
        <v>0</v>
      </c>
      <c r="K36" s="96"/>
      <c r="L36" s="96"/>
    </row>
    <row r="37" spans="1:12">
      <c r="A37" s="14"/>
      <c r="B37" s="5" t="s">
        <v>44</v>
      </c>
      <c r="C37" s="5" t="s">
        <v>26</v>
      </c>
      <c r="D37" s="5">
        <v>1</v>
      </c>
      <c r="E37" s="91">
        <f t="shared" ref="E37:E39" si="19">E36</f>
        <v>36</v>
      </c>
      <c r="F37" s="29">
        <f>D37/E37</f>
        <v>2.7777777777777776E-2</v>
      </c>
      <c r="G37" s="18">
        <v>1</v>
      </c>
      <c r="H37" s="6">
        <v>5000</v>
      </c>
      <c r="I37" s="81">
        <f t="shared" si="17"/>
        <v>138.88888888888889</v>
      </c>
      <c r="J37" s="96">
        <f t="shared" si="18"/>
        <v>5000</v>
      </c>
      <c r="K37" s="96"/>
      <c r="L37" s="96"/>
    </row>
    <row r="38" spans="1:12">
      <c r="A38" s="14"/>
      <c r="B38" s="5" t="s">
        <v>45</v>
      </c>
      <c r="C38" s="5" t="s">
        <v>26</v>
      </c>
      <c r="D38" s="5">
        <v>1</v>
      </c>
      <c r="E38" s="91">
        <f t="shared" si="19"/>
        <v>36</v>
      </c>
      <c r="F38" s="29">
        <f>D38/E38</f>
        <v>2.7777777777777776E-2</v>
      </c>
      <c r="G38" s="18">
        <v>1</v>
      </c>
      <c r="H38" s="6">
        <v>5271</v>
      </c>
      <c r="I38" s="81">
        <f t="shared" si="17"/>
        <v>146.41666666666666</v>
      </c>
      <c r="J38" s="96">
        <f t="shared" si="18"/>
        <v>5271</v>
      </c>
      <c r="K38" s="96"/>
      <c r="L38" s="96"/>
    </row>
    <row r="39" spans="1:12" ht="15.75" thickBot="1">
      <c r="A39" s="15"/>
      <c r="B39" s="16"/>
      <c r="C39" s="16"/>
      <c r="D39" s="16"/>
      <c r="E39" s="91">
        <f t="shared" si="19"/>
        <v>36</v>
      </c>
      <c r="F39" s="38"/>
      <c r="G39" s="39"/>
      <c r="H39" s="17"/>
      <c r="I39" s="82">
        <f>SUM(I35:I38)</f>
        <v>563.08333333333326</v>
      </c>
      <c r="J39" s="96">
        <f>I39*E38</f>
        <v>20270.999999999996</v>
      </c>
      <c r="K39" s="96"/>
      <c r="L39" s="96"/>
    </row>
    <row r="40" spans="1:12" ht="15.75" thickBot="1">
      <c r="A40" s="52"/>
      <c r="B40" s="53"/>
      <c r="C40" s="53"/>
      <c r="D40" s="53"/>
      <c r="E40" s="100"/>
      <c r="F40" s="54"/>
      <c r="G40" s="55" t="s">
        <v>48</v>
      </c>
      <c r="H40" s="56"/>
      <c r="I40" s="83">
        <f>I39-I41</f>
        <v>563.08333333333326</v>
      </c>
      <c r="J40" s="96">
        <f>I40*E36</f>
        <v>20270.999999999996</v>
      </c>
      <c r="K40" s="95">
        <v>20271</v>
      </c>
      <c r="L40" s="95">
        <f>K40-J40</f>
        <v>0</v>
      </c>
    </row>
    <row r="41" spans="1:12" ht="15.75" thickBot="1">
      <c r="A41" s="47"/>
      <c r="B41" s="32"/>
      <c r="C41" s="32"/>
      <c r="D41" s="32"/>
      <c r="E41" s="94"/>
      <c r="F41" s="49"/>
      <c r="G41" s="50" t="s">
        <v>49</v>
      </c>
      <c r="H41" s="33"/>
      <c r="I41" s="84">
        <v>0</v>
      </c>
      <c r="J41" s="48">
        <f>I41*123</f>
        <v>0</v>
      </c>
    </row>
    <row r="42" spans="1:12">
      <c r="A42" s="11" t="s">
        <v>39</v>
      </c>
      <c r="B42" s="12" t="s">
        <v>21</v>
      </c>
      <c r="C42" s="12" t="s">
        <v>22</v>
      </c>
      <c r="D42" s="12">
        <v>40</v>
      </c>
      <c r="E42" s="99">
        <f>з.пл.!E11</f>
        <v>198</v>
      </c>
      <c r="F42" s="28">
        <f>D42/E42</f>
        <v>0.20202020202020202</v>
      </c>
      <c r="G42" s="19">
        <v>1</v>
      </c>
      <c r="H42" s="13">
        <v>250</v>
      </c>
      <c r="I42" s="80">
        <f>F42*H42</f>
        <v>50.505050505050505</v>
      </c>
      <c r="J42" s="96">
        <f>I42*E42</f>
        <v>10000</v>
      </c>
      <c r="K42" s="96"/>
      <c r="L42" s="96"/>
    </row>
    <row r="43" spans="1:12">
      <c r="A43" s="14"/>
      <c r="B43" s="5" t="s">
        <v>44</v>
      </c>
      <c r="C43" s="5" t="s">
        <v>26</v>
      </c>
      <c r="D43" s="5">
        <v>1</v>
      </c>
      <c r="E43" s="91">
        <f>E42</f>
        <v>198</v>
      </c>
      <c r="F43" s="29">
        <f>D43/E43</f>
        <v>5.0505050505050509E-3</v>
      </c>
      <c r="G43" s="18">
        <v>1</v>
      </c>
      <c r="H43" s="6">
        <v>5000</v>
      </c>
      <c r="I43" s="81">
        <f t="shared" ref="I43:I45" si="20">F43*H43</f>
        <v>25.252525252525256</v>
      </c>
      <c r="J43" s="96">
        <f t="shared" ref="J43" si="21">I43*E42</f>
        <v>5000.0000000000009</v>
      </c>
      <c r="K43" s="96"/>
      <c r="L43" s="96"/>
    </row>
    <row r="44" spans="1:12">
      <c r="A44" s="14"/>
      <c r="B44" s="5" t="s">
        <v>56</v>
      </c>
      <c r="C44" s="5" t="s">
        <v>26</v>
      </c>
      <c r="D44" s="5">
        <v>1</v>
      </c>
      <c r="E44" s="91">
        <f t="shared" ref="E44:E46" si="22">E43</f>
        <v>198</v>
      </c>
      <c r="F44" s="29">
        <f>D44/E44</f>
        <v>5.0505050505050509E-3</v>
      </c>
      <c r="G44" s="18">
        <v>1</v>
      </c>
      <c r="H44" s="6">
        <v>10040</v>
      </c>
      <c r="I44" s="81">
        <f t="shared" ref="I44" si="23">F44*H44</f>
        <v>50.707070707070713</v>
      </c>
      <c r="J44" s="96">
        <f>I44*E42</f>
        <v>10040.000000000002</v>
      </c>
      <c r="K44" s="96"/>
      <c r="L44" s="96"/>
    </row>
    <row r="45" spans="1:12">
      <c r="A45" s="14"/>
      <c r="B45" s="5" t="s">
        <v>45</v>
      </c>
      <c r="C45" s="5" t="s">
        <v>26</v>
      </c>
      <c r="D45" s="5">
        <v>1</v>
      </c>
      <c r="E45" s="91">
        <f t="shared" si="22"/>
        <v>198</v>
      </c>
      <c r="F45" s="29">
        <f>D45/E45</f>
        <v>5.0505050505050509E-3</v>
      </c>
      <c r="G45" s="18">
        <v>1</v>
      </c>
      <c r="H45" s="6">
        <v>44369.54</v>
      </c>
      <c r="I45" s="81">
        <f t="shared" si="20"/>
        <v>224.08858585858587</v>
      </c>
      <c r="J45" s="96">
        <f>I45*E43</f>
        <v>44369.54</v>
      </c>
      <c r="K45" s="96"/>
      <c r="L45" s="96"/>
    </row>
    <row r="46" spans="1:12" ht="15.75" thickBot="1">
      <c r="A46" s="15"/>
      <c r="B46" s="16"/>
      <c r="C46" s="16"/>
      <c r="D46" s="16"/>
      <c r="E46" s="91">
        <f t="shared" si="22"/>
        <v>198</v>
      </c>
      <c r="F46" s="38"/>
      <c r="G46" s="39"/>
      <c r="H46" s="17"/>
      <c r="I46" s="82">
        <f>SUM(I42:I45)</f>
        <v>350.55323232323235</v>
      </c>
      <c r="J46" s="96">
        <f>I46*E45</f>
        <v>69409.540000000008</v>
      </c>
      <c r="K46" s="96"/>
      <c r="L46" s="96"/>
    </row>
    <row r="47" spans="1:12" ht="15.75" thickBot="1">
      <c r="A47" s="52"/>
      <c r="B47" s="53"/>
      <c r="C47" s="53"/>
      <c r="D47" s="53"/>
      <c r="E47" s="100"/>
      <c r="F47" s="54"/>
      <c r="G47" s="55" t="s">
        <v>48</v>
      </c>
      <c r="H47" s="56"/>
      <c r="I47" s="83">
        <f>I46-I48</f>
        <v>350.55323232323235</v>
      </c>
      <c r="J47" s="106">
        <f>I47*E42</f>
        <v>69409.540000000008</v>
      </c>
      <c r="K47" s="95">
        <v>69409.539999999994</v>
      </c>
      <c r="L47" s="95">
        <f>K47-J47</f>
        <v>0</v>
      </c>
    </row>
    <row r="48" spans="1:12" ht="15.75" thickBot="1">
      <c r="A48" s="47"/>
      <c r="B48" s="32"/>
      <c r="C48" s="32"/>
      <c r="D48" s="32"/>
      <c r="E48" s="94"/>
      <c r="F48" s="49"/>
      <c r="G48" s="50" t="s">
        <v>49</v>
      </c>
      <c r="H48" s="33"/>
      <c r="I48" s="84">
        <v>0</v>
      </c>
      <c r="J48" s="48">
        <f>I48*220</f>
        <v>0</v>
      </c>
    </row>
    <row r="49" spans="1:12">
      <c r="A49" s="11" t="s">
        <v>40</v>
      </c>
      <c r="B49" s="12" t="s">
        <v>21</v>
      </c>
      <c r="C49" s="12" t="s">
        <v>22</v>
      </c>
      <c r="D49" s="12">
        <v>80</v>
      </c>
      <c r="E49" s="99">
        <f>з.пл.!E12</f>
        <v>232</v>
      </c>
      <c r="F49" s="28">
        <f>D49/E49</f>
        <v>0.34482758620689657</v>
      </c>
      <c r="G49" s="19">
        <v>1</v>
      </c>
      <c r="H49" s="13">
        <v>250</v>
      </c>
      <c r="I49" s="80">
        <f>F49*H49</f>
        <v>86.206896551724142</v>
      </c>
      <c r="J49" s="96">
        <f>I49*E49</f>
        <v>20000</v>
      </c>
      <c r="K49" s="96"/>
      <c r="L49" s="96"/>
    </row>
    <row r="50" spans="1:12">
      <c r="A50" s="14"/>
      <c r="B50" s="5" t="s">
        <v>44</v>
      </c>
      <c r="C50" s="5" t="s">
        <v>26</v>
      </c>
      <c r="D50" s="5">
        <v>1</v>
      </c>
      <c r="E50" s="91">
        <f>E49</f>
        <v>232</v>
      </c>
      <c r="F50" s="29">
        <f>D50/E50</f>
        <v>4.3103448275862068E-3</v>
      </c>
      <c r="G50" s="18">
        <v>1</v>
      </c>
      <c r="H50" s="6">
        <v>25000</v>
      </c>
      <c r="I50" s="81">
        <f t="shared" ref="I50:I52" si="24">F50*H50</f>
        <v>107.75862068965517</v>
      </c>
      <c r="J50" s="96">
        <f t="shared" ref="J50" si="25">I50*E49</f>
        <v>25000</v>
      </c>
      <c r="K50" s="96"/>
      <c r="L50" s="96"/>
    </row>
    <row r="51" spans="1:12">
      <c r="A51" s="14"/>
      <c r="B51" s="5" t="s">
        <v>56</v>
      </c>
      <c r="C51" s="5" t="s">
        <v>26</v>
      </c>
      <c r="D51" s="5">
        <v>1</v>
      </c>
      <c r="E51" s="91">
        <f t="shared" ref="E51:E53" si="26">E50</f>
        <v>232</v>
      </c>
      <c r="F51" s="29">
        <f>D51/E51</f>
        <v>4.3103448275862068E-3</v>
      </c>
      <c r="G51" s="18">
        <v>1</v>
      </c>
      <c r="H51" s="6">
        <v>36000</v>
      </c>
      <c r="I51" s="81">
        <f t="shared" ref="I51" si="27">F51*H51</f>
        <v>155.17241379310346</v>
      </c>
      <c r="J51" s="96">
        <f>I51*E49</f>
        <v>36000</v>
      </c>
      <c r="K51" s="96"/>
      <c r="L51" s="96"/>
    </row>
    <row r="52" spans="1:12">
      <c r="A52" s="14"/>
      <c r="B52" s="5" t="s">
        <v>45</v>
      </c>
      <c r="C52" s="5" t="s">
        <v>26</v>
      </c>
      <c r="D52" s="5">
        <v>1</v>
      </c>
      <c r="E52" s="91">
        <f t="shared" si="26"/>
        <v>232</v>
      </c>
      <c r="F52" s="29">
        <f>D52/E52</f>
        <v>4.3103448275862068E-3</v>
      </c>
      <c r="G52" s="18">
        <v>1</v>
      </c>
      <c r="H52" s="6">
        <v>58426.32</v>
      </c>
      <c r="I52" s="81">
        <f t="shared" si="24"/>
        <v>251.83758620689656</v>
      </c>
      <c r="J52" s="96">
        <f>I52*E50</f>
        <v>58426.32</v>
      </c>
      <c r="K52" s="96"/>
      <c r="L52" s="96"/>
    </row>
    <row r="53" spans="1:12" ht="15.75" thickBot="1">
      <c r="A53" s="15"/>
      <c r="B53" s="16"/>
      <c r="C53" s="16"/>
      <c r="D53" s="16"/>
      <c r="E53" s="91">
        <f t="shared" si="26"/>
        <v>232</v>
      </c>
      <c r="F53" s="38"/>
      <c r="G53" s="39"/>
      <c r="H53" s="17"/>
      <c r="I53" s="82">
        <f>SUM(I49:I52)</f>
        <v>600.97551724137929</v>
      </c>
      <c r="J53" s="96">
        <f>I53*E52</f>
        <v>139426.32</v>
      </c>
      <c r="K53" s="96"/>
      <c r="L53" s="96"/>
    </row>
    <row r="54" spans="1:12" ht="15.75" thickBot="1">
      <c r="A54" s="52"/>
      <c r="B54" s="53"/>
      <c r="C54" s="53"/>
      <c r="D54" s="53"/>
      <c r="E54" s="100"/>
      <c r="F54" s="54"/>
      <c r="G54" s="55" t="s">
        <v>48</v>
      </c>
      <c r="H54" s="56"/>
      <c r="I54" s="83">
        <f>I53-I55</f>
        <v>600.97551724137929</v>
      </c>
      <c r="J54" s="106">
        <f>I54*E49</f>
        <v>139426.32</v>
      </c>
      <c r="K54" s="95">
        <v>139426.32</v>
      </c>
      <c r="L54" s="95">
        <f>K54-J54</f>
        <v>0</v>
      </c>
    </row>
    <row r="55" spans="1:12" ht="15.75" thickBot="1">
      <c r="A55" s="47"/>
      <c r="B55" s="32"/>
      <c r="C55" s="32"/>
      <c r="D55" s="32"/>
      <c r="E55" s="94"/>
      <c r="F55" s="49"/>
      <c r="G55" s="50" t="s">
        <v>49</v>
      </c>
      <c r="H55" s="33"/>
      <c r="I55" s="84">
        <v>0</v>
      </c>
      <c r="J55" s="48">
        <f>I55*250</f>
        <v>0</v>
      </c>
    </row>
    <row r="56" spans="1:12">
      <c r="A56" s="11" t="s">
        <v>57</v>
      </c>
      <c r="B56" s="12" t="s">
        <v>21</v>
      </c>
      <c r="C56" s="12" t="s">
        <v>22</v>
      </c>
      <c r="D56" s="12">
        <v>40</v>
      </c>
      <c r="E56" s="99">
        <f>з.пл.!E13</f>
        <v>122</v>
      </c>
      <c r="F56" s="28">
        <f>D56/E56</f>
        <v>0.32786885245901637</v>
      </c>
      <c r="G56" s="19">
        <v>1</v>
      </c>
      <c r="H56" s="13">
        <v>250</v>
      </c>
      <c r="I56" s="80">
        <f>F56*H56</f>
        <v>81.967213114754088</v>
      </c>
      <c r="J56" s="96">
        <f>I56*E56</f>
        <v>9999.9999999999982</v>
      </c>
      <c r="K56" s="96"/>
      <c r="L56" s="96"/>
    </row>
    <row r="57" spans="1:12">
      <c r="A57" s="14"/>
      <c r="B57" s="5" t="s">
        <v>44</v>
      </c>
      <c r="C57" s="5" t="s">
        <v>26</v>
      </c>
      <c r="D57" s="5">
        <v>1</v>
      </c>
      <c r="E57" s="91">
        <f>E56</f>
        <v>122</v>
      </c>
      <c r="F57" s="29">
        <f>D57/E57</f>
        <v>8.1967213114754103E-3</v>
      </c>
      <c r="G57" s="18">
        <v>1</v>
      </c>
      <c r="H57" s="6">
        <v>10000</v>
      </c>
      <c r="I57" s="81">
        <f t="shared" ref="I57:I59" si="28">F57*H57</f>
        <v>81.967213114754102</v>
      </c>
      <c r="J57" s="96">
        <f t="shared" ref="J57" si="29">I57*E56</f>
        <v>10000</v>
      </c>
      <c r="K57" s="96"/>
      <c r="L57" s="96"/>
    </row>
    <row r="58" spans="1:12">
      <c r="A58" s="14"/>
      <c r="B58" s="5" t="s">
        <v>56</v>
      </c>
      <c r="C58" s="5" t="s">
        <v>26</v>
      </c>
      <c r="D58" s="5">
        <v>1</v>
      </c>
      <c r="E58" s="91">
        <f t="shared" ref="E58:E60" si="30">E57</f>
        <v>122</v>
      </c>
      <c r="F58" s="29">
        <f>D58/E58</f>
        <v>8.1967213114754103E-3</v>
      </c>
      <c r="G58" s="18">
        <v>1</v>
      </c>
      <c r="H58" s="6">
        <v>31479</v>
      </c>
      <c r="I58" s="81">
        <f t="shared" ref="I58" si="31">F58*H58</f>
        <v>258.02459016393442</v>
      </c>
      <c r="J58" s="96">
        <f>I58*E56</f>
        <v>31479</v>
      </c>
      <c r="K58" s="96"/>
      <c r="L58" s="96"/>
    </row>
    <row r="59" spans="1:12">
      <c r="A59" s="14"/>
      <c r="B59" s="5" t="s">
        <v>45</v>
      </c>
      <c r="C59" s="5" t="s">
        <v>26</v>
      </c>
      <c r="D59" s="5">
        <v>1</v>
      </c>
      <c r="E59" s="91">
        <f t="shared" si="30"/>
        <v>122</v>
      </c>
      <c r="F59" s="29">
        <f>D59/E59</f>
        <v>8.1967213114754103E-3</v>
      </c>
      <c r="G59" s="18">
        <v>1</v>
      </c>
      <c r="H59" s="6">
        <v>15000</v>
      </c>
      <c r="I59" s="81">
        <f t="shared" si="28"/>
        <v>122.95081967213116</v>
      </c>
      <c r="J59" s="96">
        <f>I59*E57</f>
        <v>15000.000000000002</v>
      </c>
      <c r="K59" s="96"/>
      <c r="L59" s="96"/>
    </row>
    <row r="60" spans="1:12" ht="15.75" thickBot="1">
      <c r="A60" s="15"/>
      <c r="B60" s="16"/>
      <c r="C60" s="16"/>
      <c r="D60" s="16"/>
      <c r="E60" s="91">
        <f t="shared" si="30"/>
        <v>122</v>
      </c>
      <c r="F60" s="38"/>
      <c r="G60" s="39"/>
      <c r="H60" s="17"/>
      <c r="I60" s="82">
        <f>SUM(I56:I59)</f>
        <v>544.9098360655737</v>
      </c>
      <c r="J60" s="96">
        <f>I60*E59</f>
        <v>66478.999999999985</v>
      </c>
      <c r="K60" s="96"/>
      <c r="L60" s="96"/>
    </row>
    <row r="61" spans="1:12" ht="15.75" thickBot="1">
      <c r="A61" s="52"/>
      <c r="B61" s="53"/>
      <c r="C61" s="53"/>
      <c r="D61" s="53"/>
      <c r="E61" s="100"/>
      <c r="F61" s="54"/>
      <c r="G61" s="55" t="s">
        <v>48</v>
      </c>
      <c r="H61" s="56"/>
      <c r="I61" s="83">
        <f>I60-I62</f>
        <v>544.9098360655737</v>
      </c>
      <c r="J61" s="106">
        <f>I61*E56</f>
        <v>66478.999999999985</v>
      </c>
      <c r="K61" s="95">
        <v>66479</v>
      </c>
      <c r="L61" s="95">
        <f>K61-J61</f>
        <v>0</v>
      </c>
    </row>
    <row r="62" spans="1:12" ht="15.75" thickBot="1">
      <c r="A62" s="47"/>
      <c r="B62" s="32"/>
      <c r="C62" s="32"/>
      <c r="D62" s="32"/>
      <c r="E62" s="94"/>
      <c r="F62" s="49"/>
      <c r="G62" s="50" t="s">
        <v>49</v>
      </c>
      <c r="H62" s="33"/>
      <c r="I62" s="84">
        <v>0</v>
      </c>
      <c r="J62" s="48">
        <f>I62*131</f>
        <v>0</v>
      </c>
    </row>
    <row r="63" spans="1:12">
      <c r="A63" s="11" t="s">
        <v>41</v>
      </c>
      <c r="B63" s="12" t="s">
        <v>21</v>
      </c>
      <c r="C63" s="12" t="s">
        <v>22</v>
      </c>
      <c r="D63" s="12">
        <v>40</v>
      </c>
      <c r="E63" s="99">
        <f>з.пл.!E14</f>
        <v>120</v>
      </c>
      <c r="F63" s="28">
        <f>D63/E63</f>
        <v>0.33333333333333331</v>
      </c>
      <c r="G63" s="19">
        <v>1</v>
      </c>
      <c r="H63" s="13">
        <v>250</v>
      </c>
      <c r="I63" s="80">
        <f>F63*H63</f>
        <v>83.333333333333329</v>
      </c>
      <c r="J63" s="96">
        <f>I63*E63</f>
        <v>10000</v>
      </c>
      <c r="K63" s="96"/>
      <c r="L63" s="96"/>
    </row>
    <row r="64" spans="1:12">
      <c r="A64" s="14"/>
      <c r="B64" s="5" t="s">
        <v>44</v>
      </c>
      <c r="C64" s="5" t="s">
        <v>26</v>
      </c>
      <c r="D64" s="5">
        <v>1</v>
      </c>
      <c r="E64" s="91">
        <f>E63</f>
        <v>120</v>
      </c>
      <c r="F64" s="29">
        <f>D64/E64</f>
        <v>8.3333333333333332E-3</v>
      </c>
      <c r="G64" s="18">
        <v>1</v>
      </c>
      <c r="H64" s="6">
        <v>15000</v>
      </c>
      <c r="I64" s="81">
        <f t="shared" ref="I64:I66" si="32">F64*H64</f>
        <v>125</v>
      </c>
      <c r="J64" s="96">
        <f t="shared" ref="J64" si="33">I64*E63</f>
        <v>15000</v>
      </c>
      <c r="K64" s="96"/>
      <c r="L64" s="96"/>
    </row>
    <row r="65" spans="1:12">
      <c r="A65" s="14"/>
      <c r="B65" s="5" t="s">
        <v>56</v>
      </c>
      <c r="C65" s="5" t="s">
        <v>26</v>
      </c>
      <c r="D65" s="5">
        <v>1</v>
      </c>
      <c r="E65" s="91">
        <f t="shared" ref="E65:E67" si="34">E64</f>
        <v>120</v>
      </c>
      <c r="F65" s="29">
        <f>D65/E65</f>
        <v>8.3333333333333332E-3</v>
      </c>
      <c r="G65" s="18">
        <v>1</v>
      </c>
      <c r="H65" s="6">
        <v>9868</v>
      </c>
      <c r="I65" s="81">
        <f t="shared" ref="I65" si="35">F65*H65</f>
        <v>82.233333333333334</v>
      </c>
      <c r="J65" s="96">
        <f>I65*E63</f>
        <v>9868</v>
      </c>
      <c r="K65" s="96"/>
      <c r="L65" s="96"/>
    </row>
    <row r="66" spans="1:12">
      <c r="A66" s="14"/>
      <c r="B66" s="5" t="s">
        <v>45</v>
      </c>
      <c r="C66" s="5" t="s">
        <v>26</v>
      </c>
      <c r="D66" s="5">
        <v>1</v>
      </c>
      <c r="E66" s="91">
        <f t="shared" si="34"/>
        <v>120</v>
      </c>
      <c r="F66" s="29">
        <f>D66/E66</f>
        <v>8.3333333333333332E-3</v>
      </c>
      <c r="G66" s="18">
        <v>1</v>
      </c>
      <c r="H66" s="6">
        <v>20000</v>
      </c>
      <c r="I66" s="81">
        <f t="shared" si="32"/>
        <v>166.66666666666666</v>
      </c>
      <c r="J66" s="96">
        <f>I66*E64</f>
        <v>20000</v>
      </c>
      <c r="K66" s="96"/>
      <c r="L66" s="96"/>
    </row>
    <row r="67" spans="1:12" ht="15.75" thickBot="1">
      <c r="A67" s="15"/>
      <c r="B67" s="16"/>
      <c r="C67" s="16"/>
      <c r="D67" s="16"/>
      <c r="E67" s="91">
        <f t="shared" si="34"/>
        <v>120</v>
      </c>
      <c r="F67" s="38"/>
      <c r="G67" s="39"/>
      <c r="H67" s="17"/>
      <c r="I67" s="82">
        <f>SUM(I63:I66)</f>
        <v>457.23333333333335</v>
      </c>
      <c r="J67" s="96">
        <f>I67*E66</f>
        <v>54868</v>
      </c>
      <c r="K67" s="96"/>
      <c r="L67" s="96"/>
    </row>
    <row r="68" spans="1:12" ht="15.75" thickBot="1">
      <c r="A68" s="52"/>
      <c r="B68" s="53"/>
      <c r="C68" s="53"/>
      <c r="D68" s="53"/>
      <c r="E68" s="100"/>
      <c r="F68" s="54"/>
      <c r="G68" s="55" t="s">
        <v>48</v>
      </c>
      <c r="H68" s="56"/>
      <c r="I68" s="83">
        <f>I67-I69</f>
        <v>457.23333333333335</v>
      </c>
      <c r="J68" s="106">
        <f>I68*E63</f>
        <v>54868</v>
      </c>
      <c r="K68" s="95">
        <v>54868</v>
      </c>
      <c r="L68" s="95">
        <f>K68-J68</f>
        <v>0</v>
      </c>
    </row>
    <row r="69" spans="1:12">
      <c r="A69" s="47"/>
      <c r="B69" s="32"/>
      <c r="C69" s="32"/>
      <c r="D69" s="32"/>
      <c r="E69" s="94"/>
      <c r="F69" s="49"/>
      <c r="G69" s="50" t="s">
        <v>49</v>
      </c>
      <c r="H69" s="33"/>
      <c r="I69" s="84">
        <v>0</v>
      </c>
      <c r="J69" s="48">
        <f>I69*126</f>
        <v>0</v>
      </c>
    </row>
    <row r="70" spans="1:12" ht="15.75" thickBot="1">
      <c r="I70" s="35"/>
    </row>
    <row r="71" spans="1:12">
      <c r="A71" s="11" t="s">
        <v>30</v>
      </c>
      <c r="B71" s="12" t="s">
        <v>21</v>
      </c>
      <c r="C71" s="12" t="s">
        <v>22</v>
      </c>
      <c r="D71" s="12">
        <v>50</v>
      </c>
      <c r="E71" s="99">
        <f>з.пл.!E15</f>
        <v>173</v>
      </c>
      <c r="F71" s="28">
        <f>D71/E71</f>
        <v>0.28901734104046245</v>
      </c>
      <c r="G71" s="19">
        <v>1</v>
      </c>
      <c r="H71" s="13">
        <v>250</v>
      </c>
      <c r="I71" s="80">
        <f>F71*H71</f>
        <v>72.25433526011561</v>
      </c>
      <c r="J71" s="96">
        <f>I71*E71</f>
        <v>12500</v>
      </c>
      <c r="K71" s="96"/>
      <c r="L71" s="96"/>
    </row>
    <row r="72" spans="1:12">
      <c r="A72" s="14"/>
      <c r="B72" s="5" t="s">
        <v>44</v>
      </c>
      <c r="C72" s="5" t="s">
        <v>26</v>
      </c>
      <c r="D72" s="5">
        <v>1</v>
      </c>
      <c r="E72" s="91">
        <f>E71</f>
        <v>173</v>
      </c>
      <c r="F72" s="29">
        <f>D72/E72</f>
        <v>5.7803468208092483E-3</v>
      </c>
      <c r="G72" s="18">
        <v>1</v>
      </c>
      <c r="H72" s="6">
        <v>5000</v>
      </c>
      <c r="I72" s="81">
        <f t="shared" ref="I72:I74" si="36">F72*H72</f>
        <v>28.901734104046241</v>
      </c>
      <c r="J72" s="96">
        <f t="shared" ref="J72" si="37">I72*E71</f>
        <v>5000</v>
      </c>
      <c r="K72" s="96"/>
      <c r="L72" s="96"/>
    </row>
    <row r="73" spans="1:12">
      <c r="A73" s="14"/>
      <c r="B73" s="5" t="s">
        <v>56</v>
      </c>
      <c r="C73" s="5" t="s">
        <v>26</v>
      </c>
      <c r="D73" s="5">
        <v>1</v>
      </c>
      <c r="E73" s="91">
        <f t="shared" ref="E73:E75" si="38">E72</f>
        <v>173</v>
      </c>
      <c r="F73" s="29">
        <f>D73/E73</f>
        <v>5.7803468208092483E-3</v>
      </c>
      <c r="G73" s="18">
        <v>2</v>
      </c>
      <c r="H73" s="6">
        <v>19737</v>
      </c>
      <c r="I73" s="81">
        <f t="shared" ref="I73" si="39">F73*H73</f>
        <v>114.08670520231213</v>
      </c>
      <c r="J73" s="96">
        <f>I73*E71</f>
        <v>19737</v>
      </c>
      <c r="K73" s="96"/>
      <c r="L73" s="96"/>
    </row>
    <row r="74" spans="1:12">
      <c r="A74" s="14"/>
      <c r="B74" s="5" t="s">
        <v>45</v>
      </c>
      <c r="C74" s="5" t="s">
        <v>26</v>
      </c>
      <c r="D74" s="5">
        <v>1</v>
      </c>
      <c r="E74" s="91">
        <f t="shared" si="38"/>
        <v>173</v>
      </c>
      <c r="F74" s="29">
        <f>D74/E74</f>
        <v>5.7803468208092483E-3</v>
      </c>
      <c r="G74" s="18">
        <v>2</v>
      </c>
      <c r="H74" s="6">
        <v>61100.38</v>
      </c>
      <c r="I74" s="81">
        <f t="shared" si="36"/>
        <v>353.18138728323697</v>
      </c>
      <c r="J74" s="96">
        <f>I74*E72</f>
        <v>61100.38</v>
      </c>
      <c r="K74" s="96"/>
      <c r="L74" s="96"/>
    </row>
    <row r="75" spans="1:12" ht="15.75" thickBot="1">
      <c r="A75" s="15"/>
      <c r="B75" s="16"/>
      <c r="C75" s="16"/>
      <c r="D75" s="16"/>
      <c r="E75" s="91">
        <f t="shared" si="38"/>
        <v>173</v>
      </c>
      <c r="F75" s="38"/>
      <c r="G75" s="39"/>
      <c r="H75" s="17"/>
      <c r="I75" s="82">
        <f>SUM(I71:I74)</f>
        <v>568.42416184971103</v>
      </c>
      <c r="J75" s="96">
        <f>I75*E74</f>
        <v>98337.38</v>
      </c>
      <c r="K75" s="96"/>
      <c r="L75" s="96"/>
    </row>
    <row r="76" spans="1:12" ht="15.75" thickBot="1">
      <c r="A76" s="52"/>
      <c r="B76" s="53"/>
      <c r="C76" s="53"/>
      <c r="D76" s="53"/>
      <c r="E76" s="100"/>
      <c r="F76" s="54"/>
      <c r="G76" s="55" t="s">
        <v>48</v>
      </c>
      <c r="H76" s="56"/>
      <c r="I76" s="83">
        <f>I75-I77</f>
        <v>568.42416184971103</v>
      </c>
      <c r="J76" s="106">
        <f>I76*E71</f>
        <v>98337.38</v>
      </c>
      <c r="K76" s="95">
        <v>98337.38</v>
      </c>
      <c r="L76" s="95">
        <f>K76-J76</f>
        <v>0</v>
      </c>
    </row>
    <row r="77" spans="1:12" ht="15.75" thickBot="1">
      <c r="A77" s="47"/>
      <c r="B77" s="32"/>
      <c r="C77" s="32"/>
      <c r="D77" s="32"/>
      <c r="E77" s="94"/>
      <c r="F77" s="49"/>
      <c r="G77" s="50" t="s">
        <v>49</v>
      </c>
      <c r="H77" s="33"/>
      <c r="I77" s="84">
        <v>0</v>
      </c>
      <c r="J77" s="48">
        <f>I77*206</f>
        <v>0</v>
      </c>
    </row>
    <row r="78" spans="1:12">
      <c r="A78" s="11" t="s">
        <v>36</v>
      </c>
      <c r="B78" s="12" t="s">
        <v>21</v>
      </c>
      <c r="C78" s="12" t="s">
        <v>22</v>
      </c>
      <c r="D78" s="12">
        <v>80</v>
      </c>
      <c r="E78" s="99">
        <f>з.пл.!E16</f>
        <v>248</v>
      </c>
      <c r="F78" s="28">
        <f>D78/E78</f>
        <v>0.32258064516129031</v>
      </c>
      <c r="G78" s="19">
        <v>1</v>
      </c>
      <c r="H78" s="13">
        <v>250</v>
      </c>
      <c r="I78" s="80">
        <f>F78*H78</f>
        <v>80.645161290322577</v>
      </c>
      <c r="J78" s="96">
        <f>I78*E78</f>
        <v>20000</v>
      </c>
      <c r="K78" s="96"/>
      <c r="L78" s="96"/>
    </row>
    <row r="79" spans="1:12">
      <c r="A79" s="14"/>
      <c r="B79" s="5" t="s">
        <v>44</v>
      </c>
      <c r="C79" s="5" t="s">
        <v>26</v>
      </c>
      <c r="D79" s="5">
        <v>1</v>
      </c>
      <c r="E79" s="91">
        <f>E78</f>
        <v>248</v>
      </c>
      <c r="F79" s="29">
        <f>D79/E79</f>
        <v>4.0322580645161289E-3</v>
      </c>
      <c r="G79" s="18">
        <v>1</v>
      </c>
      <c r="H79" s="6">
        <v>15000</v>
      </c>
      <c r="I79" s="81">
        <f t="shared" ref="I79:I81" si="40">F79*H79</f>
        <v>60.483870967741936</v>
      </c>
      <c r="J79" s="96">
        <f t="shared" ref="J79" si="41">I79*E78</f>
        <v>15000</v>
      </c>
      <c r="K79" s="96"/>
      <c r="L79" s="96"/>
    </row>
    <row r="80" spans="1:12">
      <c r="A80" s="14"/>
      <c r="B80" s="5" t="s">
        <v>56</v>
      </c>
      <c r="C80" s="5" t="s">
        <v>26</v>
      </c>
      <c r="D80" s="5">
        <v>1</v>
      </c>
      <c r="E80" s="91">
        <f t="shared" ref="E80:E82" si="42">E79</f>
        <v>248</v>
      </c>
      <c r="F80" s="29">
        <f>D80/E80</f>
        <v>4.0322580645161289E-3</v>
      </c>
      <c r="G80" s="18">
        <v>1</v>
      </c>
      <c r="H80" s="6">
        <v>44059</v>
      </c>
      <c r="I80" s="81">
        <f t="shared" ref="I80" si="43">F80*H80</f>
        <v>177.65725806451613</v>
      </c>
      <c r="J80" s="96">
        <f>I80*E78</f>
        <v>44059</v>
      </c>
      <c r="K80" s="96"/>
      <c r="L80" s="96"/>
    </row>
    <row r="81" spans="1:12">
      <c r="A81" s="14"/>
      <c r="B81" s="5" t="s">
        <v>45</v>
      </c>
      <c r="C81" s="5" t="s">
        <v>26</v>
      </c>
      <c r="D81" s="5">
        <v>1</v>
      </c>
      <c r="E81" s="91">
        <f t="shared" si="42"/>
        <v>248</v>
      </c>
      <c r="F81" s="29">
        <f>D81/E81</f>
        <v>4.0322580645161289E-3</v>
      </c>
      <c r="G81" s="18">
        <v>1</v>
      </c>
      <c r="H81" s="6">
        <f>15000+72258.57</f>
        <v>87258.57</v>
      </c>
      <c r="I81" s="81">
        <f t="shared" si="40"/>
        <v>351.84907258064516</v>
      </c>
      <c r="J81" s="96">
        <f>I81*E79</f>
        <v>87258.569999999992</v>
      </c>
      <c r="K81" s="96"/>
      <c r="L81" s="96"/>
    </row>
    <row r="82" spans="1:12" ht="15.75" thickBot="1">
      <c r="A82" s="15"/>
      <c r="B82" s="16"/>
      <c r="C82" s="16"/>
      <c r="D82" s="16"/>
      <c r="E82" s="91">
        <f t="shared" si="42"/>
        <v>248</v>
      </c>
      <c r="F82" s="38"/>
      <c r="G82" s="39"/>
      <c r="H82" s="17"/>
      <c r="I82" s="82">
        <f>SUM(I78:I81)</f>
        <v>670.63536290322577</v>
      </c>
      <c r="J82" s="96">
        <f>I82*E81</f>
        <v>166317.56999999998</v>
      </c>
      <c r="K82" s="96"/>
      <c r="L82" s="96"/>
    </row>
    <row r="83" spans="1:12" ht="15.75" thickBot="1">
      <c r="A83" s="52"/>
      <c r="B83" s="53"/>
      <c r="C83" s="53"/>
      <c r="D83" s="53"/>
      <c r="E83" s="100"/>
      <c r="F83" s="54"/>
      <c r="G83" s="55" t="s">
        <v>48</v>
      </c>
      <c r="H83" s="56"/>
      <c r="I83" s="83">
        <f>I82-I84</f>
        <v>670.63536290322577</v>
      </c>
      <c r="J83" s="106">
        <f>I83*E78</f>
        <v>166317.56999999998</v>
      </c>
      <c r="K83" s="95">
        <v>166317.57</v>
      </c>
      <c r="L83" s="95">
        <f>K83-J83</f>
        <v>0</v>
      </c>
    </row>
    <row r="84" spans="1:12">
      <c r="A84" s="47"/>
      <c r="B84" s="32"/>
      <c r="C84" s="32"/>
      <c r="D84" s="32"/>
      <c r="E84" s="94"/>
      <c r="F84" s="49"/>
      <c r="G84" s="50" t="s">
        <v>49</v>
      </c>
      <c r="H84" s="33"/>
      <c r="I84" s="84">
        <v>0</v>
      </c>
      <c r="J84" s="48">
        <f>I84*275</f>
        <v>0</v>
      </c>
    </row>
    <row r="85" spans="1:12" ht="15.75" thickBot="1">
      <c r="I85" s="35"/>
    </row>
    <row r="86" spans="1:12">
      <c r="A86" s="11" t="s">
        <v>37</v>
      </c>
      <c r="B86" s="12" t="s">
        <v>21</v>
      </c>
      <c r="C86" s="12" t="s">
        <v>22</v>
      </c>
      <c r="D86" s="12">
        <v>90</v>
      </c>
      <c r="E86" s="99">
        <f>з.пл.!E18</f>
        <v>315</v>
      </c>
      <c r="F86" s="28">
        <f>D86/E86</f>
        <v>0.2857142857142857</v>
      </c>
      <c r="G86" s="19">
        <v>1</v>
      </c>
      <c r="H86" s="13">
        <v>250</v>
      </c>
      <c r="I86" s="80">
        <f>F86*H86</f>
        <v>71.428571428571431</v>
      </c>
      <c r="J86" s="96">
        <f>I86*E86</f>
        <v>22500</v>
      </c>
      <c r="K86" s="96"/>
      <c r="L86" s="96"/>
    </row>
    <row r="87" spans="1:12">
      <c r="A87" s="14"/>
      <c r="B87" s="5" t="s">
        <v>44</v>
      </c>
      <c r="C87" s="5" t="s">
        <v>26</v>
      </c>
      <c r="D87" s="5">
        <v>1</v>
      </c>
      <c r="E87" s="91">
        <f>E86</f>
        <v>315</v>
      </c>
      <c r="F87" s="29">
        <f>D87/E87</f>
        <v>3.1746031746031746E-3</v>
      </c>
      <c r="G87" s="18">
        <v>1</v>
      </c>
      <c r="H87" s="6">
        <v>15000</v>
      </c>
      <c r="I87" s="81">
        <f t="shared" ref="I87:I89" si="44">F87*H87</f>
        <v>47.61904761904762</v>
      </c>
      <c r="J87" s="96">
        <f t="shared" ref="J87" si="45">I87*E86</f>
        <v>15000</v>
      </c>
      <c r="K87" s="96"/>
      <c r="L87" s="96"/>
    </row>
    <row r="88" spans="1:12">
      <c r="A88" s="14"/>
      <c r="B88" s="5" t="s">
        <v>56</v>
      </c>
      <c r="C88" s="5" t="s">
        <v>26</v>
      </c>
      <c r="D88" s="5">
        <v>1</v>
      </c>
      <c r="E88" s="91">
        <f t="shared" ref="E88:E90" si="46">E87</f>
        <v>315</v>
      </c>
      <c r="F88" s="29">
        <f>D88/E88</f>
        <v>3.1746031746031746E-3</v>
      </c>
      <c r="G88" s="18">
        <v>1</v>
      </c>
      <c r="H88" s="6">
        <v>40412.230000000003</v>
      </c>
      <c r="I88" s="81">
        <f t="shared" ref="I88" si="47">F88*H88</f>
        <v>128.29279365079367</v>
      </c>
      <c r="J88" s="96">
        <f>I88*E86</f>
        <v>40412.230000000003</v>
      </c>
      <c r="K88" s="96"/>
      <c r="L88" s="96"/>
    </row>
    <row r="89" spans="1:12">
      <c r="A89" s="14"/>
      <c r="B89" s="5" t="s">
        <v>45</v>
      </c>
      <c r="C89" s="5" t="s">
        <v>26</v>
      </c>
      <c r="D89" s="5">
        <v>1</v>
      </c>
      <c r="E89" s="91">
        <f t="shared" si="46"/>
        <v>315</v>
      </c>
      <c r="F89" s="29">
        <f>D89/E89</f>
        <v>3.1746031746031746E-3</v>
      </c>
      <c r="G89" s="18">
        <v>1</v>
      </c>
      <c r="H89" s="6">
        <v>75000</v>
      </c>
      <c r="I89" s="81">
        <f t="shared" si="44"/>
        <v>238.0952380952381</v>
      </c>
      <c r="J89" s="96">
        <f>I89*E87</f>
        <v>75000</v>
      </c>
      <c r="K89" s="96"/>
      <c r="L89" s="96"/>
    </row>
    <row r="90" spans="1:12" ht="15.75" thickBot="1">
      <c r="A90" s="15"/>
      <c r="B90" s="16"/>
      <c r="C90" s="16"/>
      <c r="D90" s="16"/>
      <c r="E90" s="91">
        <f t="shared" si="46"/>
        <v>315</v>
      </c>
      <c r="F90" s="38"/>
      <c r="G90" s="39"/>
      <c r="H90" s="17"/>
      <c r="I90" s="82">
        <f>SUM(I86:I89)</f>
        <v>485.43565079365078</v>
      </c>
      <c r="J90" s="96">
        <f>I90*E89</f>
        <v>152912.22999999998</v>
      </c>
      <c r="K90" s="96"/>
      <c r="L90" s="96"/>
    </row>
    <row r="91" spans="1:12" ht="15.75" thickBot="1">
      <c r="A91" s="52"/>
      <c r="B91" s="53"/>
      <c r="C91" s="53"/>
      <c r="D91" s="53"/>
      <c r="E91" s="100"/>
      <c r="F91" s="54"/>
      <c r="G91" s="55" t="s">
        <v>48</v>
      </c>
      <c r="H91" s="56"/>
      <c r="I91" s="83">
        <f>I90-I92</f>
        <v>485.43565079365078</v>
      </c>
      <c r="J91" s="106">
        <f>I91*E86</f>
        <v>152912.22999999998</v>
      </c>
      <c r="K91" s="95">
        <v>152912.23000000001</v>
      </c>
      <c r="L91" s="95">
        <f>K91-J91</f>
        <v>0</v>
      </c>
    </row>
    <row r="92" spans="1:12" ht="15.75" thickBot="1">
      <c r="A92" s="47"/>
      <c r="B92" s="32"/>
      <c r="C92" s="32"/>
      <c r="D92" s="32"/>
      <c r="E92" s="94"/>
      <c r="F92" s="49"/>
      <c r="G92" s="50" t="s">
        <v>49</v>
      </c>
      <c r="H92" s="33"/>
      <c r="I92" s="84">
        <v>0</v>
      </c>
      <c r="J92" s="48">
        <f>I92*E87</f>
        <v>0</v>
      </c>
    </row>
    <row r="93" spans="1:12">
      <c r="A93" s="11" t="s">
        <v>38</v>
      </c>
      <c r="B93" s="12" t="s">
        <v>21</v>
      </c>
      <c r="C93" s="12" t="s">
        <v>22</v>
      </c>
      <c r="D93" s="12">
        <v>100</v>
      </c>
      <c r="E93" s="99">
        <f>з.пл.!E19</f>
        <v>400</v>
      </c>
      <c r="F93" s="28">
        <f>D93/E93</f>
        <v>0.25</v>
      </c>
      <c r="G93" s="19">
        <v>1</v>
      </c>
      <c r="H93" s="13">
        <v>250</v>
      </c>
      <c r="I93" s="80">
        <f>F93*H93</f>
        <v>62.5</v>
      </c>
      <c r="J93" s="96">
        <f>I93*E93</f>
        <v>25000</v>
      </c>
      <c r="K93" s="96"/>
      <c r="L93" s="96"/>
    </row>
    <row r="94" spans="1:12">
      <c r="A94" s="14"/>
      <c r="B94" s="5" t="s">
        <v>44</v>
      </c>
      <c r="C94" s="5" t="s">
        <v>26</v>
      </c>
      <c r="D94" s="5">
        <v>1</v>
      </c>
      <c r="E94" s="91">
        <f>E93</f>
        <v>400</v>
      </c>
      <c r="F94" s="29">
        <f>D94/E94</f>
        <v>2.5000000000000001E-3</v>
      </c>
      <c r="G94" s="18">
        <v>1</v>
      </c>
      <c r="H94" s="6">
        <v>15000</v>
      </c>
      <c r="I94" s="81">
        <f t="shared" ref="I94:I96" si="48">F94*H94</f>
        <v>37.5</v>
      </c>
      <c r="J94" s="96">
        <f t="shared" ref="J94" si="49">I94*E93</f>
        <v>15000</v>
      </c>
      <c r="K94" s="96"/>
      <c r="L94" s="96"/>
    </row>
    <row r="95" spans="1:12">
      <c r="A95" s="14"/>
      <c r="B95" s="5" t="s">
        <v>56</v>
      </c>
      <c r="C95" s="5" t="s">
        <v>26</v>
      </c>
      <c r="D95" s="5">
        <v>1</v>
      </c>
      <c r="E95" s="91">
        <f t="shared" ref="E95:E97" si="50">E94</f>
        <v>400</v>
      </c>
      <c r="F95" s="29">
        <f>D95/E95</f>
        <v>2.5000000000000001E-3</v>
      </c>
      <c r="G95" s="18">
        <v>1</v>
      </c>
      <c r="H95" s="6">
        <v>34120</v>
      </c>
      <c r="I95" s="81">
        <f t="shared" ref="I95" si="51">F95*H95</f>
        <v>85.3</v>
      </c>
      <c r="J95" s="96">
        <f>I95*E93</f>
        <v>34120</v>
      </c>
      <c r="K95" s="96"/>
      <c r="L95" s="96"/>
    </row>
    <row r="96" spans="1:12">
      <c r="A96" s="14"/>
      <c r="B96" s="5" t="s">
        <v>45</v>
      </c>
      <c r="C96" s="5" t="s">
        <v>26</v>
      </c>
      <c r="D96" s="5">
        <v>1</v>
      </c>
      <c r="E96" s="91">
        <f t="shared" si="50"/>
        <v>400</v>
      </c>
      <c r="F96" s="29">
        <f>D96/E96</f>
        <v>2.5000000000000001E-3</v>
      </c>
      <c r="G96" s="18">
        <v>1</v>
      </c>
      <c r="H96" s="6">
        <v>89388.67</v>
      </c>
      <c r="I96" s="81">
        <f t="shared" si="48"/>
        <v>223.471675</v>
      </c>
      <c r="J96" s="96">
        <f>I96*E94</f>
        <v>89388.67</v>
      </c>
      <c r="K96" s="96"/>
      <c r="L96" s="96"/>
    </row>
    <row r="97" spans="1:19" ht="15.75" thickBot="1">
      <c r="A97" s="15"/>
      <c r="B97" s="16"/>
      <c r="C97" s="16"/>
      <c r="D97" s="16"/>
      <c r="E97" s="91">
        <f t="shared" si="50"/>
        <v>400</v>
      </c>
      <c r="F97" s="38"/>
      <c r="G97" s="39"/>
      <c r="H97" s="17"/>
      <c r="I97" s="82">
        <f>SUM(I93:I96)</f>
        <v>408.77167500000002</v>
      </c>
      <c r="J97" s="96">
        <f>I97*E96</f>
        <v>163508.67000000001</v>
      </c>
      <c r="K97" s="96"/>
      <c r="L97" s="96"/>
    </row>
    <row r="98" spans="1:19" ht="15.75" thickBot="1">
      <c r="A98" s="52"/>
      <c r="B98" s="53"/>
      <c r="C98" s="53"/>
      <c r="D98" s="53"/>
      <c r="E98" s="100"/>
      <c r="F98" s="54"/>
      <c r="G98" s="55" t="s">
        <v>48</v>
      </c>
      <c r="H98" s="56"/>
      <c r="I98" s="83">
        <f>I97-I99</f>
        <v>408.77167500000002</v>
      </c>
      <c r="J98" s="106">
        <f>I98*E93</f>
        <v>163508.67000000001</v>
      </c>
      <c r="K98" s="95">
        <v>163508.67000000001</v>
      </c>
      <c r="L98" s="95">
        <f>K98-J98</f>
        <v>0</v>
      </c>
    </row>
    <row r="99" spans="1:19" ht="15.75" thickBot="1">
      <c r="A99" s="59"/>
      <c r="B99" s="60"/>
      <c r="C99" s="60"/>
      <c r="D99" s="60"/>
      <c r="E99" s="101"/>
      <c r="F99" s="61"/>
      <c r="G99" s="62" t="s">
        <v>49</v>
      </c>
      <c r="H99" s="63"/>
      <c r="I99" s="85">
        <v>0</v>
      </c>
      <c r="J99" s="48">
        <f>I99*E94</f>
        <v>0</v>
      </c>
    </row>
    <row r="100" spans="1:19">
      <c r="A100" s="40"/>
      <c r="B100" s="41"/>
      <c r="C100" s="41"/>
      <c r="D100" s="41"/>
      <c r="E100" s="102"/>
      <c r="F100" s="42"/>
      <c r="G100" s="43"/>
      <c r="H100" s="44"/>
      <c r="I100" s="72"/>
    </row>
    <row r="101" spans="1:19" ht="18.75">
      <c r="A101" s="31" t="s">
        <v>51</v>
      </c>
      <c r="I101" s="71"/>
      <c r="S101"/>
    </row>
    <row r="102" spans="1:19" ht="15.75" thickBot="1">
      <c r="I102" s="71"/>
    </row>
    <row r="103" spans="1:19" ht="75">
      <c r="A103" s="21" t="s">
        <v>3</v>
      </c>
      <c r="B103" s="22" t="s">
        <v>14</v>
      </c>
      <c r="C103" s="22" t="s">
        <v>19</v>
      </c>
      <c r="D103" s="22" t="s">
        <v>15</v>
      </c>
      <c r="E103" s="97" t="s">
        <v>43</v>
      </c>
      <c r="F103" s="22" t="s">
        <v>42</v>
      </c>
      <c r="G103" s="22" t="s">
        <v>16</v>
      </c>
      <c r="H103" s="22" t="s">
        <v>17</v>
      </c>
      <c r="I103" s="73" t="s">
        <v>10</v>
      </c>
      <c r="J103" s="2"/>
      <c r="K103" s="2"/>
      <c r="L103" s="2"/>
    </row>
    <row r="104" spans="1:19" ht="15.75" thickBot="1">
      <c r="A104" s="36">
        <v>1</v>
      </c>
      <c r="B104" s="9">
        <v>2</v>
      </c>
      <c r="C104" s="9">
        <v>3</v>
      </c>
      <c r="D104" s="9">
        <v>4</v>
      </c>
      <c r="E104" s="98">
        <v>5</v>
      </c>
      <c r="F104" s="9" t="s">
        <v>18</v>
      </c>
      <c r="G104" s="9">
        <v>7</v>
      </c>
      <c r="H104" s="8">
        <v>8</v>
      </c>
      <c r="I104" s="74" t="s">
        <v>20</v>
      </c>
    </row>
    <row r="105" spans="1:19">
      <c r="A105" s="11" t="s">
        <v>32</v>
      </c>
      <c r="B105" s="12" t="s">
        <v>47</v>
      </c>
      <c r="C105" s="12" t="s">
        <v>26</v>
      </c>
      <c r="D105" s="12">
        <v>1</v>
      </c>
      <c r="E105" s="92">
        <f>E6</f>
        <v>206</v>
      </c>
      <c r="F105" s="29">
        <f>D105/E105</f>
        <v>4.8543689320388345E-3</v>
      </c>
      <c r="G105" s="19">
        <v>1</v>
      </c>
      <c r="H105" s="13">
        <v>39000</v>
      </c>
      <c r="I105" s="80">
        <f>F105*H105</f>
        <v>189.32038834951456</v>
      </c>
      <c r="J105" s="96">
        <f>I105*E105</f>
        <v>39000</v>
      </c>
      <c r="K105" s="96"/>
    </row>
    <row r="106" spans="1:19">
      <c r="A106" s="14"/>
      <c r="B106" s="5" t="s">
        <v>47</v>
      </c>
      <c r="C106" s="5" t="s">
        <v>26</v>
      </c>
      <c r="D106" s="5">
        <v>1</v>
      </c>
      <c r="E106" s="91">
        <f>E105</f>
        <v>206</v>
      </c>
      <c r="F106" s="29">
        <f>D106/E106</f>
        <v>4.8543689320388345E-3</v>
      </c>
      <c r="G106" s="18">
        <v>1</v>
      </c>
      <c r="H106" s="6">
        <v>1581000</v>
      </c>
      <c r="I106" s="81">
        <f t="shared" ref="I106" si="52">F106*H106</f>
        <v>7674.7572815533977</v>
      </c>
      <c r="J106" s="96">
        <f t="shared" ref="J106:J167" si="53">I106*E106</f>
        <v>1581000</v>
      </c>
      <c r="K106" s="96"/>
    </row>
    <row r="107" spans="1:19">
      <c r="A107" s="14"/>
      <c r="B107" s="5"/>
      <c r="C107" s="5"/>
      <c r="D107" s="5"/>
      <c r="E107" s="91"/>
      <c r="F107" s="29"/>
      <c r="G107" s="18"/>
      <c r="H107" s="6"/>
      <c r="I107" s="86">
        <f>SUM(I105:I106)</f>
        <v>7864.077669902912</v>
      </c>
      <c r="J107" s="96"/>
      <c r="K107" s="96"/>
    </row>
    <row r="108" spans="1:19">
      <c r="A108" s="14"/>
      <c r="B108" s="5"/>
      <c r="C108" s="5"/>
      <c r="D108" s="5"/>
      <c r="E108" s="91"/>
      <c r="F108" s="29"/>
      <c r="G108" s="18" t="s">
        <v>48</v>
      </c>
      <c r="H108" s="6"/>
      <c r="I108" s="86">
        <f>I105</f>
        <v>189.32038834951456</v>
      </c>
      <c r="J108" s="96">
        <f>I108*E105</f>
        <v>39000</v>
      </c>
      <c r="K108" s="95">
        <v>39000</v>
      </c>
    </row>
    <row r="109" spans="1:19" ht="15.75" thickBot="1">
      <c r="A109" s="67"/>
      <c r="B109" s="57"/>
      <c r="C109" s="57"/>
      <c r="D109" s="57"/>
      <c r="E109" s="103"/>
      <c r="F109" s="68"/>
      <c r="G109" s="69" t="s">
        <v>49</v>
      </c>
      <c r="H109" s="58"/>
      <c r="I109" s="87">
        <f>I107-I108</f>
        <v>7674.7572815533977</v>
      </c>
      <c r="J109" s="96">
        <f>I109*E106</f>
        <v>1581000</v>
      </c>
      <c r="K109" s="96">
        <v>1581000</v>
      </c>
    </row>
    <row r="110" spans="1:19">
      <c r="A110" s="11" t="s">
        <v>33</v>
      </c>
      <c r="B110" s="12" t="s">
        <v>47</v>
      </c>
      <c r="C110" s="12" t="s">
        <v>26</v>
      </c>
      <c r="D110" s="12">
        <v>1</v>
      </c>
      <c r="E110" s="92">
        <f>E13</f>
        <v>165</v>
      </c>
      <c r="F110" s="28">
        <f>D110/E110</f>
        <v>6.0606060606060606E-3</v>
      </c>
      <c r="G110" s="19">
        <v>1</v>
      </c>
      <c r="H110" s="13">
        <v>58500</v>
      </c>
      <c r="I110" s="80">
        <f>F110*H110</f>
        <v>354.54545454545456</v>
      </c>
      <c r="J110" s="96">
        <f t="shared" si="53"/>
        <v>58500</v>
      </c>
      <c r="K110" s="96"/>
    </row>
    <row r="111" spans="1:19">
      <c r="A111" s="14"/>
      <c r="B111" s="5" t="s">
        <v>47</v>
      </c>
      <c r="C111" s="5" t="s">
        <v>26</v>
      </c>
      <c r="D111" s="5">
        <v>1</v>
      </c>
      <c r="E111" s="91">
        <f>E110</f>
        <v>165</v>
      </c>
      <c r="F111" s="29">
        <f>D111/E111</f>
        <v>6.0606060606060606E-3</v>
      </c>
      <c r="G111" s="18">
        <v>1</v>
      </c>
      <c r="H111" s="6">
        <v>1413000</v>
      </c>
      <c r="I111" s="81">
        <f t="shared" ref="I111" si="54">F111*H111</f>
        <v>8563.636363636364</v>
      </c>
      <c r="J111" s="96">
        <f t="shared" si="53"/>
        <v>1413000</v>
      </c>
      <c r="K111" s="96"/>
    </row>
    <row r="112" spans="1:19">
      <c r="A112" s="14"/>
      <c r="B112" s="5"/>
      <c r="C112" s="5"/>
      <c r="D112" s="5"/>
      <c r="E112" s="91"/>
      <c r="F112" s="29"/>
      <c r="G112" s="18"/>
      <c r="H112" s="6"/>
      <c r="I112" s="86">
        <f>SUM(I110:I111)</f>
        <v>8918.181818181818</v>
      </c>
      <c r="J112" s="96"/>
      <c r="K112" s="96"/>
    </row>
    <row r="113" spans="1:11">
      <c r="A113" s="14"/>
      <c r="B113" s="5"/>
      <c r="C113" s="5"/>
      <c r="D113" s="5"/>
      <c r="E113" s="91"/>
      <c r="F113" s="29"/>
      <c r="G113" s="18" t="s">
        <v>48</v>
      </c>
      <c r="H113" s="6"/>
      <c r="I113" s="86">
        <f>I110</f>
        <v>354.54545454545456</v>
      </c>
      <c r="J113" s="96">
        <f>I113*E110</f>
        <v>58500</v>
      </c>
      <c r="K113" s="95">
        <v>58500</v>
      </c>
    </row>
    <row r="114" spans="1:11" ht="15.75" thickBot="1">
      <c r="A114" s="15"/>
      <c r="B114" s="16"/>
      <c r="C114" s="16"/>
      <c r="D114" s="16"/>
      <c r="E114" s="93"/>
      <c r="F114" s="38"/>
      <c r="G114" s="39" t="s">
        <v>49</v>
      </c>
      <c r="H114" s="17"/>
      <c r="I114" s="82">
        <f>I112-I113</f>
        <v>8563.636363636364</v>
      </c>
      <c r="J114" s="96">
        <f>I114*E111</f>
        <v>1413000</v>
      </c>
      <c r="K114" s="95">
        <v>1413000</v>
      </c>
    </row>
    <row r="115" spans="1:11">
      <c r="A115" s="11" t="s">
        <v>34</v>
      </c>
      <c r="B115" s="12" t="s">
        <v>47</v>
      </c>
      <c r="C115" s="12" t="s">
        <v>26</v>
      </c>
      <c r="D115" s="12">
        <v>1</v>
      </c>
      <c r="E115" s="92">
        <f>E21</f>
        <v>202</v>
      </c>
      <c r="F115" s="28">
        <f>D115/E115</f>
        <v>4.9504950495049506E-3</v>
      </c>
      <c r="G115" s="19">
        <v>1</v>
      </c>
      <c r="H115" s="13">
        <v>1267500</v>
      </c>
      <c r="I115" s="80">
        <f>F115*H115</f>
        <v>6274.7524752475247</v>
      </c>
      <c r="J115" s="96">
        <f t="shared" si="53"/>
        <v>1267500</v>
      </c>
      <c r="K115" s="96"/>
    </row>
    <row r="116" spans="1:11">
      <c r="A116" s="14"/>
      <c r="B116" s="5" t="s">
        <v>47</v>
      </c>
      <c r="C116" s="5" t="s">
        <v>26</v>
      </c>
      <c r="D116" s="5">
        <v>1</v>
      </c>
      <c r="E116" s="91">
        <f>E115</f>
        <v>202</v>
      </c>
      <c r="F116" s="29">
        <f>D116/E116</f>
        <v>4.9504950495049506E-3</v>
      </c>
      <c r="G116" s="18">
        <v>1</v>
      </c>
      <c r="H116" s="6">
        <v>1099000</v>
      </c>
      <c r="I116" s="81">
        <f t="shared" ref="I116" si="55">F116*H116</f>
        <v>5440.5940594059402</v>
      </c>
      <c r="J116" s="96">
        <f t="shared" si="53"/>
        <v>1099000</v>
      </c>
      <c r="K116" s="96"/>
    </row>
    <row r="117" spans="1:11">
      <c r="A117" s="14"/>
      <c r="B117" s="5"/>
      <c r="C117" s="5"/>
      <c r="D117" s="5"/>
      <c r="E117" s="91"/>
      <c r="F117" s="29"/>
      <c r="G117" s="18"/>
      <c r="H117" s="6"/>
      <c r="I117" s="86">
        <f>SUM(I115:I116)</f>
        <v>11715.346534653465</v>
      </c>
      <c r="J117" s="96"/>
      <c r="K117" s="96"/>
    </row>
    <row r="118" spans="1:11">
      <c r="A118" s="14"/>
      <c r="B118" s="5"/>
      <c r="C118" s="5"/>
      <c r="D118" s="5"/>
      <c r="E118" s="91"/>
      <c r="F118" s="29"/>
      <c r="G118" s="18" t="s">
        <v>48</v>
      </c>
      <c r="H118" s="6"/>
      <c r="I118" s="86">
        <f>I115</f>
        <v>6274.7524752475247</v>
      </c>
      <c r="J118" s="96">
        <f>I118*E115</f>
        <v>1267500</v>
      </c>
      <c r="K118" s="95">
        <v>1267500</v>
      </c>
    </row>
    <row r="119" spans="1:11" ht="15.75" thickBot="1">
      <c r="A119" s="15"/>
      <c r="B119" s="16"/>
      <c r="C119" s="16"/>
      <c r="D119" s="16"/>
      <c r="E119" s="93"/>
      <c r="F119" s="38"/>
      <c r="G119" s="39" t="s">
        <v>49</v>
      </c>
      <c r="H119" s="17"/>
      <c r="I119" s="82">
        <f>I117-I118</f>
        <v>5440.5940594059402</v>
      </c>
      <c r="J119" s="96">
        <f>I119*E116</f>
        <v>1099000</v>
      </c>
      <c r="K119" s="95">
        <v>1099000</v>
      </c>
    </row>
    <row r="120" spans="1:11">
      <c r="A120" s="11" t="s">
        <v>35</v>
      </c>
      <c r="B120" s="12" t="s">
        <v>47</v>
      </c>
      <c r="C120" s="12" t="s">
        <v>26</v>
      </c>
      <c r="D120" s="12">
        <v>1</v>
      </c>
      <c r="E120" s="92">
        <f>E28</f>
        <v>150</v>
      </c>
      <c r="F120" s="28">
        <f>D120/E120</f>
        <v>6.6666666666666671E-3</v>
      </c>
      <c r="G120" s="19">
        <v>1</v>
      </c>
      <c r="H120" s="13">
        <v>0</v>
      </c>
      <c r="I120" s="80">
        <f>F120*H120</f>
        <v>0</v>
      </c>
      <c r="J120" s="96">
        <f t="shared" si="53"/>
        <v>0</v>
      </c>
      <c r="K120" s="96"/>
    </row>
    <row r="121" spans="1:11">
      <c r="A121" s="14"/>
      <c r="B121" s="5" t="s">
        <v>47</v>
      </c>
      <c r="C121" s="5" t="s">
        <v>26</v>
      </c>
      <c r="D121" s="5">
        <v>1</v>
      </c>
      <c r="E121" s="91">
        <f>E120</f>
        <v>150</v>
      </c>
      <c r="F121" s="29">
        <f>D121/E121</f>
        <v>6.6666666666666671E-3</v>
      </c>
      <c r="G121" s="18">
        <v>1</v>
      </c>
      <c r="H121" s="6">
        <v>1140000</v>
      </c>
      <c r="I121" s="81">
        <f t="shared" ref="I121" si="56">F121*H121</f>
        <v>7600.0000000000009</v>
      </c>
      <c r="J121" s="96">
        <f t="shared" si="53"/>
        <v>1140000.0000000002</v>
      </c>
      <c r="K121" s="96"/>
    </row>
    <row r="122" spans="1:11">
      <c r="A122" s="14"/>
      <c r="B122" s="5"/>
      <c r="C122" s="5"/>
      <c r="D122" s="5"/>
      <c r="E122" s="91"/>
      <c r="F122" s="29"/>
      <c r="G122" s="18"/>
      <c r="H122" s="6"/>
      <c r="I122" s="86">
        <f>SUM(I120:I121)</f>
        <v>7600.0000000000009</v>
      </c>
      <c r="J122" s="96"/>
      <c r="K122" s="96"/>
    </row>
    <row r="123" spans="1:11">
      <c r="A123" s="14"/>
      <c r="B123" s="5"/>
      <c r="C123" s="5"/>
      <c r="D123" s="5"/>
      <c r="E123" s="91"/>
      <c r="F123" s="29"/>
      <c r="G123" s="18" t="s">
        <v>48</v>
      </c>
      <c r="H123" s="6"/>
      <c r="I123" s="86">
        <f>I120</f>
        <v>0</v>
      </c>
      <c r="J123" s="96">
        <f>I123*E120</f>
        <v>0</v>
      </c>
      <c r="K123" s="95"/>
    </row>
    <row r="124" spans="1:11" ht="15.75" thickBot="1">
      <c r="A124" s="15"/>
      <c r="B124" s="16"/>
      <c r="C124" s="16"/>
      <c r="D124" s="16"/>
      <c r="E124" s="93"/>
      <c r="F124" s="38"/>
      <c r="G124" s="39" t="s">
        <v>49</v>
      </c>
      <c r="H124" s="17"/>
      <c r="I124" s="82">
        <f>I122-I123</f>
        <v>7600.0000000000009</v>
      </c>
      <c r="J124" s="96">
        <f>I124*E121</f>
        <v>1140000.0000000002</v>
      </c>
      <c r="K124" s="96">
        <v>1140000</v>
      </c>
    </row>
    <row r="125" spans="1:11">
      <c r="A125" s="14" t="s">
        <v>59</v>
      </c>
      <c r="B125" s="12" t="s">
        <v>47</v>
      </c>
      <c r="C125" s="12" t="s">
        <v>26</v>
      </c>
      <c r="D125" s="12">
        <v>1</v>
      </c>
      <c r="E125" s="92">
        <v>35</v>
      </c>
      <c r="F125" s="29">
        <f>D125/E125</f>
        <v>2.8571428571428571E-2</v>
      </c>
      <c r="G125" s="19">
        <v>1</v>
      </c>
      <c r="H125" s="13">
        <v>39000</v>
      </c>
      <c r="I125" s="80">
        <f>F125*H125</f>
        <v>1114.2857142857142</v>
      </c>
      <c r="J125" s="96">
        <f>I125*E125</f>
        <v>39000</v>
      </c>
      <c r="K125" s="96"/>
    </row>
    <row r="126" spans="1:11">
      <c r="A126" s="14"/>
      <c r="B126" s="5" t="s">
        <v>47</v>
      </c>
      <c r="C126" s="5" t="s">
        <v>26</v>
      </c>
      <c r="D126" s="5">
        <v>1</v>
      </c>
      <c r="E126" s="91">
        <v>35</v>
      </c>
      <c r="F126" s="29">
        <f>D126/E126</f>
        <v>2.8571428571428571E-2</v>
      </c>
      <c r="G126" s="18">
        <v>1</v>
      </c>
      <c r="H126" s="6">
        <v>355220</v>
      </c>
      <c r="I126" s="81">
        <f t="shared" ref="I126" si="57">F126*H126</f>
        <v>10149.142857142857</v>
      </c>
      <c r="J126" s="96">
        <f t="shared" si="53"/>
        <v>355220</v>
      </c>
      <c r="K126" s="96"/>
    </row>
    <row r="127" spans="1:11">
      <c r="A127" s="14"/>
      <c r="B127" s="5"/>
      <c r="C127" s="5"/>
      <c r="D127" s="5"/>
      <c r="E127" s="91"/>
      <c r="F127" s="29"/>
      <c r="G127" s="18"/>
      <c r="H127" s="6"/>
      <c r="I127" s="86">
        <f>SUM(I125:I126)</f>
        <v>11263.428571428571</v>
      </c>
      <c r="J127" s="96"/>
      <c r="K127" s="96"/>
    </row>
    <row r="128" spans="1:11">
      <c r="A128" s="14"/>
      <c r="B128" s="5"/>
      <c r="C128" s="5"/>
      <c r="D128" s="5"/>
      <c r="E128" s="91"/>
      <c r="F128" s="29"/>
      <c r="G128" s="18" t="s">
        <v>48</v>
      </c>
      <c r="H128" s="6"/>
      <c r="I128" s="86">
        <f>I125</f>
        <v>1114.2857142857142</v>
      </c>
      <c r="J128" s="96">
        <f>I128*E125</f>
        <v>39000</v>
      </c>
      <c r="K128" s="95">
        <v>39000</v>
      </c>
    </row>
    <row r="129" spans="1:11" ht="15.75" thickBot="1">
      <c r="A129" s="15"/>
      <c r="B129" s="16"/>
      <c r="C129" s="16"/>
      <c r="D129" s="16"/>
      <c r="E129" s="93"/>
      <c r="F129" s="38"/>
      <c r="G129" s="39" t="s">
        <v>49</v>
      </c>
      <c r="H129" s="17"/>
      <c r="I129" s="82">
        <f>I127-I128</f>
        <v>10149.142857142857</v>
      </c>
      <c r="J129" s="96">
        <f>I129*E126</f>
        <v>355220</v>
      </c>
      <c r="K129" s="96">
        <v>355220</v>
      </c>
    </row>
    <row r="130" spans="1:11">
      <c r="A130" s="11" t="s">
        <v>39</v>
      </c>
      <c r="B130" s="12" t="s">
        <v>47</v>
      </c>
      <c r="C130" s="12" t="s">
        <v>26</v>
      </c>
      <c r="D130" s="12">
        <v>1</v>
      </c>
      <c r="E130" s="92">
        <f>E42</f>
        <v>198</v>
      </c>
      <c r="F130" s="29">
        <f>D130/E130</f>
        <v>5.0505050505050509E-3</v>
      </c>
      <c r="G130" s="19">
        <v>1</v>
      </c>
      <c r="H130" s="13">
        <v>78000</v>
      </c>
      <c r="I130" s="80">
        <f>F130*H130</f>
        <v>393.93939393939399</v>
      </c>
      <c r="J130" s="96">
        <f t="shared" si="53"/>
        <v>78000.000000000015</v>
      </c>
      <c r="K130" s="96"/>
    </row>
    <row r="131" spans="1:11">
      <c r="A131" s="14"/>
      <c r="B131" s="5" t="s">
        <v>47</v>
      </c>
      <c r="C131" s="5" t="s">
        <v>26</v>
      </c>
      <c r="D131" s="5">
        <v>1</v>
      </c>
      <c r="E131" s="91">
        <f>E130</f>
        <v>198</v>
      </c>
      <c r="F131" s="29">
        <f>D131/E131</f>
        <v>5.0505050505050509E-3</v>
      </c>
      <c r="G131" s="18">
        <v>1</v>
      </c>
      <c r="H131" s="6">
        <v>1497000</v>
      </c>
      <c r="I131" s="81">
        <f t="shared" ref="I131" si="58">F131*H131</f>
        <v>7560.606060606061</v>
      </c>
      <c r="J131" s="96">
        <f t="shared" si="53"/>
        <v>1497000</v>
      </c>
      <c r="K131" s="96"/>
    </row>
    <row r="132" spans="1:11">
      <c r="A132" s="14"/>
      <c r="B132" s="5"/>
      <c r="C132" s="5"/>
      <c r="D132" s="5"/>
      <c r="E132" s="91"/>
      <c r="F132" s="29"/>
      <c r="G132" s="18"/>
      <c r="H132" s="6"/>
      <c r="I132" s="86">
        <f>SUM(I130:I131)</f>
        <v>7954.545454545455</v>
      </c>
      <c r="J132" s="96"/>
      <c r="K132" s="96"/>
    </row>
    <row r="133" spans="1:11">
      <c r="A133" s="14"/>
      <c r="B133" s="5"/>
      <c r="C133" s="5"/>
      <c r="D133" s="5"/>
      <c r="E133" s="91"/>
      <c r="F133" s="29"/>
      <c r="G133" s="18" t="s">
        <v>48</v>
      </c>
      <c r="H133" s="6"/>
      <c r="I133" s="86">
        <f>I130</f>
        <v>393.93939393939399</v>
      </c>
      <c r="J133" s="96">
        <f>I133*E130</f>
        <v>78000.000000000015</v>
      </c>
      <c r="K133" s="95">
        <v>78000</v>
      </c>
    </row>
    <row r="134" spans="1:11" ht="15.75" thickBot="1">
      <c r="A134" s="15"/>
      <c r="B134" s="16"/>
      <c r="C134" s="16"/>
      <c r="D134" s="16"/>
      <c r="E134" s="93"/>
      <c r="F134" s="38"/>
      <c r="G134" s="39" t="s">
        <v>49</v>
      </c>
      <c r="H134" s="17"/>
      <c r="I134" s="82">
        <f>I132-I133</f>
        <v>7560.606060606061</v>
      </c>
      <c r="J134" s="96">
        <f>I134*E131</f>
        <v>1497000</v>
      </c>
      <c r="K134" s="96">
        <v>1497000</v>
      </c>
    </row>
    <row r="135" spans="1:11">
      <c r="A135" s="11" t="s">
        <v>40</v>
      </c>
      <c r="B135" s="12" t="s">
        <v>47</v>
      </c>
      <c r="C135" s="12" t="s">
        <v>26</v>
      </c>
      <c r="D135" s="12">
        <v>1</v>
      </c>
      <c r="E135" s="92">
        <f>E49</f>
        <v>232</v>
      </c>
      <c r="F135" s="28">
        <f>D135/E135</f>
        <v>4.3103448275862068E-3</v>
      </c>
      <c r="G135" s="19">
        <v>1</v>
      </c>
      <c r="H135" s="13">
        <v>156000</v>
      </c>
      <c r="I135" s="80">
        <f>F135*H135</f>
        <v>672.41379310344826</v>
      </c>
      <c r="J135" s="96">
        <f t="shared" si="53"/>
        <v>156000</v>
      </c>
      <c r="K135" s="96"/>
    </row>
    <row r="136" spans="1:11">
      <c r="A136" s="14"/>
      <c r="B136" s="5" t="s">
        <v>47</v>
      </c>
      <c r="C136" s="5" t="s">
        <v>26</v>
      </c>
      <c r="D136" s="5">
        <v>1</v>
      </c>
      <c r="E136" s="91">
        <f>E135</f>
        <v>232</v>
      </c>
      <c r="F136" s="29">
        <f>D136/E136</f>
        <v>4.3103448275862068E-3</v>
      </c>
      <c r="G136" s="18">
        <v>1</v>
      </c>
      <c r="H136" s="6">
        <v>1731000</v>
      </c>
      <c r="I136" s="81">
        <f t="shared" ref="I136" si="59">F136*H136</f>
        <v>7461.2068965517237</v>
      </c>
      <c r="J136" s="96">
        <f t="shared" si="53"/>
        <v>1731000</v>
      </c>
      <c r="K136" s="96"/>
    </row>
    <row r="137" spans="1:11">
      <c r="A137" s="14"/>
      <c r="B137" s="5"/>
      <c r="C137" s="5"/>
      <c r="D137" s="5"/>
      <c r="E137" s="91"/>
      <c r="F137" s="29"/>
      <c r="G137" s="18"/>
      <c r="H137" s="6"/>
      <c r="I137" s="86">
        <f>SUM(I135:I136)</f>
        <v>8133.6206896551721</v>
      </c>
      <c r="J137" s="96"/>
      <c r="K137" s="96"/>
    </row>
    <row r="138" spans="1:11">
      <c r="A138" s="14"/>
      <c r="B138" s="5"/>
      <c r="C138" s="5"/>
      <c r="D138" s="5"/>
      <c r="E138" s="91"/>
      <c r="F138" s="29"/>
      <c r="G138" s="18" t="s">
        <v>48</v>
      </c>
      <c r="H138" s="6"/>
      <c r="I138" s="86">
        <f>I135</f>
        <v>672.41379310344826</v>
      </c>
      <c r="J138" s="96">
        <f>I138*E135</f>
        <v>156000</v>
      </c>
      <c r="K138" s="95">
        <v>156000</v>
      </c>
    </row>
    <row r="139" spans="1:11" ht="15.75" thickBot="1">
      <c r="A139" s="15"/>
      <c r="B139" s="16"/>
      <c r="C139" s="16"/>
      <c r="D139" s="16"/>
      <c r="E139" s="93"/>
      <c r="F139" s="38"/>
      <c r="G139" s="39" t="s">
        <v>49</v>
      </c>
      <c r="H139" s="17"/>
      <c r="I139" s="82">
        <f>I137-I138</f>
        <v>7461.2068965517237</v>
      </c>
      <c r="J139" s="96">
        <f>I139*E136</f>
        <v>1731000</v>
      </c>
      <c r="K139" s="96">
        <v>1731000</v>
      </c>
    </row>
    <row r="140" spans="1:11">
      <c r="A140" s="11" t="s">
        <v>57</v>
      </c>
      <c r="B140" s="12" t="s">
        <v>47</v>
      </c>
      <c r="C140" s="12" t="s">
        <v>26</v>
      </c>
      <c r="D140" s="12">
        <v>1</v>
      </c>
      <c r="E140" s="92">
        <f>E56</f>
        <v>122</v>
      </c>
      <c r="F140" s="29">
        <f>D140/E140</f>
        <v>8.1967213114754103E-3</v>
      </c>
      <c r="G140" s="19">
        <v>1</v>
      </c>
      <c r="H140" s="13">
        <v>39000</v>
      </c>
      <c r="I140" s="80">
        <f>F140*H140</f>
        <v>319.67213114754099</v>
      </c>
      <c r="J140" s="96">
        <f t="shared" si="53"/>
        <v>39000</v>
      </c>
      <c r="K140" s="96"/>
    </row>
    <row r="141" spans="1:11">
      <c r="A141" s="14"/>
      <c r="B141" s="5" t="s">
        <v>47</v>
      </c>
      <c r="C141" s="5" t="s">
        <v>26</v>
      </c>
      <c r="D141" s="5">
        <v>1</v>
      </c>
      <c r="E141" s="91">
        <f>E140</f>
        <v>122</v>
      </c>
      <c r="F141" s="29">
        <f>D141/E141</f>
        <v>8.1967213114754103E-3</v>
      </c>
      <c r="G141" s="18">
        <v>1</v>
      </c>
      <c r="H141" s="6">
        <v>1163000</v>
      </c>
      <c r="I141" s="81">
        <f t="shared" ref="I141" si="60">F141*H141</f>
        <v>9532.7868852459014</v>
      </c>
      <c r="J141" s="96">
        <f t="shared" si="53"/>
        <v>1163000</v>
      </c>
      <c r="K141" s="96"/>
    </row>
    <row r="142" spans="1:11">
      <c r="A142" s="14"/>
      <c r="B142" s="5"/>
      <c r="C142" s="5"/>
      <c r="D142" s="5"/>
      <c r="E142" s="91"/>
      <c r="F142" s="29"/>
      <c r="G142" s="18"/>
      <c r="H142" s="6"/>
      <c r="I142" s="86">
        <f>SUM(I140:I141)</f>
        <v>9852.4590163934427</v>
      </c>
      <c r="J142" s="96"/>
      <c r="K142" s="96"/>
    </row>
    <row r="143" spans="1:11">
      <c r="A143" s="14"/>
      <c r="B143" s="5"/>
      <c r="C143" s="5"/>
      <c r="D143" s="5"/>
      <c r="E143" s="91"/>
      <c r="F143" s="29"/>
      <c r="G143" s="18" t="s">
        <v>48</v>
      </c>
      <c r="H143" s="6"/>
      <c r="I143" s="86">
        <f>I140</f>
        <v>319.67213114754099</v>
      </c>
      <c r="J143" s="96">
        <f>I143*E140</f>
        <v>39000</v>
      </c>
      <c r="K143" s="95">
        <v>39000</v>
      </c>
    </row>
    <row r="144" spans="1:11" ht="15.75" thickBot="1">
      <c r="A144" s="15"/>
      <c r="B144" s="16"/>
      <c r="C144" s="16"/>
      <c r="D144" s="16"/>
      <c r="E144" s="93"/>
      <c r="F144" s="38"/>
      <c r="G144" s="39" t="s">
        <v>49</v>
      </c>
      <c r="H144" s="17"/>
      <c r="I144" s="82">
        <f>I142-I143</f>
        <v>9532.7868852459014</v>
      </c>
      <c r="J144" s="96">
        <f>I144*E141</f>
        <v>1163000</v>
      </c>
      <c r="K144" s="96">
        <v>1163000</v>
      </c>
    </row>
    <row r="145" spans="1:11">
      <c r="A145" s="11" t="s">
        <v>41</v>
      </c>
      <c r="B145" s="12" t="s">
        <v>47</v>
      </c>
      <c r="C145" s="12" t="s">
        <v>26</v>
      </c>
      <c r="D145" s="12">
        <v>1</v>
      </c>
      <c r="E145" s="92">
        <v>119</v>
      </c>
      <c r="F145" s="28">
        <f>D145/E145</f>
        <v>8.4033613445378148E-3</v>
      </c>
      <c r="G145" s="19">
        <v>1</v>
      </c>
      <c r="H145" s="13">
        <v>39000</v>
      </c>
      <c r="I145" s="80">
        <f>F145*H145</f>
        <v>327.73109243697479</v>
      </c>
      <c r="J145" s="96">
        <f t="shared" si="53"/>
        <v>39000</v>
      </c>
      <c r="K145" s="96"/>
    </row>
    <row r="146" spans="1:11">
      <c r="A146" s="14"/>
      <c r="B146" s="5" t="s">
        <v>47</v>
      </c>
      <c r="C146" s="5" t="s">
        <v>26</v>
      </c>
      <c r="D146" s="5">
        <v>1</v>
      </c>
      <c r="E146" s="91">
        <f>E145</f>
        <v>119</v>
      </c>
      <c r="F146" s="29">
        <f>D146/E146</f>
        <v>8.4033613445378148E-3</v>
      </c>
      <c r="G146" s="18">
        <v>1</v>
      </c>
      <c r="H146" s="6">
        <v>969000</v>
      </c>
      <c r="I146" s="81">
        <f t="shared" ref="I146" si="61">F146*H146</f>
        <v>8142.8571428571422</v>
      </c>
      <c r="J146" s="96">
        <f t="shared" si="53"/>
        <v>968999.99999999988</v>
      </c>
      <c r="K146" s="96"/>
    </row>
    <row r="147" spans="1:11">
      <c r="A147" s="14"/>
      <c r="B147" s="5"/>
      <c r="C147" s="5"/>
      <c r="D147" s="5"/>
      <c r="E147" s="91"/>
      <c r="F147" s="29"/>
      <c r="G147" s="18"/>
      <c r="H147" s="6"/>
      <c r="I147" s="86">
        <f>SUM(I145:I146)</f>
        <v>8470.5882352941171</v>
      </c>
      <c r="J147" s="96"/>
      <c r="K147" s="96"/>
    </row>
    <row r="148" spans="1:11">
      <c r="A148" s="14"/>
      <c r="B148" s="5"/>
      <c r="C148" s="5"/>
      <c r="D148" s="5"/>
      <c r="E148" s="91"/>
      <c r="F148" s="29"/>
      <c r="G148" s="18" t="s">
        <v>48</v>
      </c>
      <c r="H148" s="6"/>
      <c r="I148" s="86">
        <f>I145</f>
        <v>327.73109243697479</v>
      </c>
      <c r="J148" s="96">
        <f>I148*E145</f>
        <v>39000</v>
      </c>
      <c r="K148" s="95">
        <v>39000</v>
      </c>
    </row>
    <row r="149" spans="1:11" ht="15.75" thickBot="1">
      <c r="A149" s="15"/>
      <c r="B149" s="16"/>
      <c r="C149" s="16"/>
      <c r="D149" s="16"/>
      <c r="E149" s="93"/>
      <c r="F149" s="38"/>
      <c r="G149" s="39" t="s">
        <v>49</v>
      </c>
      <c r="H149" s="17"/>
      <c r="I149" s="82">
        <f>I147-I148</f>
        <v>8142.8571428571422</v>
      </c>
      <c r="J149" s="96">
        <f>I149*E146</f>
        <v>968999.99999999988</v>
      </c>
      <c r="K149" s="96">
        <v>969000</v>
      </c>
    </row>
    <row r="150" spans="1:11">
      <c r="A150" s="11" t="s">
        <v>30</v>
      </c>
      <c r="B150" s="12" t="s">
        <v>47</v>
      </c>
      <c r="C150" s="12" t="s">
        <v>26</v>
      </c>
      <c r="D150" s="12">
        <v>1</v>
      </c>
      <c r="E150" s="92">
        <f>E71</f>
        <v>173</v>
      </c>
      <c r="F150" s="28">
        <f>D150/E150</f>
        <v>5.7803468208092483E-3</v>
      </c>
      <c r="G150" s="19">
        <v>1</v>
      </c>
      <c r="H150" s="13">
        <v>97500</v>
      </c>
      <c r="I150" s="80">
        <f>F150*H150</f>
        <v>563.58381502890165</v>
      </c>
      <c r="J150" s="96">
        <f t="shared" si="53"/>
        <v>97499.999999999985</v>
      </c>
      <c r="K150" s="96"/>
    </row>
    <row r="151" spans="1:11">
      <c r="A151" s="14"/>
      <c r="B151" s="5" t="s">
        <v>47</v>
      </c>
      <c r="C151" s="5" t="s">
        <v>26</v>
      </c>
      <c r="D151" s="5">
        <v>1</v>
      </c>
      <c r="E151" s="91">
        <f>E150</f>
        <v>173</v>
      </c>
      <c r="F151" s="29">
        <f>D151/E151</f>
        <v>5.7803468208092483E-3</v>
      </c>
      <c r="G151" s="18">
        <v>1</v>
      </c>
      <c r="H151" s="6">
        <v>1355000</v>
      </c>
      <c r="I151" s="81">
        <f t="shared" ref="I151" si="62">F151*H151</f>
        <v>7832.3699421965312</v>
      </c>
      <c r="J151" s="96">
        <f t="shared" si="53"/>
        <v>1355000</v>
      </c>
      <c r="K151" s="96"/>
    </row>
    <row r="152" spans="1:11">
      <c r="A152" s="14"/>
      <c r="B152" s="5"/>
      <c r="C152" s="5"/>
      <c r="D152" s="5"/>
      <c r="E152" s="91"/>
      <c r="F152" s="29"/>
      <c r="G152" s="18"/>
      <c r="H152" s="6"/>
      <c r="I152" s="86">
        <f>SUM(I150:I151)</f>
        <v>8395.9537572254321</v>
      </c>
      <c r="J152" s="96"/>
      <c r="K152" s="96"/>
    </row>
    <row r="153" spans="1:11">
      <c r="A153" s="14"/>
      <c r="B153" s="5"/>
      <c r="C153" s="5"/>
      <c r="D153" s="5"/>
      <c r="E153" s="91"/>
      <c r="F153" s="29"/>
      <c r="G153" s="18" t="s">
        <v>48</v>
      </c>
      <c r="H153" s="6"/>
      <c r="I153" s="86">
        <f>I150</f>
        <v>563.58381502890165</v>
      </c>
      <c r="J153" s="96">
        <f>I153*E150</f>
        <v>97499.999999999985</v>
      </c>
      <c r="K153" s="95">
        <v>97500</v>
      </c>
    </row>
    <row r="154" spans="1:11" ht="15.75" thickBot="1">
      <c r="A154" s="15"/>
      <c r="B154" s="16"/>
      <c r="C154" s="16"/>
      <c r="D154" s="16"/>
      <c r="E154" s="93"/>
      <c r="F154" s="38"/>
      <c r="G154" s="39" t="s">
        <v>49</v>
      </c>
      <c r="H154" s="17"/>
      <c r="I154" s="82">
        <f>I152-I153</f>
        <v>7832.3699421965302</v>
      </c>
      <c r="J154" s="96">
        <f>I154*E151</f>
        <v>1354999.9999999998</v>
      </c>
      <c r="K154" s="96">
        <v>1355000</v>
      </c>
    </row>
    <row r="155" spans="1:11">
      <c r="A155" s="11" t="s">
        <v>36</v>
      </c>
      <c r="B155" s="12" t="s">
        <v>47</v>
      </c>
      <c r="C155" s="12" t="s">
        <v>26</v>
      </c>
      <c r="D155" s="12">
        <v>1</v>
      </c>
      <c r="E155" s="92">
        <v>248</v>
      </c>
      <c r="F155" s="28">
        <f>D155/E155</f>
        <v>4.0322580645161289E-3</v>
      </c>
      <c r="G155" s="19">
        <v>1</v>
      </c>
      <c r="H155" s="13">
        <v>78000</v>
      </c>
      <c r="I155" s="80">
        <f>F155*H155</f>
        <v>314.51612903225805</v>
      </c>
      <c r="J155" s="96">
        <f t="shared" si="53"/>
        <v>78000</v>
      </c>
      <c r="K155" s="96"/>
    </row>
    <row r="156" spans="1:11">
      <c r="A156" s="14"/>
      <c r="B156" s="5" t="s">
        <v>47</v>
      </c>
      <c r="C156" s="5" t="s">
        <v>26</v>
      </c>
      <c r="D156" s="5">
        <v>1</v>
      </c>
      <c r="E156" s="91">
        <v>248</v>
      </c>
      <c r="F156" s="29">
        <f>D156/E156</f>
        <v>4.0322580645161289E-3</v>
      </c>
      <c r="G156" s="18">
        <v>1</v>
      </c>
      <c r="H156" s="6">
        <v>2150000</v>
      </c>
      <c r="I156" s="81">
        <f t="shared" ref="I156" si="63">F156*H156</f>
        <v>8669.354838709678</v>
      </c>
      <c r="J156" s="96">
        <f t="shared" si="53"/>
        <v>2150000</v>
      </c>
      <c r="K156" s="96"/>
    </row>
    <row r="157" spans="1:11">
      <c r="A157" s="14"/>
      <c r="B157" s="5"/>
      <c r="C157" s="5"/>
      <c r="D157" s="5"/>
      <c r="E157" s="91"/>
      <c r="F157" s="29"/>
      <c r="G157" s="18"/>
      <c r="H157" s="6"/>
      <c r="I157" s="86">
        <f>SUM(I155:I156)</f>
        <v>8983.8709677419356</v>
      </c>
      <c r="J157" s="96"/>
      <c r="K157" s="96"/>
    </row>
    <row r="158" spans="1:11">
      <c r="A158" s="14"/>
      <c r="B158" s="5"/>
      <c r="C158" s="5"/>
      <c r="D158" s="5"/>
      <c r="E158" s="91"/>
      <c r="F158" s="29"/>
      <c r="G158" s="18" t="s">
        <v>48</v>
      </c>
      <c r="H158" s="6"/>
      <c r="I158" s="86">
        <f>I155</f>
        <v>314.51612903225805</v>
      </c>
      <c r="J158" s="96">
        <f>I158*E155</f>
        <v>78000</v>
      </c>
      <c r="K158" s="95">
        <v>78000</v>
      </c>
    </row>
    <row r="159" spans="1:11" ht="15.75" thickBot="1">
      <c r="A159" s="15"/>
      <c r="B159" s="16"/>
      <c r="C159" s="16"/>
      <c r="D159" s="16"/>
      <c r="E159" s="93"/>
      <c r="F159" s="38"/>
      <c r="G159" s="39" t="s">
        <v>49</v>
      </c>
      <c r="H159" s="17"/>
      <c r="I159" s="82">
        <f>I157-I158</f>
        <v>8669.354838709678</v>
      </c>
      <c r="J159" s="96">
        <f>I159*E156</f>
        <v>2150000</v>
      </c>
      <c r="K159" s="106">
        <v>2150000</v>
      </c>
    </row>
    <row r="160" spans="1:11" ht="15.75" thickBot="1">
      <c r="A160" s="70"/>
      <c r="B160" s="32"/>
      <c r="C160" s="32"/>
      <c r="D160" s="32"/>
      <c r="E160" s="94"/>
      <c r="F160" s="32"/>
      <c r="G160" s="70"/>
      <c r="H160" s="70"/>
      <c r="I160" s="49"/>
      <c r="J160" s="96">
        <f t="shared" si="53"/>
        <v>0</v>
      </c>
      <c r="K160" s="96"/>
    </row>
    <row r="161" spans="1:11">
      <c r="A161" s="11" t="s">
        <v>37</v>
      </c>
      <c r="B161" s="12" t="s">
        <v>47</v>
      </c>
      <c r="C161" s="12" t="s">
        <v>26</v>
      </c>
      <c r="D161" s="12">
        <v>1</v>
      </c>
      <c r="E161" s="92">
        <v>314</v>
      </c>
      <c r="F161" s="28">
        <f>D161/E161</f>
        <v>3.1847133757961785E-3</v>
      </c>
      <c r="G161" s="19">
        <v>1</v>
      </c>
      <c r="H161" s="13">
        <v>136500</v>
      </c>
      <c r="I161" s="80">
        <f>F161*H161</f>
        <v>434.71337579617835</v>
      </c>
      <c r="J161" s="96">
        <f t="shared" si="53"/>
        <v>136500</v>
      </c>
      <c r="K161" s="96"/>
    </row>
    <row r="162" spans="1:11">
      <c r="A162" s="14"/>
      <c r="B162" s="5" t="s">
        <v>47</v>
      </c>
      <c r="C162" s="5" t="s">
        <v>26</v>
      </c>
      <c r="D162" s="5">
        <v>1</v>
      </c>
      <c r="E162" s="91">
        <v>314</v>
      </c>
      <c r="F162" s="29">
        <f>D162/E162</f>
        <v>3.1847133757961785E-3</v>
      </c>
      <c r="G162" s="18">
        <v>1</v>
      </c>
      <c r="H162" s="6">
        <v>2281000</v>
      </c>
      <c r="I162" s="81">
        <f t="shared" ref="I162" si="64">F162*H162</f>
        <v>7264.3312101910833</v>
      </c>
      <c r="J162" s="96">
        <f t="shared" si="53"/>
        <v>2281000</v>
      </c>
      <c r="K162" s="96"/>
    </row>
    <row r="163" spans="1:11">
      <c r="A163" s="14"/>
      <c r="B163" s="5"/>
      <c r="C163" s="5"/>
      <c r="D163" s="5"/>
      <c r="E163" s="91"/>
      <c r="F163" s="29"/>
      <c r="G163" s="18"/>
      <c r="H163" s="6"/>
      <c r="I163" s="86">
        <f>SUM(I161:I162)</f>
        <v>7699.0445859872616</v>
      </c>
      <c r="J163" s="96"/>
      <c r="K163" s="96"/>
    </row>
    <row r="164" spans="1:11">
      <c r="A164" s="14"/>
      <c r="B164" s="5"/>
      <c r="C164" s="5"/>
      <c r="D164" s="5"/>
      <c r="E164" s="91"/>
      <c r="F164" s="29"/>
      <c r="G164" s="18" t="s">
        <v>48</v>
      </c>
      <c r="H164" s="6"/>
      <c r="I164" s="86">
        <f>I161</f>
        <v>434.71337579617835</v>
      </c>
      <c r="J164" s="96">
        <f>I164*E161</f>
        <v>136500</v>
      </c>
      <c r="K164" s="95">
        <v>136500</v>
      </c>
    </row>
    <row r="165" spans="1:11" ht="15.75" thickBot="1">
      <c r="A165" s="15"/>
      <c r="B165" s="16"/>
      <c r="C165" s="16"/>
      <c r="D165" s="16"/>
      <c r="E165" s="93"/>
      <c r="F165" s="38"/>
      <c r="G165" s="39" t="s">
        <v>49</v>
      </c>
      <c r="H165" s="17"/>
      <c r="I165" s="82">
        <f>I163-I164</f>
        <v>7264.3312101910833</v>
      </c>
      <c r="J165" s="96">
        <f>I165*E162</f>
        <v>2281000</v>
      </c>
      <c r="K165" s="96">
        <v>2281000</v>
      </c>
    </row>
    <row r="166" spans="1:11">
      <c r="A166" s="11" t="s">
        <v>38</v>
      </c>
      <c r="B166" s="12" t="s">
        <v>47</v>
      </c>
      <c r="C166" s="12" t="s">
        <v>26</v>
      </c>
      <c r="D166" s="12">
        <v>1</v>
      </c>
      <c r="E166" s="92">
        <f>E93</f>
        <v>400</v>
      </c>
      <c r="F166" s="28">
        <f>D166/E166</f>
        <v>2.5000000000000001E-3</v>
      </c>
      <c r="G166" s="19">
        <v>1</v>
      </c>
      <c r="H166" s="13">
        <v>156000</v>
      </c>
      <c r="I166" s="80">
        <f>F166*H166</f>
        <v>390</v>
      </c>
      <c r="J166" s="96">
        <f t="shared" si="53"/>
        <v>156000</v>
      </c>
      <c r="K166" s="96"/>
    </row>
    <row r="167" spans="1:11">
      <c r="A167" s="14"/>
      <c r="B167" s="5" t="s">
        <v>47</v>
      </c>
      <c r="C167" s="5" t="s">
        <v>26</v>
      </c>
      <c r="D167" s="5">
        <v>1</v>
      </c>
      <c r="E167" s="91">
        <f>E166</f>
        <v>400</v>
      </c>
      <c r="F167" s="29">
        <f>D167/E167</f>
        <v>2.5000000000000001E-3</v>
      </c>
      <c r="G167" s="18">
        <v>1</v>
      </c>
      <c r="H167" s="6">
        <v>3254000</v>
      </c>
      <c r="I167" s="81">
        <f t="shared" ref="I167" si="65">F167*H167</f>
        <v>8135</v>
      </c>
      <c r="J167" s="96">
        <f t="shared" si="53"/>
        <v>3254000</v>
      </c>
      <c r="K167" s="96"/>
    </row>
    <row r="168" spans="1:11">
      <c r="A168" s="14"/>
      <c r="B168" s="5"/>
      <c r="C168" s="5"/>
      <c r="D168" s="5"/>
      <c r="E168" s="91"/>
      <c r="F168" s="29"/>
      <c r="G168" s="18"/>
      <c r="H168" s="6"/>
      <c r="I168" s="86">
        <f>SUM(I166:I167)</f>
        <v>8525</v>
      </c>
      <c r="J168" s="96">
        <f>I168*E167</f>
        <v>3410000</v>
      </c>
      <c r="K168" s="96"/>
    </row>
    <row r="169" spans="1:11">
      <c r="A169" s="14"/>
      <c r="B169" s="5"/>
      <c r="C169" s="5"/>
      <c r="D169" s="5"/>
      <c r="E169" s="91"/>
      <c r="F169" s="29"/>
      <c r="G169" s="18" t="s">
        <v>48</v>
      </c>
      <c r="H169" s="6"/>
      <c r="I169" s="86">
        <f>I166</f>
        <v>390</v>
      </c>
      <c r="J169" s="96">
        <f>I169*E166</f>
        <v>156000</v>
      </c>
      <c r="K169" s="95">
        <v>156000</v>
      </c>
    </row>
    <row r="170" spans="1:11" ht="15.75" thickBot="1">
      <c r="A170" s="15"/>
      <c r="B170" s="16"/>
      <c r="C170" s="16"/>
      <c r="D170" s="16"/>
      <c r="E170" s="93"/>
      <c r="F170" s="38"/>
      <c r="G170" s="39" t="s">
        <v>49</v>
      </c>
      <c r="H170" s="17"/>
      <c r="I170" s="82">
        <f>I168-I169</f>
        <v>8135</v>
      </c>
      <c r="J170" s="96">
        <f>I170*E167</f>
        <v>3254000</v>
      </c>
      <c r="K170" s="96">
        <v>3254000</v>
      </c>
    </row>
    <row r="171" spans="1:11">
      <c r="E171" s="96">
        <f>E166+E161+E155+E150+E146+E140+E135+E130+E125+E120+E115+E110+E105</f>
        <v>2564</v>
      </c>
    </row>
    <row r="172" spans="1:11">
      <c r="I172" s="1" t="s">
        <v>61</v>
      </c>
      <c r="J172" s="96">
        <f>J170+J165+J159+J154+J149+J144+J139+J134+J129+J124+J119+J114+J109</f>
        <v>19988220</v>
      </c>
      <c r="K172" s="96">
        <f>K170+K165+K159+K154+K149+K144+K139+K134+K129+K124+K119+K114+K109</f>
        <v>19988220</v>
      </c>
    </row>
    <row r="173" spans="1:11">
      <c r="I173" s="1" t="s">
        <v>60</v>
      </c>
      <c r="J173" s="96">
        <f>J169+J164+J158+J153+J148+J143+J138+J133+J128+J123+J118+J113+J108</f>
        <v>2184000</v>
      </c>
      <c r="K173" s="96">
        <f>K169+K164+K158+K153+K148+K143+K138+K133+K128+K123+K118+K113+K108</f>
        <v>2184000</v>
      </c>
    </row>
  </sheetData>
  <mergeCells count="1">
    <mergeCell ref="A1:I1"/>
  </mergeCells>
  <pageMargins left="0.51181102362204722" right="0.11811023622047245" top="0.35433070866141736" bottom="0" header="0.31496062992125984" footer="0.31496062992125984"/>
  <pageSetup paperSize="9" scale="85" orientation="landscape" horizontalDpi="180" verticalDpi="180" r:id="rId1"/>
  <rowBreaks count="1" manualBreakCount="1">
    <brk id="10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R64"/>
  <sheetViews>
    <sheetView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I42" sqref="I42"/>
    </sheetView>
  </sheetViews>
  <sheetFormatPr defaultRowHeight="15"/>
  <cols>
    <col min="1" max="1" width="16.7109375" customWidth="1"/>
    <col min="2" max="2" width="23.85546875" style="1" customWidth="1"/>
    <col min="3" max="3" width="13.42578125" style="1" customWidth="1"/>
    <col min="4" max="4" width="15" style="1" customWidth="1"/>
    <col min="5" max="5" width="11.42578125" style="96" customWidth="1"/>
    <col min="6" max="6" width="13.7109375" style="1" customWidth="1"/>
    <col min="7" max="7" width="14.5703125" customWidth="1"/>
    <col min="8" max="8" width="11.85546875" style="1" customWidth="1"/>
    <col min="9" max="9" width="10" style="96" customWidth="1"/>
    <col min="10" max="10" width="9.140625" style="96"/>
    <col min="11" max="18" width="9.140625" style="1"/>
  </cols>
  <sheetData>
    <row r="1" spans="1:11" ht="18.75">
      <c r="A1" s="31" t="s">
        <v>29</v>
      </c>
    </row>
    <row r="3" spans="1:11" ht="18.75">
      <c r="A3" s="108" t="s">
        <v>50</v>
      </c>
      <c r="B3" s="108"/>
      <c r="C3" s="108"/>
      <c r="D3" s="108"/>
      <c r="E3" s="108"/>
      <c r="F3" s="108"/>
      <c r="G3" s="108"/>
      <c r="H3" s="108"/>
    </row>
    <row r="4" spans="1:11" ht="15.75" thickBot="1">
      <c r="G4" s="51" t="s">
        <v>48</v>
      </c>
    </row>
    <row r="5" spans="1:11" ht="60">
      <c r="A5" s="21" t="s">
        <v>3</v>
      </c>
      <c r="B5" s="22" t="s">
        <v>23</v>
      </c>
      <c r="C5" s="22" t="s">
        <v>19</v>
      </c>
      <c r="D5" s="22" t="s">
        <v>24</v>
      </c>
      <c r="E5" s="97" t="s">
        <v>46</v>
      </c>
      <c r="F5" s="22" t="s">
        <v>42</v>
      </c>
      <c r="G5" s="22" t="s">
        <v>27</v>
      </c>
      <c r="H5" s="23" t="s">
        <v>10</v>
      </c>
      <c r="I5" s="107"/>
      <c r="J5" s="107"/>
      <c r="K5" s="2"/>
    </row>
    <row r="6" spans="1:11" ht="15.75" thickBot="1">
      <c r="A6" s="24">
        <v>1</v>
      </c>
      <c r="B6" s="25">
        <v>2</v>
      </c>
      <c r="C6" s="25">
        <v>3</v>
      </c>
      <c r="D6" s="25">
        <v>4</v>
      </c>
      <c r="E6" s="104">
        <v>5</v>
      </c>
      <c r="F6" s="25" t="s">
        <v>18</v>
      </c>
      <c r="G6" s="26">
        <v>8</v>
      </c>
      <c r="H6" s="27" t="s">
        <v>20</v>
      </c>
      <c r="I6" s="96" t="s">
        <v>58</v>
      </c>
      <c r="J6" s="96" t="s">
        <v>55</v>
      </c>
    </row>
    <row r="7" spans="1:11">
      <c r="A7" s="11" t="s">
        <v>32</v>
      </c>
      <c r="B7" s="12" t="s">
        <v>25</v>
      </c>
      <c r="C7" s="12" t="s">
        <v>26</v>
      </c>
      <c r="D7" s="12">
        <v>1</v>
      </c>
      <c r="E7" s="92">
        <f>з.пл.!E6</f>
        <v>206</v>
      </c>
      <c r="F7" s="30">
        <f>D7/E7</f>
        <v>4.8543689320388345E-3</v>
      </c>
      <c r="G7" s="13">
        <f>25440+78084</f>
        <v>103524</v>
      </c>
      <c r="H7" s="80">
        <f>F7*G7</f>
        <v>502.5436893203883</v>
      </c>
    </row>
    <row r="8" spans="1:11" s="1" customFormat="1">
      <c r="A8" s="14"/>
      <c r="B8" s="5" t="s">
        <v>28</v>
      </c>
      <c r="C8" s="5"/>
      <c r="D8" s="5">
        <v>5</v>
      </c>
      <c r="E8" s="105">
        <f>E7</f>
        <v>206</v>
      </c>
      <c r="F8" s="29">
        <f t="shared" ref="F8" si="0">D8/E8</f>
        <v>2.4271844660194174E-2</v>
      </c>
      <c r="G8" s="6">
        <v>1500</v>
      </c>
      <c r="H8" s="81">
        <f>F8*G8</f>
        <v>36.407766990291265</v>
      </c>
      <c r="I8" s="96"/>
      <c r="J8" s="96"/>
    </row>
    <row r="9" spans="1:11" s="1" customFormat="1">
      <c r="A9" s="14"/>
      <c r="B9" s="5"/>
      <c r="C9" s="10"/>
      <c r="D9" s="5"/>
      <c r="E9" s="105"/>
      <c r="F9" s="29"/>
      <c r="G9" s="6"/>
      <c r="H9" s="81">
        <f>F9*G9</f>
        <v>0</v>
      </c>
      <c r="I9" s="96"/>
      <c r="J9" s="96"/>
    </row>
    <row r="10" spans="1:11" s="1" customFormat="1" ht="15.75" thickBot="1">
      <c r="A10" s="15"/>
      <c r="B10" s="16"/>
      <c r="C10" s="16"/>
      <c r="D10" s="16"/>
      <c r="E10" s="93"/>
      <c r="F10" s="16"/>
      <c r="G10" s="20"/>
      <c r="H10" s="82">
        <f>SUM(H7:H9)</f>
        <v>538.95145631067953</v>
      </c>
      <c r="I10" s="96">
        <f>H10*E7</f>
        <v>111023.99999999999</v>
      </c>
      <c r="J10" s="96">
        <v>111024</v>
      </c>
    </row>
    <row r="11" spans="1:11">
      <c r="A11" s="11" t="s">
        <v>33</v>
      </c>
      <c r="B11" s="12" t="s">
        <v>25</v>
      </c>
      <c r="C11" s="12" t="s">
        <v>26</v>
      </c>
      <c r="D11" s="12">
        <v>1</v>
      </c>
      <c r="E11" s="92">
        <f>з.пл.!E7</f>
        <v>165</v>
      </c>
      <c r="F11" s="30">
        <f>D11/E11</f>
        <v>6.0606060606060606E-3</v>
      </c>
      <c r="G11" s="13">
        <f>69500+65500</f>
        <v>135000</v>
      </c>
      <c r="H11" s="80">
        <f>F11*G11</f>
        <v>818.18181818181813</v>
      </c>
    </row>
    <row r="12" spans="1:11" s="1" customFormat="1">
      <c r="A12" s="14"/>
      <c r="B12" s="5" t="s">
        <v>28</v>
      </c>
      <c r="C12" s="5"/>
      <c r="D12" s="5">
        <v>10</v>
      </c>
      <c r="E12" s="105">
        <f>E11</f>
        <v>165</v>
      </c>
      <c r="F12" s="29">
        <f t="shared" ref="F12" si="1">D12/E12</f>
        <v>6.0606060606060608E-2</v>
      </c>
      <c r="G12" s="6">
        <v>1500</v>
      </c>
      <c r="H12" s="81">
        <f>F12*G12</f>
        <v>90.909090909090907</v>
      </c>
      <c r="I12" s="96"/>
      <c r="J12" s="96"/>
    </row>
    <row r="13" spans="1:11" s="1" customFormat="1">
      <c r="A13" s="14"/>
      <c r="B13" s="5"/>
      <c r="C13" s="10"/>
      <c r="D13" s="5"/>
      <c r="E13" s="105"/>
      <c r="F13" s="29"/>
      <c r="G13" s="6"/>
      <c r="H13" s="81">
        <f>F13*G13</f>
        <v>0</v>
      </c>
      <c r="I13" s="96"/>
      <c r="J13" s="96"/>
    </row>
    <row r="14" spans="1:11" s="1" customFormat="1" ht="15.75" thickBot="1">
      <c r="A14" s="15"/>
      <c r="B14" s="16"/>
      <c r="C14" s="16"/>
      <c r="D14" s="16"/>
      <c r="E14" s="93"/>
      <c r="F14" s="16"/>
      <c r="G14" s="20"/>
      <c r="H14" s="82">
        <f>SUM(H11:H13)</f>
        <v>909.09090909090901</v>
      </c>
      <c r="I14" s="96">
        <f>H14*E11</f>
        <v>150000</v>
      </c>
      <c r="J14" s="96">
        <v>150000</v>
      </c>
    </row>
    <row r="15" spans="1:11">
      <c r="A15" s="11" t="s">
        <v>34</v>
      </c>
      <c r="B15" s="12" t="s">
        <v>25</v>
      </c>
      <c r="C15" s="12" t="s">
        <v>26</v>
      </c>
      <c r="D15" s="12">
        <v>1</v>
      </c>
      <c r="E15" s="92">
        <f>з.пл.!E8</f>
        <v>202</v>
      </c>
      <c r="F15" s="30">
        <f>D15/E15</f>
        <v>4.9504950495049506E-3</v>
      </c>
      <c r="G15" s="13">
        <f>39785+38668</f>
        <v>78453</v>
      </c>
      <c r="H15" s="80">
        <f>F15*G15</f>
        <v>388.38118811881191</v>
      </c>
    </row>
    <row r="16" spans="1:11" s="1" customFormat="1">
      <c r="A16" s="14"/>
      <c r="B16" s="5" t="s">
        <v>28</v>
      </c>
      <c r="C16" s="5"/>
      <c r="D16" s="5">
        <v>10</v>
      </c>
      <c r="E16" s="105">
        <f>E15</f>
        <v>202</v>
      </c>
      <c r="F16" s="29">
        <f t="shared" ref="F16" si="2">D16/E16</f>
        <v>4.9504950495049507E-2</v>
      </c>
      <c r="G16" s="6">
        <v>2318</v>
      </c>
      <c r="H16" s="81">
        <f>F16*G16</f>
        <v>114.75247524752476</v>
      </c>
      <c r="I16" s="96"/>
      <c r="J16" s="96"/>
    </row>
    <row r="17" spans="1:10" s="1" customFormat="1">
      <c r="A17" s="14"/>
      <c r="B17" s="5"/>
      <c r="C17" s="10"/>
      <c r="D17" s="5"/>
      <c r="E17" s="105"/>
      <c r="F17" s="29"/>
      <c r="G17" s="6"/>
      <c r="H17" s="81">
        <f>F17*G17</f>
        <v>0</v>
      </c>
      <c r="I17" s="96"/>
      <c r="J17" s="96"/>
    </row>
    <row r="18" spans="1:10" s="1" customFormat="1" ht="15.75" thickBot="1">
      <c r="A18" s="15"/>
      <c r="B18" s="16"/>
      <c r="C18" s="16"/>
      <c r="D18" s="16"/>
      <c r="E18" s="93"/>
      <c r="F18" s="16"/>
      <c r="G18" s="20"/>
      <c r="H18" s="82">
        <f>SUM(H15:H17)</f>
        <v>503.13366336633669</v>
      </c>
      <c r="I18" s="96">
        <f>H18*E15</f>
        <v>101633.00000000001</v>
      </c>
      <c r="J18" s="96">
        <v>101633</v>
      </c>
    </row>
    <row r="19" spans="1:10">
      <c r="A19" s="11" t="s">
        <v>35</v>
      </c>
      <c r="B19" s="12" t="s">
        <v>25</v>
      </c>
      <c r="C19" s="12" t="s">
        <v>26</v>
      </c>
      <c r="D19" s="12">
        <v>1</v>
      </c>
      <c r="E19" s="92">
        <f>з.пл.!E9</f>
        <v>150</v>
      </c>
      <c r="F19" s="30">
        <f>D19/E19</f>
        <v>6.6666666666666671E-3</v>
      </c>
      <c r="G19" s="13">
        <v>72440</v>
      </c>
      <c r="H19" s="80">
        <f>F19*G19</f>
        <v>482.93333333333334</v>
      </c>
    </row>
    <row r="20" spans="1:10" s="1" customFormat="1">
      <c r="A20" s="14"/>
      <c r="B20" s="5" t="s">
        <v>28</v>
      </c>
      <c r="C20" s="5"/>
      <c r="D20" s="5">
        <v>5</v>
      </c>
      <c r="E20" s="105">
        <f>E19</f>
        <v>150</v>
      </c>
      <c r="F20" s="29">
        <f t="shared" ref="F20" si="3">D20/E20</f>
        <v>3.3333333333333333E-2</v>
      </c>
      <c r="G20" s="6">
        <v>1500</v>
      </c>
      <c r="H20" s="81">
        <f>F20*G20</f>
        <v>50</v>
      </c>
      <c r="I20" s="96"/>
      <c r="J20" s="96"/>
    </row>
    <row r="21" spans="1:10" s="1" customFormat="1">
      <c r="A21" s="14"/>
      <c r="B21" s="5"/>
      <c r="C21" s="10"/>
      <c r="D21" s="5"/>
      <c r="E21" s="105"/>
      <c r="F21" s="29"/>
      <c r="G21" s="6"/>
      <c r="H21" s="81">
        <f>F21*G21</f>
        <v>0</v>
      </c>
      <c r="I21" s="96"/>
      <c r="J21" s="96"/>
    </row>
    <row r="22" spans="1:10" s="1" customFormat="1" ht="15.75" thickBot="1">
      <c r="A22" s="15"/>
      <c r="B22" s="16"/>
      <c r="C22" s="16"/>
      <c r="D22" s="16"/>
      <c r="E22" s="93"/>
      <c r="F22" s="16"/>
      <c r="G22" s="20"/>
      <c r="H22" s="82">
        <f>SUM(H19:H21)</f>
        <v>532.93333333333339</v>
      </c>
      <c r="I22" s="96">
        <f>H22*E19</f>
        <v>79940.000000000015</v>
      </c>
      <c r="J22" s="96">
        <v>79940</v>
      </c>
    </row>
    <row r="23" spans="1:10">
      <c r="A23" s="14" t="s">
        <v>59</v>
      </c>
      <c r="B23" s="12" t="s">
        <v>25</v>
      </c>
      <c r="C23" s="12" t="s">
        <v>26</v>
      </c>
      <c r="D23" s="12">
        <v>1</v>
      </c>
      <c r="E23" s="92">
        <f>з.пл.!E10</f>
        <v>36</v>
      </c>
      <c r="F23" s="30">
        <f>D23/E23</f>
        <v>2.7777777777777776E-2</v>
      </c>
      <c r="G23" s="13">
        <v>15000</v>
      </c>
      <c r="H23" s="80">
        <f>F23*G23</f>
        <v>416.66666666666663</v>
      </c>
    </row>
    <row r="24" spans="1:10" s="1" customFormat="1">
      <c r="A24" s="14"/>
      <c r="B24" s="5" t="s">
        <v>28</v>
      </c>
      <c r="C24" s="5"/>
      <c r="D24" s="5">
        <v>3</v>
      </c>
      <c r="E24" s="105">
        <f>E23</f>
        <v>36</v>
      </c>
      <c r="F24" s="29">
        <f t="shared" ref="F24" si="4">D24/E24</f>
        <v>8.3333333333333329E-2</v>
      </c>
      <c r="G24" s="6">
        <v>1504</v>
      </c>
      <c r="H24" s="81">
        <f>F24*G24</f>
        <v>125.33333333333333</v>
      </c>
      <c r="I24" s="96"/>
      <c r="J24" s="96"/>
    </row>
    <row r="25" spans="1:10" s="1" customFormat="1">
      <c r="A25" s="14"/>
      <c r="B25" s="5"/>
      <c r="C25" s="10"/>
      <c r="D25" s="5"/>
      <c r="E25" s="105"/>
      <c r="F25" s="29"/>
      <c r="G25" s="6"/>
      <c r="H25" s="81">
        <f>F25*G25</f>
        <v>0</v>
      </c>
      <c r="I25" s="96"/>
      <c r="J25" s="96"/>
    </row>
    <row r="26" spans="1:10" s="1" customFormat="1" ht="15.75" thickBot="1">
      <c r="A26" s="15"/>
      <c r="B26" s="16"/>
      <c r="C26" s="16"/>
      <c r="D26" s="16"/>
      <c r="E26" s="93"/>
      <c r="F26" s="16"/>
      <c r="G26" s="20"/>
      <c r="H26" s="82">
        <f>SUM(H23:H25)</f>
        <v>542</v>
      </c>
      <c r="I26" s="96">
        <f>H26*E23</f>
        <v>19512</v>
      </c>
      <c r="J26" s="96">
        <v>19512</v>
      </c>
    </row>
    <row r="27" spans="1:10">
      <c r="A27" s="11" t="s">
        <v>39</v>
      </c>
      <c r="B27" s="12" t="s">
        <v>25</v>
      </c>
      <c r="C27" s="12" t="s">
        <v>26</v>
      </c>
      <c r="D27" s="12">
        <v>1</v>
      </c>
      <c r="E27" s="92">
        <f>з.пл.!E11</f>
        <v>198</v>
      </c>
      <c r="F27" s="30">
        <f>D27/E27</f>
        <v>5.0505050505050509E-3</v>
      </c>
      <c r="G27" s="13">
        <f>86960+80000</f>
        <v>166960</v>
      </c>
      <c r="H27" s="80">
        <f>F27*G27</f>
        <v>843.23232323232332</v>
      </c>
    </row>
    <row r="28" spans="1:10" s="1" customFormat="1">
      <c r="A28" s="14"/>
      <c r="B28" s="5" t="s">
        <v>28</v>
      </c>
      <c r="C28" s="5"/>
      <c r="D28" s="5">
        <v>20</v>
      </c>
      <c r="E28" s="105">
        <f>E27</f>
        <v>198</v>
      </c>
      <c r="F28" s="29">
        <f t="shared" ref="F28" si="5">D28/E28</f>
        <v>0.10101010101010101</v>
      </c>
      <c r="G28" s="6">
        <v>1500</v>
      </c>
      <c r="H28" s="81">
        <f>F28*G28</f>
        <v>151.5151515151515</v>
      </c>
      <c r="I28" s="96"/>
      <c r="J28" s="96"/>
    </row>
    <row r="29" spans="1:10" s="1" customFormat="1">
      <c r="A29" s="14"/>
      <c r="B29" s="5"/>
      <c r="C29" s="10"/>
      <c r="D29" s="5"/>
      <c r="E29" s="105"/>
      <c r="F29" s="29"/>
      <c r="G29" s="6"/>
      <c r="H29" s="81">
        <f>F29*G29</f>
        <v>0</v>
      </c>
      <c r="I29" s="96"/>
      <c r="J29" s="96"/>
    </row>
    <row r="30" spans="1:10" s="1" customFormat="1" ht="15.75" thickBot="1">
      <c r="A30" s="15"/>
      <c r="B30" s="16"/>
      <c r="C30" s="16"/>
      <c r="D30" s="16"/>
      <c r="E30" s="93"/>
      <c r="F30" s="16"/>
      <c r="G30" s="20"/>
      <c r="H30" s="82">
        <f>SUM(H27:H29)</f>
        <v>994.74747474747483</v>
      </c>
      <c r="I30" s="96">
        <f>H30*E27</f>
        <v>196960.00000000003</v>
      </c>
      <c r="J30" s="96">
        <v>196960</v>
      </c>
    </row>
    <row r="31" spans="1:10">
      <c r="A31" s="11" t="s">
        <v>40</v>
      </c>
      <c r="B31" s="12" t="s">
        <v>25</v>
      </c>
      <c r="C31" s="12" t="s">
        <v>26</v>
      </c>
      <c r="D31" s="12">
        <v>1</v>
      </c>
      <c r="E31" s="92">
        <f>з.пл.!E12</f>
        <v>232</v>
      </c>
      <c r="F31" s="30">
        <f>D31/E31</f>
        <v>4.3103448275862068E-3</v>
      </c>
      <c r="G31" s="13">
        <v>125600</v>
      </c>
      <c r="H31" s="80">
        <f>F31*G31</f>
        <v>541.37931034482756</v>
      </c>
    </row>
    <row r="32" spans="1:10" s="1" customFormat="1">
      <c r="A32" s="14"/>
      <c r="B32" s="5" t="s">
        <v>28</v>
      </c>
      <c r="C32" s="5"/>
      <c r="D32" s="5">
        <v>10</v>
      </c>
      <c r="E32" s="105">
        <f>E31</f>
        <v>232</v>
      </c>
      <c r="F32" s="29">
        <f t="shared" ref="F32" si="6">D32/E32</f>
        <v>4.3103448275862072E-2</v>
      </c>
      <c r="G32" s="6">
        <v>1500</v>
      </c>
      <c r="H32" s="81">
        <f>F32*G32</f>
        <v>64.65517241379311</v>
      </c>
      <c r="I32" s="96"/>
      <c r="J32" s="96"/>
    </row>
    <row r="33" spans="1:10" s="1" customFormat="1">
      <c r="A33" s="14"/>
      <c r="B33" s="5"/>
      <c r="C33" s="10"/>
      <c r="D33" s="5"/>
      <c r="E33" s="105"/>
      <c r="F33" s="29"/>
      <c r="G33" s="6"/>
      <c r="H33" s="81">
        <f>F33*G33</f>
        <v>0</v>
      </c>
      <c r="I33" s="96"/>
      <c r="J33" s="96"/>
    </row>
    <row r="34" spans="1:10" s="1" customFormat="1" ht="15.75" thickBot="1">
      <c r="A34" s="15"/>
      <c r="B34" s="16"/>
      <c r="C34" s="16"/>
      <c r="D34" s="16"/>
      <c r="E34" s="93"/>
      <c r="F34" s="16"/>
      <c r="G34" s="20"/>
      <c r="H34" s="82">
        <f>SUM(H31:H33)</f>
        <v>606.0344827586207</v>
      </c>
      <c r="I34" s="96">
        <f>H34*E31</f>
        <v>140600</v>
      </c>
      <c r="J34" s="96">
        <v>140600</v>
      </c>
    </row>
    <row r="35" spans="1:10">
      <c r="A35" s="11" t="s">
        <v>57</v>
      </c>
      <c r="B35" s="12" t="s">
        <v>25</v>
      </c>
      <c r="C35" s="12" t="s">
        <v>26</v>
      </c>
      <c r="D35" s="12">
        <v>1</v>
      </c>
      <c r="E35" s="92">
        <f>з.пл.!E13</f>
        <v>122</v>
      </c>
      <c r="F35" s="30">
        <f>D35/E35</f>
        <v>8.1967213114754103E-3</v>
      </c>
      <c r="G35" s="13">
        <f>17980+35270</f>
        <v>53250</v>
      </c>
      <c r="H35" s="80">
        <f>F35*G35</f>
        <v>436.47540983606558</v>
      </c>
    </row>
    <row r="36" spans="1:10" s="1" customFormat="1">
      <c r="A36" s="14"/>
      <c r="B36" s="5" t="s">
        <v>28</v>
      </c>
      <c r="C36" s="5"/>
      <c r="D36" s="5">
        <v>10</v>
      </c>
      <c r="E36" s="105">
        <f>E35</f>
        <v>122</v>
      </c>
      <c r="F36" s="29">
        <f t="shared" ref="F36" si="7">D36/E36</f>
        <v>8.1967213114754092E-2</v>
      </c>
      <c r="G36" s="6">
        <v>1500</v>
      </c>
      <c r="H36" s="81">
        <f>F36*G36</f>
        <v>122.95081967213113</v>
      </c>
      <c r="I36" s="96"/>
      <c r="J36" s="96"/>
    </row>
    <row r="37" spans="1:10" s="1" customFormat="1">
      <c r="A37" s="14"/>
      <c r="B37" s="5"/>
      <c r="C37" s="10"/>
      <c r="D37" s="5"/>
      <c r="E37" s="105"/>
      <c r="F37" s="29"/>
      <c r="G37" s="6"/>
      <c r="H37" s="81">
        <f>F37*G37</f>
        <v>0</v>
      </c>
      <c r="I37" s="96"/>
      <c r="J37" s="96"/>
    </row>
    <row r="38" spans="1:10" s="1" customFormat="1" ht="15.75" thickBot="1">
      <c r="A38" s="15"/>
      <c r="B38" s="16"/>
      <c r="C38" s="16"/>
      <c r="D38" s="16"/>
      <c r="E38" s="93"/>
      <c r="F38" s="16"/>
      <c r="G38" s="20"/>
      <c r="H38" s="82">
        <f>SUM(H35:H37)</f>
        <v>559.42622950819668</v>
      </c>
      <c r="I38" s="96">
        <f>H38*E35</f>
        <v>68250</v>
      </c>
      <c r="J38" s="96">
        <v>68250</v>
      </c>
    </row>
    <row r="39" spans="1:10">
      <c r="A39" s="11" t="s">
        <v>41</v>
      </c>
      <c r="B39" s="12" t="s">
        <v>25</v>
      </c>
      <c r="C39" s="12" t="s">
        <v>26</v>
      </c>
      <c r="D39" s="12">
        <v>1</v>
      </c>
      <c r="E39" s="92">
        <f>з.пл.!E14</f>
        <v>120</v>
      </c>
      <c r="F39" s="30">
        <f>D39/E39</f>
        <v>8.3333333333333332E-3</v>
      </c>
      <c r="G39" s="13">
        <f>63040+17000</f>
        <v>80040</v>
      </c>
      <c r="H39" s="80">
        <f>F39*G39</f>
        <v>667</v>
      </c>
    </row>
    <row r="40" spans="1:10" s="1" customFormat="1">
      <c r="A40" s="14"/>
      <c r="B40" s="5" t="s">
        <v>28</v>
      </c>
      <c r="C40" s="5"/>
      <c r="D40" s="5">
        <v>5</v>
      </c>
      <c r="E40" s="105">
        <f>E39</f>
        <v>120</v>
      </c>
      <c r="F40" s="29">
        <f t="shared" ref="F40" si="8">D40/E40</f>
        <v>4.1666666666666664E-2</v>
      </c>
      <c r="G40" s="6">
        <v>550</v>
      </c>
      <c r="H40" s="81">
        <f>F40*G40</f>
        <v>22.916666666666664</v>
      </c>
      <c r="I40" s="96"/>
      <c r="J40" s="96"/>
    </row>
    <row r="41" spans="1:10" s="1" customFormat="1">
      <c r="A41" s="14"/>
      <c r="B41" s="5"/>
      <c r="C41" s="10"/>
      <c r="D41" s="5"/>
      <c r="E41" s="105"/>
      <c r="F41" s="29"/>
      <c r="G41" s="6"/>
      <c r="H41" s="81">
        <f>F41*G41</f>
        <v>0</v>
      </c>
      <c r="I41" s="96"/>
      <c r="J41" s="96"/>
    </row>
    <row r="42" spans="1:10" s="1" customFormat="1" ht="15.75" thickBot="1">
      <c r="A42" s="15"/>
      <c r="B42" s="16"/>
      <c r="C42" s="16"/>
      <c r="D42" s="16"/>
      <c r="E42" s="93"/>
      <c r="F42" s="16"/>
      <c r="G42" s="20"/>
      <c r="H42" s="82">
        <f>SUM(H39:H41)</f>
        <v>689.91666666666663</v>
      </c>
      <c r="I42" s="96">
        <f>H42*E39</f>
        <v>82790</v>
      </c>
      <c r="J42" s="96">
        <v>82790</v>
      </c>
    </row>
    <row r="43" spans="1:10" ht="15.75" thickBot="1">
      <c r="H43" s="35"/>
    </row>
    <row r="44" spans="1:10">
      <c r="A44" s="11" t="s">
        <v>30</v>
      </c>
      <c r="B44" s="12" t="s">
        <v>25</v>
      </c>
      <c r="C44" s="12" t="s">
        <v>26</v>
      </c>
      <c r="D44" s="12">
        <v>1</v>
      </c>
      <c r="E44" s="92">
        <f>з.пл.!E15</f>
        <v>173</v>
      </c>
      <c r="F44" s="30">
        <f>D44/E44</f>
        <v>5.7803468208092483E-3</v>
      </c>
      <c r="G44" s="13">
        <f>99200+15000</f>
        <v>114200</v>
      </c>
      <c r="H44" s="80">
        <f>F44*G44</f>
        <v>660.11560693641616</v>
      </c>
    </row>
    <row r="45" spans="1:10" s="1" customFormat="1">
      <c r="A45" s="14"/>
      <c r="B45" s="5" t="s">
        <v>28</v>
      </c>
      <c r="C45" s="5"/>
      <c r="D45" s="5">
        <v>5</v>
      </c>
      <c r="E45" s="105">
        <f>E44</f>
        <v>173</v>
      </c>
      <c r="F45" s="29">
        <f t="shared" ref="F45" si="9">D45/E45</f>
        <v>2.8901734104046242E-2</v>
      </c>
      <c r="G45" s="6">
        <v>1500</v>
      </c>
      <c r="H45" s="81">
        <f>F45*G45</f>
        <v>43.352601156069362</v>
      </c>
      <c r="I45" s="96"/>
      <c r="J45" s="96"/>
    </row>
    <row r="46" spans="1:10" s="1" customFormat="1">
      <c r="A46" s="14"/>
      <c r="B46" s="5"/>
      <c r="C46" s="10"/>
      <c r="D46" s="5"/>
      <c r="E46" s="105"/>
      <c r="F46" s="29"/>
      <c r="G46" s="6"/>
      <c r="H46" s="81">
        <f>F46*G46</f>
        <v>0</v>
      </c>
      <c r="I46" s="96"/>
      <c r="J46" s="96"/>
    </row>
    <row r="47" spans="1:10" s="1" customFormat="1" ht="15.75" thickBot="1">
      <c r="A47" s="15"/>
      <c r="B47" s="16"/>
      <c r="C47" s="16"/>
      <c r="D47" s="16"/>
      <c r="E47" s="93"/>
      <c r="F47" s="16"/>
      <c r="G47" s="20"/>
      <c r="H47" s="82">
        <f>SUM(H44:H46)</f>
        <v>703.4682080924855</v>
      </c>
      <c r="I47" s="95">
        <f>H47*E44</f>
        <v>121699.99999999999</v>
      </c>
      <c r="J47" s="96">
        <v>121700</v>
      </c>
    </row>
    <row r="48" spans="1:10">
      <c r="A48" s="11" t="s">
        <v>36</v>
      </c>
      <c r="B48" s="12" t="s">
        <v>25</v>
      </c>
      <c r="C48" s="12" t="s">
        <v>26</v>
      </c>
      <c r="D48" s="12">
        <v>1</v>
      </c>
      <c r="E48" s="92">
        <f>з.пл.!E16</f>
        <v>248</v>
      </c>
      <c r="F48" s="30">
        <f>D48/E48</f>
        <v>4.0322580645161289E-3</v>
      </c>
      <c r="G48" s="13">
        <f>106000+25320</f>
        <v>131320</v>
      </c>
      <c r="H48" s="80">
        <f>F48*G48</f>
        <v>529.51612903225805</v>
      </c>
    </row>
    <row r="49" spans="1:10" s="1" customFormat="1">
      <c r="A49" s="14"/>
      <c r="B49" s="5" t="s">
        <v>28</v>
      </c>
      <c r="C49" s="5"/>
      <c r="D49" s="5">
        <v>10</v>
      </c>
      <c r="E49" s="105">
        <f>E48</f>
        <v>248</v>
      </c>
      <c r="F49" s="29">
        <f t="shared" ref="F49" si="10">D49/E49</f>
        <v>4.0322580645161289E-2</v>
      </c>
      <c r="G49" s="6">
        <v>1500</v>
      </c>
      <c r="H49" s="81">
        <f>F49*G49</f>
        <v>60.483870967741936</v>
      </c>
      <c r="I49" s="96"/>
      <c r="J49" s="96"/>
    </row>
    <row r="50" spans="1:10" s="1" customFormat="1">
      <c r="A50" s="14"/>
      <c r="B50" s="5"/>
      <c r="C50" s="10"/>
      <c r="D50" s="5"/>
      <c r="E50" s="105"/>
      <c r="F50" s="29"/>
      <c r="G50" s="6"/>
      <c r="H50" s="81">
        <f>F50*G50</f>
        <v>0</v>
      </c>
      <c r="I50" s="96"/>
      <c r="J50" s="96"/>
    </row>
    <row r="51" spans="1:10" s="1" customFormat="1" ht="15.75" thickBot="1">
      <c r="A51" s="15"/>
      <c r="B51" s="16"/>
      <c r="C51" s="16"/>
      <c r="D51" s="16"/>
      <c r="E51" s="93"/>
      <c r="F51" s="16"/>
      <c r="G51" s="20"/>
      <c r="H51" s="82">
        <f>SUM(H48:H50)</f>
        <v>590</v>
      </c>
      <c r="I51" s="96">
        <f>H51*E48</f>
        <v>146320</v>
      </c>
      <c r="J51" s="96">
        <v>146320</v>
      </c>
    </row>
    <row r="52" spans="1:10" ht="15.75" thickBot="1">
      <c r="H52" s="35"/>
    </row>
    <row r="53" spans="1:10">
      <c r="A53" s="11" t="s">
        <v>37</v>
      </c>
      <c r="B53" s="12" t="s">
        <v>25</v>
      </c>
      <c r="C53" s="12" t="s">
        <v>26</v>
      </c>
      <c r="D53" s="12">
        <v>1</v>
      </c>
      <c r="E53" s="92">
        <f>з.пл.!E18</f>
        <v>315</v>
      </c>
      <c r="F53" s="30">
        <f>D53/E53</f>
        <v>3.1746031746031746E-3</v>
      </c>
      <c r="G53" s="13">
        <f>104800+84200</f>
        <v>189000</v>
      </c>
      <c r="H53" s="80">
        <f>F53*G53</f>
        <v>600</v>
      </c>
    </row>
    <row r="54" spans="1:10" s="1" customFormat="1">
      <c r="A54" s="14"/>
      <c r="B54" s="5" t="s">
        <v>28</v>
      </c>
      <c r="C54" s="5"/>
      <c r="D54" s="5">
        <v>10</v>
      </c>
      <c r="E54" s="105">
        <f>E53</f>
        <v>315</v>
      </c>
      <c r="F54" s="29">
        <f t="shared" ref="F54" si="11">D54/E54</f>
        <v>3.1746031746031744E-2</v>
      </c>
      <c r="G54" s="6">
        <v>1500</v>
      </c>
      <c r="H54" s="81">
        <f>F54*G54</f>
        <v>47.619047619047613</v>
      </c>
      <c r="I54" s="96"/>
      <c r="J54" s="96"/>
    </row>
    <row r="55" spans="1:10" s="1" customFormat="1">
      <c r="A55" s="14"/>
      <c r="B55" s="5"/>
      <c r="C55" s="10"/>
      <c r="D55" s="5"/>
      <c r="E55" s="105"/>
      <c r="F55" s="29"/>
      <c r="G55" s="6"/>
      <c r="H55" s="81">
        <f>F55*G55</f>
        <v>0</v>
      </c>
      <c r="I55" s="96"/>
      <c r="J55" s="96"/>
    </row>
    <row r="56" spans="1:10" s="1" customFormat="1" ht="15.75" thickBot="1">
      <c r="A56" s="15"/>
      <c r="B56" s="16"/>
      <c r="C56" s="16"/>
      <c r="D56" s="16"/>
      <c r="E56" s="93"/>
      <c r="F56" s="16"/>
      <c r="G56" s="20"/>
      <c r="H56" s="82">
        <f>SUM(H53:H55)</f>
        <v>647.61904761904759</v>
      </c>
      <c r="I56" s="96">
        <f>H56*E53</f>
        <v>204000</v>
      </c>
      <c r="J56" s="96">
        <v>204000</v>
      </c>
    </row>
    <row r="57" spans="1:10">
      <c r="A57" s="11" t="s">
        <v>38</v>
      </c>
      <c r="B57" s="12" t="s">
        <v>25</v>
      </c>
      <c r="C57" s="12" t="s">
        <v>26</v>
      </c>
      <c r="D57" s="12">
        <v>1</v>
      </c>
      <c r="E57" s="92">
        <f>з.пл.!E19</f>
        <v>400</v>
      </c>
      <c r="F57" s="30">
        <f>D57/E57</f>
        <v>2.5000000000000001E-3</v>
      </c>
      <c r="G57" s="13">
        <f>154930+109990</f>
        <v>264920</v>
      </c>
      <c r="H57" s="80">
        <f>F57*G57</f>
        <v>662.30000000000007</v>
      </c>
    </row>
    <row r="58" spans="1:10" s="1" customFormat="1">
      <c r="A58" s="14"/>
      <c r="B58" s="5" t="s">
        <v>28</v>
      </c>
      <c r="C58" s="5"/>
      <c r="D58" s="5">
        <v>10</v>
      </c>
      <c r="E58" s="105">
        <f>E57</f>
        <v>400</v>
      </c>
      <c r="F58" s="29">
        <f t="shared" ref="F58" si="12">D58/E58</f>
        <v>2.5000000000000001E-2</v>
      </c>
      <c r="G58" s="6">
        <v>1500</v>
      </c>
      <c r="H58" s="81">
        <f>F58*G58</f>
        <v>37.5</v>
      </c>
      <c r="I58" s="96"/>
      <c r="J58" s="96"/>
    </row>
    <row r="59" spans="1:10" s="1" customFormat="1">
      <c r="A59" s="14"/>
      <c r="B59" s="5"/>
      <c r="C59" s="10"/>
      <c r="D59" s="5"/>
      <c r="E59" s="105"/>
      <c r="F59" s="29"/>
      <c r="G59" s="6"/>
      <c r="H59" s="81">
        <f>F59*G59</f>
        <v>0</v>
      </c>
      <c r="I59" s="96"/>
      <c r="J59" s="96"/>
    </row>
    <row r="60" spans="1:10" s="1" customFormat="1" ht="15.75" thickBot="1">
      <c r="A60" s="15"/>
      <c r="B60" s="16"/>
      <c r="C60" s="16"/>
      <c r="D60" s="16"/>
      <c r="E60" s="93"/>
      <c r="F60" s="16"/>
      <c r="G60" s="20"/>
      <c r="H60" s="82">
        <f>SUM(H57:H59)</f>
        <v>699.80000000000007</v>
      </c>
      <c r="I60" s="96">
        <f>H60*E57</f>
        <v>279920</v>
      </c>
      <c r="J60" s="96">
        <v>279920</v>
      </c>
    </row>
    <row r="64" spans="1:10">
      <c r="F64" s="1">
        <v>39</v>
      </c>
    </row>
  </sheetData>
  <mergeCells count="1">
    <mergeCell ref="A3:H3"/>
  </mergeCells>
  <pageMargins left="0.51181102362204722" right="0" top="0.35433070866141736" bottom="0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з.пл.</vt:lpstr>
      <vt:lpstr>материалы</vt:lpstr>
      <vt:lpstr>иные</vt:lpstr>
      <vt:lpstr>иные!Заголовки_для_печати</vt:lpstr>
      <vt:lpstr>материалы!Заголовки_для_печати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2021-11-29T10:33:52Z</dcterms:modified>
</cp:coreProperties>
</file>