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з.пл.!$4:$5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  <definedName name="_xlnm.Print_Area" localSheetId="0">ком.усл!$A$1:$L$409</definedName>
    <definedName name="_xlnm.Print_Area" localSheetId="1">сод.недв.им.!$A$1:$K$459</definedName>
  </definedNames>
  <calcPr calcId="124519"/>
</workbook>
</file>

<file path=xl/calcChain.xml><?xml version="1.0" encoding="utf-8"?>
<calcChain xmlns="http://schemas.openxmlformats.org/spreadsheetml/2006/main">
  <c r="H358" i="1"/>
  <c r="J457" i="5"/>
  <c r="J302"/>
  <c r="H301"/>
  <c r="H300"/>
  <c r="H299"/>
  <c r="H297"/>
  <c r="H296"/>
  <c r="H295"/>
  <c r="H294"/>
  <c r="H293"/>
  <c r="H292"/>
  <c r="H290"/>
  <c r="H289"/>
  <c r="H288"/>
  <c r="H287"/>
  <c r="H147"/>
  <c r="H151"/>
  <c r="H150"/>
  <c r="H149"/>
  <c r="H146"/>
  <c r="H145"/>
  <c r="H144"/>
  <c r="H143"/>
  <c r="H142"/>
  <c r="H140"/>
  <c r="H139"/>
  <c r="H138"/>
  <c r="H137"/>
  <c r="J152"/>
  <c r="J286"/>
  <c r="H285"/>
  <c r="H284"/>
  <c r="H283"/>
  <c r="H282"/>
  <c r="H281"/>
  <c r="H280"/>
  <c r="H279"/>
  <c r="H278"/>
  <c r="H277"/>
  <c r="H276"/>
  <c r="H275"/>
  <c r="H274"/>
  <c r="H273"/>
  <c r="H272"/>
  <c r="H271"/>
  <c r="H435"/>
  <c r="H434"/>
  <c r="H433"/>
  <c r="H432"/>
  <c r="H431"/>
  <c r="H430"/>
  <c r="H429"/>
  <c r="H428"/>
  <c r="H427"/>
  <c r="H426"/>
  <c r="H425"/>
  <c r="H424"/>
  <c r="H423"/>
  <c r="H422"/>
  <c r="H421"/>
  <c r="J436"/>
  <c r="H125"/>
  <c r="H123"/>
  <c r="H131"/>
  <c r="H132"/>
  <c r="H135"/>
  <c r="H134"/>
  <c r="H133"/>
  <c r="H130"/>
  <c r="H129"/>
  <c r="H128"/>
  <c r="H127"/>
  <c r="H126"/>
  <c r="H124"/>
  <c r="H122"/>
  <c r="H121"/>
  <c r="J136"/>
  <c r="H268"/>
  <c r="H267"/>
  <c r="H266"/>
  <c r="H265"/>
  <c r="H264"/>
  <c r="H263"/>
  <c r="H262"/>
  <c r="H261"/>
  <c r="H260"/>
  <c r="H259"/>
  <c r="H257"/>
  <c r="H255"/>
  <c r="H254"/>
  <c r="J269"/>
  <c r="H418"/>
  <c r="H417"/>
  <c r="H416"/>
  <c r="H415"/>
  <c r="H414"/>
  <c r="H413"/>
  <c r="H412"/>
  <c r="H411"/>
  <c r="H410"/>
  <c r="H409"/>
  <c r="H407"/>
  <c r="H405"/>
  <c r="H404"/>
  <c r="J419"/>
  <c r="H114"/>
  <c r="H118"/>
  <c r="H117"/>
  <c r="H116"/>
  <c r="H115"/>
  <c r="H113"/>
  <c r="H111"/>
  <c r="H112"/>
  <c r="H110"/>
  <c r="H109"/>
  <c r="H107"/>
  <c r="H105"/>
  <c r="H104"/>
  <c r="J119"/>
  <c r="J456"/>
  <c r="J252"/>
  <c r="H251"/>
  <c r="H250"/>
  <c r="H249"/>
  <c r="H248"/>
  <c r="H247"/>
  <c r="H245"/>
  <c r="H244"/>
  <c r="H243"/>
  <c r="H242"/>
  <c r="H241"/>
  <c r="H240"/>
  <c r="H239"/>
  <c r="H238"/>
  <c r="H237"/>
  <c r="H401"/>
  <c r="H400"/>
  <c r="H399"/>
  <c r="H398"/>
  <c r="H397"/>
  <c r="H395"/>
  <c r="H394"/>
  <c r="H393"/>
  <c r="H392"/>
  <c r="H391"/>
  <c r="H390"/>
  <c r="H389"/>
  <c r="H388"/>
  <c r="H387"/>
  <c r="J402"/>
  <c r="H98"/>
  <c r="H101"/>
  <c r="H100"/>
  <c r="H99"/>
  <c r="H97"/>
  <c r="H95"/>
  <c r="H94"/>
  <c r="H93"/>
  <c r="H92"/>
  <c r="H91"/>
  <c r="H89"/>
  <c r="H90"/>
  <c r="H88"/>
  <c r="H87"/>
  <c r="J102"/>
  <c r="J236"/>
  <c r="H235"/>
  <c r="H234"/>
  <c r="H233"/>
  <c r="H232"/>
  <c r="H231"/>
  <c r="H229"/>
  <c r="H228"/>
  <c r="H227"/>
  <c r="H226"/>
  <c r="H225"/>
  <c r="H224"/>
  <c r="H223"/>
  <c r="H222"/>
  <c r="H221"/>
  <c r="H385"/>
  <c r="H384"/>
  <c r="H383"/>
  <c r="H382"/>
  <c r="H381"/>
  <c r="H379"/>
  <c r="H378"/>
  <c r="H377"/>
  <c r="H376"/>
  <c r="H375"/>
  <c r="H374"/>
  <c r="H373"/>
  <c r="H372"/>
  <c r="H371"/>
  <c r="J386"/>
  <c r="H85"/>
  <c r="H81"/>
  <c r="H84"/>
  <c r="H83"/>
  <c r="H82"/>
  <c r="H79"/>
  <c r="H78"/>
  <c r="H77"/>
  <c r="H76"/>
  <c r="H75"/>
  <c r="H74"/>
  <c r="H73"/>
  <c r="H72"/>
  <c r="H71"/>
  <c r="J86"/>
  <c r="J454"/>
  <c r="J370"/>
  <c r="H369"/>
  <c r="H368"/>
  <c r="H367"/>
  <c r="H366"/>
  <c r="H365"/>
  <c r="H364"/>
  <c r="H363"/>
  <c r="H362"/>
  <c r="H361"/>
  <c r="H360"/>
  <c r="H359"/>
  <c r="H358"/>
  <c r="H357"/>
  <c r="H356"/>
  <c r="H355"/>
  <c r="J220"/>
  <c r="H219"/>
  <c r="H218"/>
  <c r="H217"/>
  <c r="H216"/>
  <c r="H215"/>
  <c r="H214"/>
  <c r="H213"/>
  <c r="H212"/>
  <c r="H211"/>
  <c r="H210"/>
  <c r="H209"/>
  <c r="H208"/>
  <c r="H207"/>
  <c r="H206"/>
  <c r="H205"/>
  <c r="J70"/>
  <c r="H69"/>
  <c r="H68"/>
  <c r="H67"/>
  <c r="H66"/>
  <c r="H65"/>
  <c r="H64"/>
  <c r="H63"/>
  <c r="H62"/>
  <c r="H61"/>
  <c r="H60"/>
  <c r="H59"/>
  <c r="H58"/>
  <c r="H57"/>
  <c r="H56"/>
  <c r="H55"/>
  <c r="H352"/>
  <c r="J354"/>
  <c r="J204"/>
  <c r="H202"/>
  <c r="H52"/>
  <c r="J54"/>
  <c r="H203"/>
  <c r="H201"/>
  <c r="H200"/>
  <c r="H199"/>
  <c r="H198"/>
  <c r="H197"/>
  <c r="H196"/>
  <c r="H195"/>
  <c r="H194"/>
  <c r="H193"/>
  <c r="H192"/>
  <c r="H191"/>
  <c r="H190"/>
  <c r="H189"/>
  <c r="H353"/>
  <c r="H351"/>
  <c r="H350"/>
  <c r="H349"/>
  <c r="H348"/>
  <c r="H347"/>
  <c r="H346"/>
  <c r="H345"/>
  <c r="H344"/>
  <c r="H343"/>
  <c r="H342"/>
  <c r="H341"/>
  <c r="H340"/>
  <c r="H339"/>
  <c r="H50"/>
  <c r="H49"/>
  <c r="H53"/>
  <c r="H51"/>
  <c r="H48"/>
  <c r="H47"/>
  <c r="H46"/>
  <c r="H45"/>
  <c r="H44"/>
  <c r="H43"/>
  <c r="H42"/>
  <c r="H41"/>
  <c r="H40"/>
  <c r="H39"/>
  <c r="H187"/>
  <c r="H186"/>
  <c r="H185"/>
  <c r="H184"/>
  <c r="H183"/>
  <c r="H182"/>
  <c r="H181"/>
  <c r="H180"/>
  <c r="H179"/>
  <c r="H178"/>
  <c r="H176"/>
  <c r="H175"/>
  <c r="H174"/>
  <c r="H173"/>
  <c r="J188"/>
  <c r="H337"/>
  <c r="H336"/>
  <c r="H335"/>
  <c r="H334"/>
  <c r="H333"/>
  <c r="H332"/>
  <c r="H331"/>
  <c r="H330"/>
  <c r="H329"/>
  <c r="H328"/>
  <c r="H326"/>
  <c r="H325"/>
  <c r="H324"/>
  <c r="H323"/>
  <c r="J338"/>
  <c r="H29"/>
  <c r="H37"/>
  <c r="H36"/>
  <c r="H34"/>
  <c r="H28"/>
  <c r="H33"/>
  <c r="H35"/>
  <c r="H32"/>
  <c r="H30"/>
  <c r="H26"/>
  <c r="H25"/>
  <c r="H23"/>
  <c r="J38"/>
  <c r="H171"/>
  <c r="H170"/>
  <c r="H169"/>
  <c r="H168"/>
  <c r="H167"/>
  <c r="H166"/>
  <c r="H165"/>
  <c r="H164"/>
  <c r="H163"/>
  <c r="H162"/>
  <c r="H161"/>
  <c r="H160"/>
  <c r="H159"/>
  <c r="H158"/>
  <c r="H157"/>
  <c r="J172"/>
  <c r="H321"/>
  <c r="H320"/>
  <c r="H319"/>
  <c r="H318"/>
  <c r="H317"/>
  <c r="H316"/>
  <c r="H315"/>
  <c r="H314"/>
  <c r="H313"/>
  <c r="H312"/>
  <c r="H311"/>
  <c r="H310"/>
  <c r="H309"/>
  <c r="H308"/>
  <c r="H307"/>
  <c r="J322"/>
  <c r="J22"/>
  <c r="H18"/>
  <c r="H20"/>
  <c r="H21"/>
  <c r="H19"/>
  <c r="H17"/>
  <c r="H16"/>
  <c r="H15"/>
  <c r="H14"/>
  <c r="H13"/>
  <c r="H12"/>
  <c r="H11"/>
  <c r="H10"/>
  <c r="H9"/>
  <c r="H8"/>
  <c r="H7"/>
  <c r="E449"/>
  <c r="E448"/>
  <c r="E447"/>
  <c r="E446"/>
  <c r="E445"/>
  <c r="E444"/>
  <c r="E443"/>
  <c r="E442"/>
  <c r="E441"/>
  <c r="E440"/>
  <c r="E439"/>
  <c r="E438"/>
  <c r="E437"/>
  <c r="J451"/>
  <c r="J452"/>
  <c r="J453"/>
  <c r="J455"/>
  <c r="J458"/>
  <c r="J459"/>
  <c r="J100" i="7"/>
  <c r="H99"/>
  <c r="H98"/>
  <c r="H97"/>
  <c r="H96"/>
  <c r="L99"/>
  <c r="L98"/>
  <c r="L97"/>
  <c r="L96"/>
  <c r="H50"/>
  <c r="H49"/>
  <c r="H48"/>
  <c r="H47"/>
  <c r="J51"/>
  <c r="J180"/>
  <c r="H150"/>
  <c r="H149"/>
  <c r="H148"/>
  <c r="H147"/>
  <c r="J152"/>
  <c r="J95"/>
  <c r="H94"/>
  <c r="H93"/>
  <c r="H92"/>
  <c r="H91"/>
  <c r="L94"/>
  <c r="L93"/>
  <c r="L92"/>
  <c r="L91"/>
  <c r="H45"/>
  <c r="H44"/>
  <c r="H43"/>
  <c r="H42" l="1"/>
  <c r="J46"/>
  <c r="J179"/>
  <c r="H144" l="1"/>
  <c r="H143"/>
  <c r="H142"/>
  <c r="H141"/>
  <c r="J146"/>
  <c r="H89"/>
  <c r="H88"/>
  <c r="H87"/>
  <c r="H86"/>
  <c r="J90"/>
  <c r="L89"/>
  <c r="L88"/>
  <c r="L87"/>
  <c r="L86"/>
  <c r="H37"/>
  <c r="H40"/>
  <c r="H39"/>
  <c r="H38"/>
  <c r="J41"/>
  <c r="J178"/>
  <c r="H138"/>
  <c r="H137"/>
  <c r="H136"/>
  <c r="H135"/>
  <c r="J140"/>
  <c r="J85"/>
  <c r="H84"/>
  <c r="H83"/>
  <c r="H82"/>
  <c r="H81"/>
  <c r="L84"/>
  <c r="L83"/>
  <c r="L82"/>
  <c r="L81"/>
  <c r="H35"/>
  <c r="H34"/>
  <c r="H33"/>
  <c r="H32"/>
  <c r="J36"/>
  <c r="J177"/>
  <c r="H132"/>
  <c r="H131"/>
  <c r="H130"/>
  <c r="H129"/>
  <c r="J134"/>
  <c r="J80"/>
  <c r="H79"/>
  <c r="H78"/>
  <c r="H77"/>
  <c r="H76"/>
  <c r="L79"/>
  <c r="L78"/>
  <c r="L77"/>
  <c r="L76"/>
  <c r="H30"/>
  <c r="H29"/>
  <c r="H28"/>
  <c r="H27"/>
  <c r="J31"/>
  <c r="J176"/>
  <c r="J175"/>
  <c r="H126"/>
  <c r="H125"/>
  <c r="H124"/>
  <c r="H123"/>
  <c r="J128"/>
  <c r="J75"/>
  <c r="H74"/>
  <c r="H73"/>
  <c r="H72"/>
  <c r="H71"/>
  <c r="L74"/>
  <c r="L73"/>
  <c r="L72"/>
  <c r="L71"/>
  <c r="J26"/>
  <c r="H22"/>
  <c r="H25"/>
  <c r="H24"/>
  <c r="H23"/>
  <c r="J174"/>
  <c r="H120"/>
  <c r="H119"/>
  <c r="H118"/>
  <c r="H117"/>
  <c r="J122"/>
  <c r="J70"/>
  <c r="H69"/>
  <c r="H68"/>
  <c r="H67"/>
  <c r="H66"/>
  <c r="J21"/>
  <c r="H20"/>
  <c r="H19"/>
  <c r="H18"/>
  <c r="H17"/>
  <c r="J110"/>
  <c r="H108"/>
  <c r="H107"/>
  <c r="H106"/>
  <c r="H105"/>
  <c r="J172"/>
  <c r="J173"/>
  <c r="J65"/>
  <c r="H64"/>
  <c r="H63"/>
  <c r="H62"/>
  <c r="H61"/>
  <c r="J116"/>
  <c r="H114"/>
  <c r="H113"/>
  <c r="H112"/>
  <c r="H111"/>
  <c r="J16"/>
  <c r="H15"/>
  <c r="H14"/>
  <c r="H12"/>
  <c r="H13"/>
  <c r="J60"/>
  <c r="H59"/>
  <c r="H58"/>
  <c r="H57"/>
  <c r="H56"/>
  <c r="J11"/>
  <c r="H9"/>
  <c r="H8"/>
  <c r="H7"/>
  <c r="H10"/>
  <c r="E169"/>
  <c r="E168"/>
  <c r="E166"/>
  <c r="E165"/>
  <c r="E163"/>
  <c r="E162"/>
  <c r="K145" i="4"/>
  <c r="K94"/>
  <c r="K43"/>
  <c r="D104"/>
  <c r="D103"/>
  <c r="D101"/>
  <c r="K105"/>
  <c r="D53"/>
  <c r="D52"/>
  <c r="D50"/>
  <c r="K54"/>
  <c r="D99"/>
  <c r="D98"/>
  <c r="D96"/>
  <c r="K100"/>
  <c r="D147"/>
  <c r="D149"/>
  <c r="D150"/>
  <c r="K151"/>
  <c r="D48"/>
  <c r="D47"/>
  <c r="D45"/>
  <c r="K49"/>
  <c r="D93"/>
  <c r="D92"/>
  <c r="D90"/>
  <c r="D144"/>
  <c r="D143"/>
  <c r="D141"/>
  <c r="D42"/>
  <c r="D41"/>
  <c r="D39"/>
  <c r="D88"/>
  <c r="D87"/>
  <c r="D85"/>
  <c r="K89"/>
  <c r="D139"/>
  <c r="D138"/>
  <c r="D136"/>
  <c r="K140"/>
  <c r="D37"/>
  <c r="D36"/>
  <c r="D34"/>
  <c r="K38"/>
  <c r="D83"/>
  <c r="D82"/>
  <c r="D80"/>
  <c r="K84"/>
  <c r="D134"/>
  <c r="D133"/>
  <c r="D131"/>
  <c r="K135"/>
  <c r="D32"/>
  <c r="D31"/>
  <c r="D29"/>
  <c r="K33"/>
  <c r="K79"/>
  <c r="D78"/>
  <c r="D77"/>
  <c r="D75"/>
  <c r="D129"/>
  <c r="D128"/>
  <c r="D126"/>
  <c r="K130"/>
  <c r="K28"/>
  <c r="D27"/>
  <c r="D26"/>
  <c r="D24"/>
  <c r="D73"/>
  <c r="D72"/>
  <c r="D70"/>
  <c r="K74"/>
  <c r="D124"/>
  <c r="D123"/>
  <c r="D121"/>
  <c r="K125"/>
  <c r="D22"/>
  <c r="D21"/>
  <c r="D19"/>
  <c r="K23"/>
  <c r="K69"/>
  <c r="D68"/>
  <c r="D67"/>
  <c r="D65"/>
  <c r="K120"/>
  <c r="D119"/>
  <c r="D118"/>
  <c r="D116"/>
  <c r="K18"/>
  <c r="D17"/>
  <c r="D16"/>
  <c r="D14"/>
  <c r="K115"/>
  <c r="D114"/>
  <c r="D113"/>
  <c r="D111"/>
  <c r="K64"/>
  <c r="D63"/>
  <c r="D62"/>
  <c r="D60"/>
  <c r="K13"/>
  <c r="D9"/>
  <c r="D12"/>
  <c r="D11"/>
  <c r="E398"/>
  <c r="E397"/>
  <c r="E396"/>
  <c r="E395"/>
  <c r="E393"/>
  <c r="E392"/>
  <c r="E391"/>
  <c r="E390"/>
  <c r="E387"/>
  <c r="E386"/>
  <c r="E385"/>
  <c r="E384"/>
  <c r="E381"/>
  <c r="E380"/>
  <c r="E379"/>
  <c r="E378"/>
  <c r="E376"/>
  <c r="E375"/>
  <c r="E374"/>
  <c r="E373"/>
  <c r="E371"/>
  <c r="E370"/>
  <c r="E369"/>
  <c r="E368"/>
  <c r="E366"/>
  <c r="E365"/>
  <c r="E364"/>
  <c r="E363"/>
  <c r="E361"/>
  <c r="E360"/>
  <c r="E359"/>
  <c r="E358"/>
  <c r="E356"/>
  <c r="E355"/>
  <c r="E354"/>
  <c r="E353"/>
  <c r="E346"/>
  <c r="E345"/>
  <c r="E344"/>
  <c r="E343"/>
  <c r="E341"/>
  <c r="E340"/>
  <c r="E339"/>
  <c r="E338"/>
  <c r="E336"/>
  <c r="E335"/>
  <c r="E334"/>
  <c r="E333"/>
  <c r="E331"/>
  <c r="E330"/>
  <c r="E329"/>
  <c r="E328"/>
  <c r="E326"/>
  <c r="E325"/>
  <c r="E324"/>
  <c r="E323"/>
  <c r="E320"/>
  <c r="E319"/>
  <c r="E318"/>
  <c r="E317"/>
  <c r="E315"/>
  <c r="E314"/>
  <c r="E313"/>
  <c r="E312"/>
  <c r="E310"/>
  <c r="E309"/>
  <c r="E308"/>
  <c r="E307"/>
  <c r="E305"/>
  <c r="E304"/>
  <c r="E303"/>
  <c r="E302"/>
  <c r="E300"/>
  <c r="E299"/>
  <c r="E298"/>
  <c r="E297"/>
  <c r="E295"/>
  <c r="E294"/>
  <c r="E293"/>
  <c r="E292"/>
  <c r="E290"/>
  <c r="E289"/>
  <c r="E288"/>
  <c r="E287"/>
  <c r="E285"/>
  <c r="E284"/>
  <c r="E283"/>
  <c r="E282"/>
  <c r="E280"/>
  <c r="E279"/>
  <c r="E278"/>
  <c r="E277"/>
  <c r="E275"/>
  <c r="E274"/>
  <c r="E273"/>
  <c r="E272"/>
  <c r="E270"/>
  <c r="E269"/>
  <c r="E268"/>
  <c r="E267"/>
  <c r="E265"/>
  <c r="E264"/>
  <c r="E263"/>
  <c r="E262"/>
  <c r="E260"/>
  <c r="E259"/>
  <c r="E258"/>
  <c r="E257"/>
  <c r="E255"/>
  <c r="E254"/>
  <c r="E253"/>
  <c r="E252"/>
  <c r="E250"/>
  <c r="E249"/>
  <c r="E248"/>
  <c r="E247"/>
  <c r="E245"/>
  <c r="E244"/>
  <c r="E243"/>
  <c r="E242"/>
  <c r="E240"/>
  <c r="E239"/>
  <c r="E238"/>
  <c r="E237"/>
  <c r="E235"/>
  <c r="E234"/>
  <c r="E233"/>
  <c r="E232"/>
  <c r="E230"/>
  <c r="E229"/>
  <c r="E228"/>
  <c r="E227"/>
  <c r="E225"/>
  <c r="E224"/>
  <c r="E223"/>
  <c r="E222"/>
  <c r="E220"/>
  <c r="E219"/>
  <c r="E218"/>
  <c r="E217"/>
  <c r="E205"/>
  <c r="E204"/>
  <c r="E203"/>
  <c r="E202"/>
  <c r="E200"/>
  <c r="E199"/>
  <c r="E198"/>
  <c r="E197"/>
  <c r="E194"/>
  <c r="E193"/>
  <c r="E192"/>
  <c r="E191"/>
  <c r="E189"/>
  <c r="E188"/>
  <c r="E187"/>
  <c r="E186"/>
  <c r="E184"/>
  <c r="E183"/>
  <c r="E182"/>
  <c r="E181"/>
  <c r="E179"/>
  <c r="E178"/>
  <c r="E177"/>
  <c r="E176"/>
  <c r="E174"/>
  <c r="E173"/>
  <c r="E172"/>
  <c r="E171"/>
  <c r="E169"/>
  <c r="E168"/>
  <c r="E167"/>
  <c r="E166"/>
  <c r="E164"/>
  <c r="E163"/>
  <c r="E162"/>
  <c r="E161"/>
  <c r="E150"/>
  <c r="E149"/>
  <c r="E148"/>
  <c r="E147"/>
  <c r="E144"/>
  <c r="E143"/>
  <c r="E142"/>
  <c r="E141"/>
  <c r="E139"/>
  <c r="E138"/>
  <c r="E137"/>
  <c r="E136"/>
  <c r="E134"/>
  <c r="E133"/>
  <c r="E132"/>
  <c r="E131"/>
  <c r="E129"/>
  <c r="E128"/>
  <c r="E127"/>
  <c r="E126"/>
  <c r="E124"/>
  <c r="E123"/>
  <c r="E122"/>
  <c r="E121"/>
  <c r="E119"/>
  <c r="E118"/>
  <c r="E117"/>
  <c r="E116"/>
  <c r="E114"/>
  <c r="E113"/>
  <c r="E112"/>
  <c r="E111"/>
  <c r="E104"/>
  <c r="E103"/>
  <c r="E102"/>
  <c r="E101"/>
  <c r="E99"/>
  <c r="E98"/>
  <c r="E97"/>
  <c r="E96"/>
  <c r="E93"/>
  <c r="E92"/>
  <c r="E91"/>
  <c r="E90"/>
  <c r="E88"/>
  <c r="E87"/>
  <c r="E86"/>
  <c r="E85"/>
  <c r="E83"/>
  <c r="E82"/>
  <c r="E81"/>
  <c r="E80"/>
  <c r="E78"/>
  <c r="E77"/>
  <c r="E76"/>
  <c r="E75"/>
  <c r="E73"/>
  <c r="E72"/>
  <c r="E71"/>
  <c r="E70"/>
  <c r="E68"/>
  <c r="E67"/>
  <c r="E66"/>
  <c r="E65"/>
  <c r="E63"/>
  <c r="E62"/>
  <c r="E61"/>
  <c r="E60"/>
  <c r="E53"/>
  <c r="E52"/>
  <c r="E51"/>
  <c r="E50"/>
  <c r="E48"/>
  <c r="E47"/>
  <c r="E46"/>
  <c r="E45"/>
  <c r="E42"/>
  <c r="E41"/>
  <c r="E40"/>
  <c r="E39"/>
  <c r="E37"/>
  <c r="E36"/>
  <c r="E35"/>
  <c r="E34"/>
  <c r="E32"/>
  <c r="E31"/>
  <c r="E30"/>
  <c r="E29"/>
  <c r="E27"/>
  <c r="E26"/>
  <c r="E25"/>
  <c r="E24"/>
  <c r="E22"/>
  <c r="E21"/>
  <c r="E20"/>
  <c r="E19"/>
  <c r="E17"/>
  <c r="E16"/>
  <c r="E15"/>
  <c r="E14"/>
  <c r="E12"/>
  <c r="E11"/>
  <c r="E10"/>
  <c r="E9"/>
  <c r="F9" s="1"/>
  <c r="J196" i="6" l="1"/>
  <c r="J206"/>
  <c r="J186"/>
  <c r="H162"/>
  <c r="H161"/>
  <c r="H156"/>
  <c r="H155"/>
  <c r="J153"/>
  <c r="H151"/>
  <c r="H150"/>
  <c r="J142"/>
  <c r="H140"/>
  <c r="H139"/>
  <c r="J137"/>
  <c r="H134"/>
  <c r="H133"/>
  <c r="J131"/>
  <c r="H128"/>
  <c r="H127"/>
  <c r="J125"/>
  <c r="H123"/>
  <c r="H122"/>
  <c r="J110"/>
  <c r="H107"/>
  <c r="H106"/>
  <c r="J104"/>
  <c r="H101"/>
  <c r="H100"/>
  <c r="J98"/>
  <c r="H95"/>
  <c r="H94"/>
  <c r="J92"/>
  <c r="H90"/>
  <c r="H89"/>
  <c r="J81"/>
  <c r="H79"/>
  <c r="H78"/>
  <c r="J76"/>
  <c r="H73"/>
  <c r="H72"/>
  <c r="J70"/>
  <c r="H67"/>
  <c r="H66"/>
  <c r="J64"/>
  <c r="H62"/>
  <c r="H61"/>
  <c r="J55"/>
  <c r="H52"/>
  <c r="H51"/>
  <c r="J43"/>
  <c r="H40"/>
  <c r="H39"/>
  <c r="J37"/>
  <c r="H35"/>
  <c r="H34"/>
  <c r="J32"/>
  <c r="J21"/>
  <c r="H18"/>
  <c r="H17"/>
  <c r="J15"/>
  <c r="H12"/>
  <c r="H11"/>
  <c r="J9"/>
  <c r="H7"/>
  <c r="H6"/>
  <c r="E203"/>
  <c r="E202"/>
  <c r="E201"/>
  <c r="E200"/>
  <c r="E199"/>
  <c r="E198"/>
  <c r="E197"/>
  <c r="E193"/>
  <c r="E192"/>
  <c r="E191"/>
  <c r="E190"/>
  <c r="E189"/>
  <c r="E188"/>
  <c r="E187"/>
  <c r="E183"/>
  <c r="E182"/>
  <c r="E181"/>
  <c r="E180"/>
  <c r="E179"/>
  <c r="E178"/>
  <c r="E177"/>
  <c r="E168"/>
  <c r="E167"/>
  <c r="E145"/>
  <c r="E144"/>
  <c r="E123"/>
  <c r="E122"/>
  <c r="E90"/>
  <c r="E89"/>
  <c r="E67"/>
  <c r="E66"/>
  <c r="E40"/>
  <c r="E39"/>
  <c r="E18"/>
  <c r="E17"/>
  <c r="L87" i="1"/>
  <c r="L173"/>
  <c r="L372"/>
  <c r="L223"/>
  <c r="N223"/>
  <c r="L137"/>
  <c r="N137" s="1"/>
  <c r="L51"/>
  <c r="L241"/>
  <c r="N241" s="1"/>
  <c r="L155"/>
  <c r="N155" s="1"/>
  <c r="L69"/>
  <c r="L214"/>
  <c r="L128"/>
  <c r="N128" s="1"/>
  <c r="L42"/>
  <c r="L232"/>
  <c r="N232"/>
  <c r="L146"/>
  <c r="L60"/>
  <c r="L205"/>
  <c r="N205" s="1"/>
  <c r="L119"/>
  <c r="N119" s="1"/>
  <c r="L33"/>
  <c r="L187"/>
  <c r="L101"/>
  <c r="L15"/>
  <c r="L250"/>
  <c r="N250"/>
  <c r="L164"/>
  <c r="N164"/>
  <c r="L78"/>
  <c r="L196"/>
  <c r="N196"/>
  <c r="L110"/>
  <c r="N110" s="1"/>
  <c r="N24"/>
  <c r="L24"/>
  <c r="I7"/>
  <c r="I16"/>
  <c r="I256"/>
  <c r="I255"/>
  <c r="I254"/>
  <c r="I253"/>
  <c r="I252"/>
  <c r="I251"/>
  <c r="I247"/>
  <c r="I246"/>
  <c r="I245"/>
  <c r="I244"/>
  <c r="I243"/>
  <c r="I242"/>
  <c r="I238"/>
  <c r="I237"/>
  <c r="I236"/>
  <c r="I235"/>
  <c r="I234"/>
  <c r="I233"/>
  <c r="I229"/>
  <c r="I228"/>
  <c r="I227"/>
  <c r="I226"/>
  <c r="I225"/>
  <c r="I224"/>
  <c r="I220"/>
  <c r="I219"/>
  <c r="I218"/>
  <c r="I217"/>
  <c r="I216"/>
  <c r="I215"/>
  <c r="I211"/>
  <c r="I210"/>
  <c r="I209"/>
  <c r="I208"/>
  <c r="I207"/>
  <c r="I206"/>
  <c r="I202"/>
  <c r="I201"/>
  <c r="I200"/>
  <c r="I199"/>
  <c r="I198"/>
  <c r="I197"/>
  <c r="I193"/>
  <c r="I192"/>
  <c r="I191"/>
  <c r="I190"/>
  <c r="I189"/>
  <c r="I188"/>
  <c r="I183"/>
  <c r="I182"/>
  <c r="I181"/>
  <c r="I180"/>
  <c r="I179"/>
  <c r="I178"/>
  <c r="I170"/>
  <c r="I169"/>
  <c r="I168"/>
  <c r="I167"/>
  <c r="I166"/>
  <c r="I165"/>
  <c r="I161"/>
  <c r="I160"/>
  <c r="I159"/>
  <c r="I158"/>
  <c r="I157"/>
  <c r="I156"/>
  <c r="I152"/>
  <c r="I151"/>
  <c r="I150"/>
  <c r="I149"/>
  <c r="I148"/>
  <c r="I147"/>
  <c r="I143"/>
  <c r="I142"/>
  <c r="I141"/>
  <c r="I140"/>
  <c r="I139"/>
  <c r="I138"/>
  <c r="I134"/>
  <c r="I133"/>
  <c r="I132"/>
  <c r="I131"/>
  <c r="I130"/>
  <c r="I129"/>
  <c r="I125"/>
  <c r="I124"/>
  <c r="I123"/>
  <c r="I122"/>
  <c r="I121"/>
  <c r="I120"/>
  <c r="I116"/>
  <c r="I115"/>
  <c r="I114"/>
  <c r="I113"/>
  <c r="I112"/>
  <c r="I111"/>
  <c r="I107"/>
  <c r="I106"/>
  <c r="I105"/>
  <c r="I104"/>
  <c r="I103"/>
  <c r="I102"/>
  <c r="I97"/>
  <c r="I96"/>
  <c r="I95"/>
  <c r="I94"/>
  <c r="I93"/>
  <c r="I92"/>
  <c r="I84"/>
  <c r="I83"/>
  <c r="I82"/>
  <c r="I81"/>
  <c r="I80"/>
  <c r="I79"/>
  <c r="I75"/>
  <c r="I74"/>
  <c r="I73"/>
  <c r="I72"/>
  <c r="I71"/>
  <c r="I70"/>
  <c r="I66"/>
  <c r="I65"/>
  <c r="I64"/>
  <c r="I63"/>
  <c r="I62"/>
  <c r="I61"/>
  <c r="I57"/>
  <c r="I56"/>
  <c r="I55"/>
  <c r="I54"/>
  <c r="I53"/>
  <c r="I52"/>
  <c r="I48"/>
  <c r="I47"/>
  <c r="I46"/>
  <c r="I45"/>
  <c r="I44"/>
  <c r="I43"/>
  <c r="I39"/>
  <c r="I38"/>
  <c r="I37"/>
  <c r="I36"/>
  <c r="I35"/>
  <c r="I34"/>
  <c r="I30"/>
  <c r="I29"/>
  <c r="I28"/>
  <c r="I27"/>
  <c r="I26"/>
  <c r="I25"/>
  <c r="I21"/>
  <c r="I20"/>
  <c r="I19"/>
  <c r="I18"/>
  <c r="I17"/>
  <c r="I11"/>
  <c r="I10"/>
  <c r="I9"/>
  <c r="I8"/>
  <c r="I6"/>
  <c r="I342"/>
  <c r="I341"/>
  <c r="I340"/>
  <c r="I339"/>
  <c r="I338"/>
  <c r="I337"/>
  <c r="I333"/>
  <c r="I332"/>
  <c r="I331"/>
  <c r="I330"/>
  <c r="I329"/>
  <c r="I328"/>
  <c r="I324"/>
  <c r="I323"/>
  <c r="I322"/>
  <c r="I321"/>
  <c r="I320"/>
  <c r="I319"/>
  <c r="I315"/>
  <c r="I314"/>
  <c r="I313"/>
  <c r="I312"/>
  <c r="I311"/>
  <c r="I310"/>
  <c r="I306"/>
  <c r="I305"/>
  <c r="I304"/>
  <c r="I303"/>
  <c r="I302"/>
  <c r="I301"/>
  <c r="I297"/>
  <c r="I296"/>
  <c r="I295"/>
  <c r="I294"/>
  <c r="I293"/>
  <c r="I292"/>
  <c r="I288"/>
  <c r="I287"/>
  <c r="I286"/>
  <c r="I285"/>
  <c r="I284"/>
  <c r="I283"/>
  <c r="I279"/>
  <c r="I278"/>
  <c r="I277"/>
  <c r="I276"/>
  <c r="I275"/>
  <c r="I274"/>
  <c r="I269"/>
  <c r="I268"/>
  <c r="I267"/>
  <c r="I266"/>
  <c r="I265"/>
  <c r="I264"/>
  <c r="F315"/>
  <c r="F297"/>
  <c r="F288"/>
  <c r="F269"/>
  <c r="F267"/>
  <c r="F268" s="1"/>
  <c r="F266"/>
  <c r="F265"/>
  <c r="F275"/>
  <c r="F276" s="1"/>
  <c r="F277" s="1"/>
  <c r="F278" s="1"/>
  <c r="F286"/>
  <c r="F287" s="1"/>
  <c r="F285"/>
  <c r="F284"/>
  <c r="F293"/>
  <c r="F294" s="1"/>
  <c r="F295" s="1"/>
  <c r="F296" s="1"/>
  <c r="F302"/>
  <c r="F303" s="1"/>
  <c r="F304" s="1"/>
  <c r="F305" s="1"/>
  <c r="F313"/>
  <c r="F314" s="1"/>
  <c r="F312"/>
  <c r="F311"/>
  <c r="F320"/>
  <c r="F321" s="1"/>
  <c r="F322" s="1"/>
  <c r="F323" s="1"/>
  <c r="F331"/>
  <c r="F332" s="1"/>
  <c r="F330"/>
  <c r="F329"/>
  <c r="F339"/>
  <c r="F340"/>
  <c r="F341" s="1"/>
  <c r="F338"/>
  <c r="I358"/>
  <c r="I354"/>
  <c r="I350"/>
  <c r="L368"/>
  <c r="L370"/>
  <c r="L367"/>
  <c r="L369"/>
  <c r="L371"/>
  <c r="L366"/>
  <c r="L365"/>
  <c r="L364"/>
  <c r="C280"/>
  <c r="C287"/>
  <c r="C283"/>
  <c r="C289" s="1"/>
  <c r="C298"/>
  <c r="C307"/>
  <c r="C316"/>
  <c r="C325"/>
  <c r="C334"/>
  <c r="C343"/>
  <c r="C271"/>
  <c r="C257"/>
  <c r="C171"/>
  <c r="C248"/>
  <c r="C162"/>
  <c r="C239"/>
  <c r="C153"/>
  <c r="C230"/>
  <c r="C144"/>
  <c r="C221"/>
  <c r="C135"/>
  <c r="C212"/>
  <c r="C126"/>
  <c r="C201"/>
  <c r="C197"/>
  <c r="C203" s="1"/>
  <c r="C117"/>
  <c r="C115"/>
  <c r="C111"/>
  <c r="C194"/>
  <c r="C108"/>
  <c r="C185"/>
  <c r="C99"/>
  <c r="E224"/>
  <c r="E229" s="1"/>
  <c r="H31" i="5"/>
  <c r="H24"/>
  <c r="L109" i="7"/>
  <c r="L8"/>
  <c r="L9"/>
  <c r="L10"/>
  <c r="L12"/>
  <c r="L13"/>
  <c r="L14"/>
  <c r="L15"/>
  <c r="L17"/>
  <c r="L18"/>
  <c r="L19"/>
  <c r="L20"/>
  <c r="L22"/>
  <c r="L23"/>
  <c r="L24"/>
  <c r="L25"/>
  <c r="L27"/>
  <c r="L28"/>
  <c r="L29"/>
  <c r="L30"/>
  <c r="L32"/>
  <c r="L33"/>
  <c r="L34"/>
  <c r="L35"/>
  <c r="L37"/>
  <c r="L38"/>
  <c r="L39"/>
  <c r="L40"/>
  <c r="L42"/>
  <c r="L43"/>
  <c r="L44"/>
  <c r="L45"/>
  <c r="L47"/>
  <c r="L48"/>
  <c r="L49"/>
  <c r="L50"/>
  <c r="L52"/>
  <c r="L53"/>
  <c r="L54"/>
  <c r="L55"/>
  <c r="L56"/>
  <c r="L57"/>
  <c r="L58"/>
  <c r="L59"/>
  <c r="L61"/>
  <c r="L62"/>
  <c r="L63"/>
  <c r="L64"/>
  <c r="L66"/>
  <c r="L67"/>
  <c r="L68"/>
  <c r="L69"/>
  <c r="L101"/>
  <c r="L102"/>
  <c r="L103"/>
  <c r="L104"/>
  <c r="L105"/>
  <c r="L106"/>
  <c r="L107"/>
  <c r="L108"/>
  <c r="L111"/>
  <c r="L112"/>
  <c r="L113"/>
  <c r="L114"/>
  <c r="L115"/>
  <c r="L117"/>
  <c r="L118"/>
  <c r="L119"/>
  <c r="L120"/>
  <c r="L121"/>
  <c r="L123"/>
  <c r="L124"/>
  <c r="L125"/>
  <c r="L126"/>
  <c r="L127"/>
  <c r="L129"/>
  <c r="L130"/>
  <c r="L131"/>
  <c r="L132"/>
  <c r="L133"/>
  <c r="L135"/>
  <c r="L136"/>
  <c r="L137"/>
  <c r="L138"/>
  <c r="L139"/>
  <c r="L141"/>
  <c r="L142"/>
  <c r="L143"/>
  <c r="L144"/>
  <c r="L145"/>
  <c r="L147"/>
  <c r="L148"/>
  <c r="L149"/>
  <c r="L150"/>
  <c r="L151"/>
  <c r="L153"/>
  <c r="L154"/>
  <c r="L155"/>
  <c r="L156"/>
  <c r="L157"/>
  <c r="L7"/>
  <c r="A148"/>
  <c r="A142"/>
  <c r="A136"/>
  <c r="A130"/>
  <c r="A124"/>
  <c r="A118"/>
  <c r="A112"/>
  <c r="A106"/>
  <c r="A97"/>
  <c r="A92"/>
  <c r="A87"/>
  <c r="A82"/>
  <c r="A77"/>
  <c r="A72"/>
  <c r="A67"/>
  <c r="A62"/>
  <c r="A57"/>
  <c r="A48"/>
  <c r="A43"/>
  <c r="A38"/>
  <c r="A33"/>
  <c r="A28"/>
  <c r="A23"/>
  <c r="A18"/>
  <c r="A13"/>
  <c r="A8"/>
  <c r="A422" i="5"/>
  <c r="A405"/>
  <c r="A388"/>
  <c r="A372"/>
  <c r="A356"/>
  <c r="A340"/>
  <c r="A324"/>
  <c r="A308"/>
  <c r="A288"/>
  <c r="A272"/>
  <c r="A255"/>
  <c r="A238"/>
  <c r="A222"/>
  <c r="A206"/>
  <c r="A190"/>
  <c r="A174"/>
  <c r="A158"/>
  <c r="A138"/>
  <c r="A122"/>
  <c r="A105"/>
  <c r="A88"/>
  <c r="A72"/>
  <c r="A56"/>
  <c r="A40"/>
  <c r="A24"/>
  <c r="A8"/>
  <c r="E242" i="1"/>
  <c r="E247" s="1"/>
  <c r="E233"/>
  <c r="E238" s="1"/>
  <c r="E215"/>
  <c r="E217" s="1"/>
  <c r="E206"/>
  <c r="E208" s="1"/>
  <c r="E197"/>
  <c r="E199" s="1"/>
  <c r="E188"/>
  <c r="E190" s="1"/>
  <c r="E178"/>
  <c r="E183" s="1"/>
  <c r="E165"/>
  <c r="E170" s="1"/>
  <c r="E156"/>
  <c r="E161" s="1"/>
  <c r="E147"/>
  <c r="E149" s="1"/>
  <c r="E138"/>
  <c r="E143" s="1"/>
  <c r="E129"/>
  <c r="E131" s="1"/>
  <c r="E120"/>
  <c r="E125" s="1"/>
  <c r="E111"/>
  <c r="E116" s="1"/>
  <c r="E102"/>
  <c r="E105" s="1"/>
  <c r="E92"/>
  <c r="E97" s="1"/>
  <c r="E79"/>
  <c r="E81" s="1"/>
  <c r="E70"/>
  <c r="E75" s="1"/>
  <c r="E61"/>
  <c r="E63" s="1"/>
  <c r="E52"/>
  <c r="E57" s="1"/>
  <c r="E43"/>
  <c r="E48" s="1"/>
  <c r="E34"/>
  <c r="E36" s="1"/>
  <c r="E25"/>
  <c r="E26" s="1"/>
  <c r="E16"/>
  <c r="E21" s="1"/>
  <c r="E107"/>
  <c r="E8"/>
  <c r="E6"/>
  <c r="E11" s="1"/>
  <c r="E337"/>
  <c r="E341" s="1"/>
  <c r="E328"/>
  <c r="E333" s="1"/>
  <c r="E319"/>
  <c r="E323" s="1"/>
  <c r="E310"/>
  <c r="E315" s="1"/>
  <c r="E301"/>
  <c r="E306" s="1"/>
  <c r="E292"/>
  <c r="E297" s="1"/>
  <c r="E283"/>
  <c r="E288" s="1"/>
  <c r="E274"/>
  <c r="E278" s="1"/>
  <c r="E264"/>
  <c r="E269" s="1"/>
  <c r="D358"/>
  <c r="D354"/>
  <c r="D350"/>
  <c r="A162" i="6"/>
  <c r="E161" s="1"/>
  <c r="A156"/>
  <c r="E155" s="1"/>
  <c r="A151"/>
  <c r="E150" s="1"/>
  <c r="A145"/>
  <c r="A140"/>
  <c r="E139" s="1"/>
  <c r="A134"/>
  <c r="E133" s="1"/>
  <c r="A128"/>
  <c r="E127" s="1"/>
  <c r="A123"/>
  <c r="A107"/>
  <c r="E106" s="1"/>
  <c r="A101"/>
  <c r="E101" s="1"/>
  <c r="A95"/>
  <c r="E94" s="1"/>
  <c r="A90"/>
  <c r="A84"/>
  <c r="E83" s="1"/>
  <c r="A79"/>
  <c r="E78" s="1"/>
  <c r="A73"/>
  <c r="E72" s="1"/>
  <c r="A67"/>
  <c r="A62"/>
  <c r="E61" s="1"/>
  <c r="A52"/>
  <c r="E51" s="1"/>
  <c r="A46"/>
  <c r="E45" s="1"/>
  <c r="A40"/>
  <c r="A35"/>
  <c r="E34" s="1"/>
  <c r="A29"/>
  <c r="E29" s="1"/>
  <c r="A24"/>
  <c r="E23" s="1"/>
  <c r="A18"/>
  <c r="A12"/>
  <c r="E11" s="1"/>
  <c r="A7"/>
  <c r="E7" s="1"/>
  <c r="E8" i="5" l="1"/>
  <c r="E19"/>
  <c r="E15"/>
  <c r="E11"/>
  <c r="E7"/>
  <c r="E20"/>
  <c r="E16"/>
  <c r="E12"/>
  <c r="E14"/>
  <c r="E21"/>
  <c r="E17"/>
  <c r="E9"/>
  <c r="E18"/>
  <c r="E10"/>
  <c r="E13"/>
  <c r="E76"/>
  <c r="E83"/>
  <c r="E79"/>
  <c r="E75"/>
  <c r="E71"/>
  <c r="E84"/>
  <c r="E80"/>
  <c r="E72"/>
  <c r="E82"/>
  <c r="E74"/>
  <c r="E81"/>
  <c r="E73"/>
  <c r="E85"/>
  <c r="E77"/>
  <c r="E78"/>
  <c r="E216"/>
  <c r="F216" s="1"/>
  <c r="G216" s="1"/>
  <c r="I216" s="1"/>
  <c r="E211"/>
  <c r="E207"/>
  <c r="E214"/>
  <c r="E208"/>
  <c r="F208" s="1"/>
  <c r="G208" s="1"/>
  <c r="I208" s="1"/>
  <c r="E219"/>
  <c r="E215"/>
  <c r="E205"/>
  <c r="E218"/>
  <c r="E217"/>
  <c r="E212"/>
  <c r="F212" s="1"/>
  <c r="G212" s="1"/>
  <c r="I212" s="1"/>
  <c r="E206"/>
  <c r="E209"/>
  <c r="E210"/>
  <c r="E213"/>
  <c r="E285"/>
  <c r="E279"/>
  <c r="E276"/>
  <c r="E274"/>
  <c r="F274" s="1"/>
  <c r="G274" s="1"/>
  <c r="I274" s="1"/>
  <c r="E281"/>
  <c r="E272"/>
  <c r="E283"/>
  <c r="E280"/>
  <c r="E278"/>
  <c r="F278" s="1"/>
  <c r="G278" s="1"/>
  <c r="I278" s="1"/>
  <c r="E273"/>
  <c r="E275"/>
  <c r="E271"/>
  <c r="E282"/>
  <c r="F282" s="1"/>
  <c r="G282" s="1"/>
  <c r="I282" s="1"/>
  <c r="E284"/>
  <c r="E277"/>
  <c r="E415"/>
  <c r="E413"/>
  <c r="F413" s="1"/>
  <c r="G413" s="1"/>
  <c r="I413" s="1"/>
  <c r="E410"/>
  <c r="E407"/>
  <c r="E404"/>
  <c r="E416"/>
  <c r="E411"/>
  <c r="E409"/>
  <c r="F409" s="1"/>
  <c r="G409" s="1"/>
  <c r="I409" s="1"/>
  <c r="E405"/>
  <c r="E417"/>
  <c r="E414"/>
  <c r="E412"/>
  <c r="E406"/>
  <c r="E408"/>
  <c r="E418"/>
  <c r="E37" i="7"/>
  <c r="E38"/>
  <c r="E39"/>
  <c r="E40"/>
  <c r="E84"/>
  <c r="F84" s="1"/>
  <c r="G84" s="1"/>
  <c r="I84" s="1"/>
  <c r="E83"/>
  <c r="E82"/>
  <c r="E81"/>
  <c r="E109"/>
  <c r="E105"/>
  <c r="E106"/>
  <c r="E107"/>
  <c r="E108"/>
  <c r="E66" i="5"/>
  <c r="E62"/>
  <c r="E58"/>
  <c r="E67"/>
  <c r="E63"/>
  <c r="E59"/>
  <c r="E55"/>
  <c r="E65"/>
  <c r="E57"/>
  <c r="E56"/>
  <c r="E68"/>
  <c r="E60"/>
  <c r="E69"/>
  <c r="E61"/>
  <c r="E64"/>
  <c r="E203"/>
  <c r="E197"/>
  <c r="E193"/>
  <c r="E190"/>
  <c r="E201"/>
  <c r="E198"/>
  <c r="E194"/>
  <c r="E192"/>
  <c r="F192" s="1"/>
  <c r="G192" s="1"/>
  <c r="I192" s="1"/>
  <c r="E189"/>
  <c r="E202"/>
  <c r="E199"/>
  <c r="E195"/>
  <c r="E200"/>
  <c r="F200" s="1"/>
  <c r="G200" s="1"/>
  <c r="I200" s="1"/>
  <c r="E196"/>
  <c r="F196" s="1"/>
  <c r="G196" s="1"/>
  <c r="I196" s="1"/>
  <c r="E191"/>
  <c r="E399"/>
  <c r="E393"/>
  <c r="E391"/>
  <c r="F391" s="1"/>
  <c r="G391" s="1"/>
  <c r="I391" s="1"/>
  <c r="E388"/>
  <c r="E398"/>
  <c r="E395"/>
  <c r="F395" s="1"/>
  <c r="G395" s="1"/>
  <c r="I395" s="1"/>
  <c r="E392"/>
  <c r="E401"/>
  <c r="E394"/>
  <c r="E389"/>
  <c r="E387"/>
  <c r="E397"/>
  <c r="E390"/>
  <c r="E400"/>
  <c r="F400" s="1"/>
  <c r="G400" s="1"/>
  <c r="I400" s="1"/>
  <c r="E396"/>
  <c r="E56" i="7"/>
  <c r="E59"/>
  <c r="E57"/>
  <c r="E58"/>
  <c r="E97"/>
  <c r="E96"/>
  <c r="E99"/>
  <c r="E98"/>
  <c r="E149"/>
  <c r="E150"/>
  <c r="E147"/>
  <c r="E148"/>
  <c r="E151"/>
  <c r="E42" i="5"/>
  <c r="E53"/>
  <c r="E49"/>
  <c r="E45"/>
  <c r="E41"/>
  <c r="E50"/>
  <c r="E46"/>
  <c r="E48"/>
  <c r="E40"/>
  <c r="E47"/>
  <c r="E51"/>
  <c r="E43"/>
  <c r="E52"/>
  <c r="E44"/>
  <c r="E39"/>
  <c r="E111"/>
  <c r="E118"/>
  <c r="E114"/>
  <c r="E110"/>
  <c r="E106"/>
  <c r="E115"/>
  <c r="E107"/>
  <c r="E117"/>
  <c r="E109"/>
  <c r="E112"/>
  <c r="E104"/>
  <c r="E113"/>
  <c r="E105"/>
  <c r="E116"/>
  <c r="E108"/>
  <c r="E186"/>
  <c r="E182"/>
  <c r="E178"/>
  <c r="E174"/>
  <c r="E187"/>
  <c r="E183"/>
  <c r="E179"/>
  <c r="E176"/>
  <c r="E185"/>
  <c r="E180"/>
  <c r="E177"/>
  <c r="E173"/>
  <c r="E181"/>
  <c r="E184"/>
  <c r="E175"/>
  <c r="E250"/>
  <c r="E248"/>
  <c r="F248" s="1"/>
  <c r="G248" s="1"/>
  <c r="I248" s="1"/>
  <c r="E245"/>
  <c r="E243"/>
  <c r="F243" s="1"/>
  <c r="G243" s="1"/>
  <c r="I243" s="1"/>
  <c r="E239"/>
  <c r="F239" s="1"/>
  <c r="G239" s="1"/>
  <c r="I239" s="1"/>
  <c r="E249"/>
  <c r="E244"/>
  <c r="E247"/>
  <c r="E242"/>
  <c r="E238"/>
  <c r="E241"/>
  <c r="E237"/>
  <c r="E246"/>
  <c r="E240"/>
  <c r="E251"/>
  <c r="E314"/>
  <c r="E321"/>
  <c r="E317"/>
  <c r="E313"/>
  <c r="E309"/>
  <c r="E318"/>
  <c r="E310"/>
  <c r="E316"/>
  <c r="E308"/>
  <c r="E319"/>
  <c r="E311"/>
  <c r="E320"/>
  <c r="E312"/>
  <c r="E315"/>
  <c r="E307"/>
  <c r="E383"/>
  <c r="F383" s="1"/>
  <c r="G383" s="1"/>
  <c r="I383" s="1"/>
  <c r="E380"/>
  <c r="E377"/>
  <c r="F377" s="1"/>
  <c r="G377" s="1"/>
  <c r="I377" s="1"/>
  <c r="E375"/>
  <c r="E378"/>
  <c r="F378" s="1"/>
  <c r="G378" s="1"/>
  <c r="I378" s="1"/>
  <c r="E372"/>
  <c r="E385"/>
  <c r="E376"/>
  <c r="E374"/>
  <c r="F374" s="1"/>
  <c r="G374" s="1"/>
  <c r="I374" s="1"/>
  <c r="E371"/>
  <c r="E384"/>
  <c r="E381"/>
  <c r="E379"/>
  <c r="E382"/>
  <c r="F382" s="1"/>
  <c r="G382" s="1"/>
  <c r="I382" s="1"/>
  <c r="E373"/>
  <c r="E7" i="7"/>
  <c r="E8"/>
  <c r="E9"/>
  <c r="E10"/>
  <c r="E27"/>
  <c r="E28"/>
  <c r="E29"/>
  <c r="E30"/>
  <c r="E47"/>
  <c r="E48"/>
  <c r="E49"/>
  <c r="E50"/>
  <c r="E73"/>
  <c r="F73" s="1"/>
  <c r="G73" s="1"/>
  <c r="I73" s="1"/>
  <c r="E72"/>
  <c r="E71"/>
  <c r="E74"/>
  <c r="E94"/>
  <c r="E92"/>
  <c r="E91"/>
  <c r="E93"/>
  <c r="E121"/>
  <c r="E117"/>
  <c r="E120"/>
  <c r="E119"/>
  <c r="E118"/>
  <c r="E143"/>
  <c r="E145"/>
  <c r="E142"/>
  <c r="E141"/>
  <c r="E144"/>
  <c r="E6" i="6"/>
  <c r="E28"/>
  <c r="E100"/>
  <c r="E104" i="1"/>
  <c r="E12" i="6"/>
  <c r="E24"/>
  <c r="E35"/>
  <c r="E46"/>
  <c r="E62"/>
  <c r="E73"/>
  <c r="E84"/>
  <c r="E95"/>
  <c r="E107"/>
  <c r="E128"/>
  <c r="E140"/>
  <c r="E151"/>
  <c r="E162"/>
  <c r="E150" i="5"/>
  <c r="E149"/>
  <c r="E145"/>
  <c r="E141"/>
  <c r="E137"/>
  <c r="E146"/>
  <c r="E142"/>
  <c r="E138"/>
  <c r="E144"/>
  <c r="E147"/>
  <c r="E139"/>
  <c r="E148"/>
  <c r="E140"/>
  <c r="E151"/>
  <c r="E143"/>
  <c r="E353"/>
  <c r="E348"/>
  <c r="F348" s="1"/>
  <c r="G348" s="1"/>
  <c r="I348" s="1"/>
  <c r="E341"/>
  <c r="E351"/>
  <c r="F351" s="1"/>
  <c r="G351" s="1"/>
  <c r="I351" s="1"/>
  <c r="E350"/>
  <c r="E347"/>
  <c r="F347" s="1"/>
  <c r="G347" s="1"/>
  <c r="I347" s="1"/>
  <c r="E344"/>
  <c r="F344" s="1"/>
  <c r="G344" s="1"/>
  <c r="I344" s="1"/>
  <c r="E349"/>
  <c r="E342"/>
  <c r="E352"/>
  <c r="F352" s="1"/>
  <c r="G352" s="1"/>
  <c r="I352" s="1"/>
  <c r="E343"/>
  <c r="F343" s="1"/>
  <c r="G343" s="1"/>
  <c r="I343" s="1"/>
  <c r="E345"/>
  <c r="E339"/>
  <c r="F339" s="1"/>
  <c r="G339" s="1"/>
  <c r="I339" s="1"/>
  <c r="E346"/>
  <c r="E340"/>
  <c r="F340" s="1"/>
  <c r="G340" s="1"/>
  <c r="I340" s="1"/>
  <c r="E17" i="7"/>
  <c r="E18"/>
  <c r="E19"/>
  <c r="E20"/>
  <c r="E64"/>
  <c r="F64" s="1"/>
  <c r="G64" s="1"/>
  <c r="E61"/>
  <c r="F61" s="1"/>
  <c r="G61" s="1"/>
  <c r="E62"/>
  <c r="F62" s="1"/>
  <c r="G62" s="1"/>
  <c r="E63"/>
  <c r="F63" s="1"/>
  <c r="G63" s="1"/>
  <c r="E131"/>
  <c r="E132"/>
  <c r="E133"/>
  <c r="F133" s="1"/>
  <c r="G133" s="1"/>
  <c r="E129"/>
  <c r="E130"/>
  <c r="E132" i="5"/>
  <c r="E128"/>
  <c r="E124"/>
  <c r="E133"/>
  <c r="E129"/>
  <c r="E125"/>
  <c r="E121"/>
  <c r="E135"/>
  <c r="E127"/>
  <c r="E134"/>
  <c r="E130"/>
  <c r="E122"/>
  <c r="E131"/>
  <c r="E123"/>
  <c r="E126"/>
  <c r="E263"/>
  <c r="E255"/>
  <c r="E267"/>
  <c r="E260"/>
  <c r="E268"/>
  <c r="E265"/>
  <c r="E259"/>
  <c r="E256"/>
  <c r="E254"/>
  <c r="E262"/>
  <c r="E258"/>
  <c r="E264"/>
  <c r="E257"/>
  <c r="E266"/>
  <c r="E261"/>
  <c r="E337"/>
  <c r="E329"/>
  <c r="E325"/>
  <c r="F325" s="1"/>
  <c r="G325" s="1"/>
  <c r="E336"/>
  <c r="E332"/>
  <c r="E328"/>
  <c r="E324"/>
  <c r="F324" s="1"/>
  <c r="G324" s="1"/>
  <c r="E333"/>
  <c r="E330"/>
  <c r="E331"/>
  <c r="E323"/>
  <c r="F323" s="1"/>
  <c r="G323" s="1"/>
  <c r="E334"/>
  <c r="E326"/>
  <c r="F326" s="1"/>
  <c r="G326" s="1"/>
  <c r="I326" s="1"/>
  <c r="E335"/>
  <c r="E327"/>
  <c r="F327" s="1"/>
  <c r="G327" s="1"/>
  <c r="E12" i="7"/>
  <c r="E15"/>
  <c r="E13"/>
  <c r="E14"/>
  <c r="E32"/>
  <c r="E35"/>
  <c r="E33"/>
  <c r="E34"/>
  <c r="E77"/>
  <c r="E76"/>
  <c r="E79"/>
  <c r="E78"/>
  <c r="E126"/>
  <c r="E125"/>
  <c r="E127"/>
  <c r="E123"/>
  <c r="E124"/>
  <c r="E36" i="5"/>
  <c r="E32"/>
  <c r="E28"/>
  <c r="E24"/>
  <c r="E37"/>
  <c r="E33"/>
  <c r="E29"/>
  <c r="E25"/>
  <c r="E31"/>
  <c r="E23"/>
  <c r="E30"/>
  <c r="E34"/>
  <c r="E26"/>
  <c r="E35"/>
  <c r="E27"/>
  <c r="E100"/>
  <c r="F100" s="1"/>
  <c r="E96"/>
  <c r="F96" s="1"/>
  <c r="G96" s="1"/>
  <c r="E92"/>
  <c r="E88"/>
  <c r="E101"/>
  <c r="F101" s="1"/>
  <c r="E97"/>
  <c r="E93"/>
  <c r="E89"/>
  <c r="E99"/>
  <c r="F99" s="1"/>
  <c r="E91"/>
  <c r="F91" s="1"/>
  <c r="E98"/>
  <c r="E94"/>
  <c r="E95"/>
  <c r="F95" s="1"/>
  <c r="G95" s="1"/>
  <c r="E87"/>
  <c r="E90"/>
  <c r="E170"/>
  <c r="E166"/>
  <c r="E162"/>
  <c r="E158"/>
  <c r="E171"/>
  <c r="E167"/>
  <c r="E163"/>
  <c r="E159"/>
  <c r="E165"/>
  <c r="E157"/>
  <c r="E168"/>
  <c r="E160"/>
  <c r="E169"/>
  <c r="E161"/>
  <c r="E164"/>
  <c r="E234"/>
  <c r="E232"/>
  <c r="F232" s="1"/>
  <c r="G232" s="1"/>
  <c r="I232" s="1"/>
  <c r="E229"/>
  <c r="E227"/>
  <c r="F227" s="1"/>
  <c r="G227" s="1"/>
  <c r="I227" s="1"/>
  <c r="E222"/>
  <c r="E233"/>
  <c r="E225"/>
  <c r="E231"/>
  <c r="E226"/>
  <c r="E228"/>
  <c r="E223"/>
  <c r="F223" s="1"/>
  <c r="G223" s="1"/>
  <c r="I223" s="1"/>
  <c r="E224"/>
  <c r="E235"/>
  <c r="E230"/>
  <c r="E221"/>
  <c r="E301"/>
  <c r="E298"/>
  <c r="E295"/>
  <c r="E293"/>
  <c r="F293" s="1"/>
  <c r="G293" s="1"/>
  <c r="I293" s="1"/>
  <c r="E290"/>
  <c r="E288"/>
  <c r="F288" s="1"/>
  <c r="G288" s="1"/>
  <c r="I288" s="1"/>
  <c r="E289"/>
  <c r="E299"/>
  <c r="E297"/>
  <c r="F297" s="1"/>
  <c r="G297" s="1"/>
  <c r="I297" s="1"/>
  <c r="E292"/>
  <c r="E287"/>
  <c r="E294"/>
  <c r="E300"/>
  <c r="E291"/>
  <c r="E296"/>
  <c r="E367"/>
  <c r="E365"/>
  <c r="E362"/>
  <c r="E355"/>
  <c r="E369"/>
  <c r="E366"/>
  <c r="E368"/>
  <c r="E363"/>
  <c r="E361"/>
  <c r="E356"/>
  <c r="E360"/>
  <c r="E357"/>
  <c r="E364"/>
  <c r="E358"/>
  <c r="E359"/>
  <c r="E435"/>
  <c r="F435" s="1"/>
  <c r="G435" s="1"/>
  <c r="I435" s="1"/>
  <c r="E433"/>
  <c r="E428"/>
  <c r="E425"/>
  <c r="E423"/>
  <c r="F423" s="1"/>
  <c r="G423" s="1"/>
  <c r="I423" s="1"/>
  <c r="E431"/>
  <c r="F431" s="1"/>
  <c r="G431" s="1"/>
  <c r="I431" s="1"/>
  <c r="E426"/>
  <c r="F426" s="1"/>
  <c r="G426" s="1"/>
  <c r="I426" s="1"/>
  <c r="E421"/>
  <c r="E430"/>
  <c r="F430" s="1"/>
  <c r="G430" s="1"/>
  <c r="I430" s="1"/>
  <c r="E427"/>
  <c r="F427" s="1"/>
  <c r="G427" s="1"/>
  <c r="I427" s="1"/>
  <c r="E434"/>
  <c r="E424"/>
  <c r="E429"/>
  <c r="E432"/>
  <c r="E422"/>
  <c r="F422" s="1"/>
  <c r="G422" s="1"/>
  <c r="I422" s="1"/>
  <c r="E22" i="7"/>
  <c r="E25"/>
  <c r="E23"/>
  <c r="E24"/>
  <c r="E42"/>
  <c r="E45"/>
  <c r="E43"/>
  <c r="E44"/>
  <c r="E69"/>
  <c r="E67"/>
  <c r="E68"/>
  <c r="E66"/>
  <c r="E87"/>
  <c r="F87" s="1"/>
  <c r="G87" s="1"/>
  <c r="I87" s="1"/>
  <c r="E89"/>
  <c r="F89" s="1"/>
  <c r="G89" s="1"/>
  <c r="I89" s="1"/>
  <c r="E86"/>
  <c r="E88"/>
  <c r="E114"/>
  <c r="F114" s="1"/>
  <c r="G114" s="1"/>
  <c r="E113"/>
  <c r="F113" s="1"/>
  <c r="G113" s="1"/>
  <c r="E115"/>
  <c r="E111"/>
  <c r="F111" s="1"/>
  <c r="G111" s="1"/>
  <c r="E112"/>
  <c r="F112" s="1"/>
  <c r="G112" s="1"/>
  <c r="E137"/>
  <c r="E135"/>
  <c r="E138"/>
  <c r="E139"/>
  <c r="E136"/>
  <c r="E52" i="6"/>
  <c r="E79"/>
  <c r="E134"/>
  <c r="E156"/>
  <c r="N214" i="1"/>
  <c r="N146"/>
  <c r="E134"/>
  <c r="E130"/>
  <c r="E324"/>
  <c r="E103"/>
  <c r="E27"/>
  <c r="E268"/>
  <c r="E10"/>
  <c r="E265"/>
  <c r="E9"/>
  <c r="I325" i="5"/>
  <c r="E7" i="1"/>
  <c r="E66"/>
  <c r="E62"/>
  <c r="E64"/>
  <c r="E30"/>
  <c r="E246"/>
  <c r="E245"/>
  <c r="E244"/>
  <c r="E243"/>
  <c r="E237"/>
  <c r="E236"/>
  <c r="E235"/>
  <c r="E234"/>
  <c r="E228"/>
  <c r="E227"/>
  <c r="E226"/>
  <c r="E225"/>
  <c r="E216"/>
  <c r="E220"/>
  <c r="E219"/>
  <c r="E218"/>
  <c r="E207"/>
  <c r="E211"/>
  <c r="E210"/>
  <c r="E209"/>
  <c r="E198"/>
  <c r="E202"/>
  <c r="E201"/>
  <c r="E200"/>
  <c r="E189"/>
  <c r="E193"/>
  <c r="E192"/>
  <c r="E191"/>
  <c r="E182"/>
  <c r="E181"/>
  <c r="E180"/>
  <c r="E179"/>
  <c r="E169"/>
  <c r="E168"/>
  <c r="E167"/>
  <c r="E166"/>
  <c r="E160"/>
  <c r="E159"/>
  <c r="E158"/>
  <c r="E157"/>
  <c r="E148"/>
  <c r="E152"/>
  <c r="E151"/>
  <c r="E150"/>
  <c r="E142"/>
  <c r="E141"/>
  <c r="E140"/>
  <c r="E139"/>
  <c r="E133"/>
  <c r="E132"/>
  <c r="E124"/>
  <c r="E123"/>
  <c r="E122"/>
  <c r="E121"/>
  <c r="E115"/>
  <c r="E114"/>
  <c r="E113"/>
  <c r="E112"/>
  <c r="E106"/>
  <c r="E96"/>
  <c r="E95"/>
  <c r="E94"/>
  <c r="E93"/>
  <c r="E80"/>
  <c r="E84"/>
  <c r="E83"/>
  <c r="E82"/>
  <c r="E74"/>
  <c r="E73"/>
  <c r="E72"/>
  <c r="E71"/>
  <c r="E65"/>
  <c r="E56"/>
  <c r="E55"/>
  <c r="E54"/>
  <c r="E53"/>
  <c r="E47"/>
  <c r="E46"/>
  <c r="E45"/>
  <c r="E44"/>
  <c r="E37"/>
  <c r="E35"/>
  <c r="E39"/>
  <c r="E38"/>
  <c r="E29"/>
  <c r="E28"/>
  <c r="E20"/>
  <c r="H20" s="1"/>
  <c r="E19"/>
  <c r="E18"/>
  <c r="E17"/>
  <c r="E320"/>
  <c r="E338"/>
  <c r="E342"/>
  <c r="E332"/>
  <c r="E329"/>
  <c r="E314"/>
  <c r="E311"/>
  <c r="E305"/>
  <c r="E302"/>
  <c r="E296"/>
  <c r="E293"/>
  <c r="E287"/>
  <c r="E284"/>
  <c r="E275"/>
  <c r="E279"/>
  <c r="F98" i="5"/>
  <c r="F97"/>
  <c r="F94"/>
  <c r="G94" s="1"/>
  <c r="I94" s="1"/>
  <c r="F93"/>
  <c r="F92"/>
  <c r="F89"/>
  <c r="F87"/>
  <c r="F86" i="7" l="1"/>
  <c r="G86"/>
  <c r="I86" s="1"/>
  <c r="F68"/>
  <c r="G68" s="1"/>
  <c r="I68" s="1"/>
  <c r="F432" i="5"/>
  <c r="G432" s="1"/>
  <c r="I432" s="1"/>
  <c r="F433"/>
  <c r="G433" s="1"/>
  <c r="I433" s="1"/>
  <c r="F364"/>
  <c r="G364" s="1"/>
  <c r="I364" s="1"/>
  <c r="F369"/>
  <c r="G369" s="1"/>
  <c r="I369" s="1"/>
  <c r="F367"/>
  <c r="G367"/>
  <c r="I367" s="1"/>
  <c r="G294"/>
  <c r="I294" s="1"/>
  <c r="F294"/>
  <c r="F299"/>
  <c r="G299"/>
  <c r="I299" s="1"/>
  <c r="G221"/>
  <c r="I221" s="1"/>
  <c r="F221"/>
  <c r="F225"/>
  <c r="G225" s="1"/>
  <c r="I225" s="1"/>
  <c r="F334"/>
  <c r="G334" s="1"/>
  <c r="I334" s="1"/>
  <c r="F336"/>
  <c r="G336"/>
  <c r="I336" s="1"/>
  <c r="G259"/>
  <c r="I259" s="1"/>
  <c r="F259"/>
  <c r="F346"/>
  <c r="G346"/>
  <c r="I346" s="1"/>
  <c r="G141" i="7"/>
  <c r="F141"/>
  <c r="F376" i="5"/>
  <c r="G376"/>
  <c r="I376" s="1"/>
  <c r="G240"/>
  <c r="I240" s="1"/>
  <c r="F240"/>
  <c r="F249"/>
  <c r="G249" s="1"/>
  <c r="I249" s="1"/>
  <c r="G181"/>
  <c r="I181" s="1"/>
  <c r="F181"/>
  <c r="F186"/>
  <c r="G186"/>
  <c r="I186" s="1"/>
  <c r="F387"/>
  <c r="G387" s="1"/>
  <c r="I387" s="1"/>
  <c r="F202"/>
  <c r="G202" s="1"/>
  <c r="I202" s="1"/>
  <c r="F197"/>
  <c r="G197" s="1"/>
  <c r="I197" s="1"/>
  <c r="F405"/>
  <c r="G405"/>
  <c r="I405" s="1"/>
  <c r="F415"/>
  <c r="G415" s="1"/>
  <c r="I415" s="1"/>
  <c r="F213"/>
  <c r="G213" s="1"/>
  <c r="I213" s="1"/>
  <c r="F215"/>
  <c r="G215" s="1"/>
  <c r="I215" s="1"/>
  <c r="F66" i="7"/>
  <c r="G66" s="1"/>
  <c r="I66" s="1"/>
  <c r="G434" i="5"/>
  <c r="I434" s="1"/>
  <c r="F434"/>
  <c r="F358"/>
  <c r="G358" s="1"/>
  <c r="I358" s="1"/>
  <c r="G300"/>
  <c r="I300" s="1"/>
  <c r="F300"/>
  <c r="F332"/>
  <c r="G332"/>
  <c r="F260"/>
  <c r="G260" s="1"/>
  <c r="I260" s="1"/>
  <c r="F143" i="7"/>
  <c r="G143"/>
  <c r="G92"/>
  <c r="I92" s="1"/>
  <c r="F92"/>
  <c r="F251" i="5"/>
  <c r="G251"/>
  <c r="I251" s="1"/>
  <c r="G244"/>
  <c r="I244" s="1"/>
  <c r="F244"/>
  <c r="F184"/>
  <c r="G184" s="1"/>
  <c r="I184" s="1"/>
  <c r="F183"/>
  <c r="G183" s="1"/>
  <c r="I183" s="1"/>
  <c r="F182"/>
  <c r="G182"/>
  <c r="I182" s="1"/>
  <c r="F97" i="7"/>
  <c r="G97" s="1"/>
  <c r="I97" s="1"/>
  <c r="F397" i="5"/>
  <c r="G397" s="1"/>
  <c r="I397" s="1"/>
  <c r="F388"/>
  <c r="G388" s="1"/>
  <c r="I388" s="1"/>
  <c r="F191"/>
  <c r="G191"/>
  <c r="I191" s="1"/>
  <c r="F199"/>
  <c r="G199" s="1"/>
  <c r="I199" s="1"/>
  <c r="F194"/>
  <c r="G194" s="1"/>
  <c r="I194" s="1"/>
  <c r="F193"/>
  <c r="G193" s="1"/>
  <c r="I193" s="1"/>
  <c r="F82" i="7"/>
  <c r="G82"/>
  <c r="I82" s="1"/>
  <c r="F408" i="5"/>
  <c r="G408" s="1"/>
  <c r="I408" s="1"/>
  <c r="F417"/>
  <c r="G417"/>
  <c r="I417" s="1"/>
  <c r="G416"/>
  <c r="I416" s="1"/>
  <c r="F416"/>
  <c r="F281"/>
  <c r="G281"/>
  <c r="I281" s="1"/>
  <c r="F285"/>
  <c r="G285" s="1"/>
  <c r="I285" s="1"/>
  <c r="F206"/>
  <c r="G206" s="1"/>
  <c r="I206" s="1"/>
  <c r="F205"/>
  <c r="G205" s="1"/>
  <c r="I205" s="1"/>
  <c r="F214"/>
  <c r="G214" s="1"/>
  <c r="I214" s="1"/>
  <c r="F222"/>
  <c r="G222" s="1"/>
  <c r="I222" s="1"/>
  <c r="F329"/>
  <c r="G329"/>
  <c r="F349"/>
  <c r="G349" s="1"/>
  <c r="I349" s="1"/>
  <c r="F120" i="7"/>
  <c r="G120"/>
  <c r="G91"/>
  <c r="I91" s="1"/>
  <c r="F91"/>
  <c r="F71"/>
  <c r="G71" s="1"/>
  <c r="I71" s="1"/>
  <c r="G371" i="5"/>
  <c r="I371" s="1"/>
  <c r="F371"/>
  <c r="F372"/>
  <c r="G372"/>
  <c r="I372" s="1"/>
  <c r="F380"/>
  <c r="G380" s="1"/>
  <c r="I380" s="1"/>
  <c r="F237"/>
  <c r="G237" s="1"/>
  <c r="I237" s="1"/>
  <c r="G175"/>
  <c r="I175" s="1"/>
  <c r="F175"/>
  <c r="F177"/>
  <c r="G177" s="1"/>
  <c r="I177" s="1"/>
  <c r="F179"/>
  <c r="G179" s="1"/>
  <c r="I179" s="1"/>
  <c r="F178"/>
  <c r="G178"/>
  <c r="I178" s="1"/>
  <c r="F150" i="7"/>
  <c r="G150" s="1"/>
  <c r="F96"/>
  <c r="G96" s="1"/>
  <c r="I96" s="1"/>
  <c r="G390" i="5"/>
  <c r="I390" s="1"/>
  <c r="F390"/>
  <c r="F394"/>
  <c r="G394" s="1"/>
  <c r="I394" s="1"/>
  <c r="G398"/>
  <c r="I398" s="1"/>
  <c r="F398"/>
  <c r="F399"/>
  <c r="G399" s="1"/>
  <c r="I399" s="1"/>
  <c r="F195"/>
  <c r="G195" s="1"/>
  <c r="I195" s="1"/>
  <c r="F190"/>
  <c r="G190" s="1"/>
  <c r="I190" s="1"/>
  <c r="G81" i="7"/>
  <c r="I81" s="1"/>
  <c r="F81"/>
  <c r="F418" i="5"/>
  <c r="G418" s="1"/>
  <c r="I418" s="1"/>
  <c r="G414"/>
  <c r="I414" s="1"/>
  <c r="F414"/>
  <c r="F411"/>
  <c r="G411"/>
  <c r="I411" s="1"/>
  <c r="F410"/>
  <c r="G410" s="1"/>
  <c r="I410" s="1"/>
  <c r="F284"/>
  <c r="G284" s="1"/>
  <c r="I284" s="1"/>
  <c r="F273"/>
  <c r="G273" s="1"/>
  <c r="I273" s="1"/>
  <c r="F272"/>
  <c r="G272" s="1"/>
  <c r="I272" s="1"/>
  <c r="F279"/>
  <c r="G279" s="1"/>
  <c r="I279" s="1"/>
  <c r="F209"/>
  <c r="G209" s="1"/>
  <c r="I209" s="1"/>
  <c r="G218"/>
  <c r="I218" s="1"/>
  <c r="F218"/>
  <c r="F115" i="7"/>
  <c r="G115"/>
  <c r="F361" i="5"/>
  <c r="G361" s="1"/>
  <c r="I361" s="1"/>
  <c r="F229"/>
  <c r="G229" s="1"/>
  <c r="I229" s="1"/>
  <c r="F77" i="7"/>
  <c r="G77" s="1"/>
  <c r="I77" s="1"/>
  <c r="F333" i="5"/>
  <c r="G333"/>
  <c r="I333" s="1"/>
  <c r="G261"/>
  <c r="I261" s="1"/>
  <c r="F261"/>
  <c r="F258"/>
  <c r="G258" s="1"/>
  <c r="I258" s="1"/>
  <c r="G267"/>
  <c r="I267" s="1"/>
  <c r="F267"/>
  <c r="F118" i="7"/>
  <c r="G118"/>
  <c r="F121"/>
  <c r="G121" s="1"/>
  <c r="I121" s="1"/>
  <c r="F94"/>
  <c r="G94"/>
  <c r="I94" s="1"/>
  <c r="F381" i="5"/>
  <c r="G381" s="1"/>
  <c r="I381" s="1"/>
  <c r="F375"/>
  <c r="G375" s="1"/>
  <c r="I375" s="1"/>
  <c r="F238"/>
  <c r="G238" s="1"/>
  <c r="I238" s="1"/>
  <c r="F185"/>
  <c r="G185" s="1"/>
  <c r="I185" s="1"/>
  <c r="F187"/>
  <c r="G187" s="1"/>
  <c r="I187" s="1"/>
  <c r="F148" i="7"/>
  <c r="G148" s="1"/>
  <c r="F98"/>
  <c r="G98" s="1"/>
  <c r="I98" s="1"/>
  <c r="F396" i="5"/>
  <c r="G396" s="1"/>
  <c r="I396" s="1"/>
  <c r="G392"/>
  <c r="I392" s="1"/>
  <c r="F392"/>
  <c r="F198"/>
  <c r="G198" s="1"/>
  <c r="I198" s="1"/>
  <c r="F83" i="7"/>
  <c r="G83" s="1"/>
  <c r="I83" s="1"/>
  <c r="F406" i="5"/>
  <c r="G406" s="1"/>
  <c r="I406" s="1"/>
  <c r="F404"/>
  <c r="G404" s="1"/>
  <c r="I404" s="1"/>
  <c r="F271"/>
  <c r="G271" s="1"/>
  <c r="I271" s="1"/>
  <c r="G280"/>
  <c r="I280" s="1"/>
  <c r="F280"/>
  <c r="F207"/>
  <c r="G207"/>
  <c r="I207" s="1"/>
  <c r="F88" i="7"/>
  <c r="G88" s="1"/>
  <c r="I88" s="1"/>
  <c r="F428" i="5"/>
  <c r="G428" s="1"/>
  <c r="I428" s="1"/>
  <c r="G356"/>
  <c r="I356" s="1"/>
  <c r="F356"/>
  <c r="F366"/>
  <c r="G366" s="1"/>
  <c r="I366" s="1"/>
  <c r="F365"/>
  <c r="G365" s="1"/>
  <c r="I365" s="1"/>
  <c r="F290"/>
  <c r="G290" s="1"/>
  <c r="I290" s="1"/>
  <c r="F301"/>
  <c r="G301" s="1"/>
  <c r="I301" s="1"/>
  <c r="F224"/>
  <c r="G224" s="1"/>
  <c r="I224" s="1"/>
  <c r="F231"/>
  <c r="G231" s="1"/>
  <c r="I231" s="1"/>
  <c r="F76" i="7"/>
  <c r="G76"/>
  <c r="I76" s="1"/>
  <c r="F330" i="5"/>
  <c r="G330" s="1"/>
  <c r="I330" s="1"/>
  <c r="F337"/>
  <c r="G337"/>
  <c r="I337" s="1"/>
  <c r="F264"/>
  <c r="G264" s="1"/>
  <c r="I264" s="1"/>
  <c r="F256"/>
  <c r="G256"/>
  <c r="I256" s="1"/>
  <c r="F341"/>
  <c r="G341" s="1"/>
  <c r="I341" s="1"/>
  <c r="F144" i="7"/>
  <c r="G144"/>
  <c r="F117"/>
  <c r="G117" s="1"/>
  <c r="F72"/>
  <c r="G72" s="1"/>
  <c r="I72" s="1"/>
  <c r="G379" i="5"/>
  <c r="I379" s="1"/>
  <c r="F379"/>
  <c r="F241"/>
  <c r="G241" s="1"/>
  <c r="I241" s="1"/>
  <c r="G245"/>
  <c r="I245" s="1"/>
  <c r="F245"/>
  <c r="F180"/>
  <c r="G180" s="1"/>
  <c r="I180" s="1"/>
  <c r="F149" i="7"/>
  <c r="G149" s="1"/>
  <c r="F401" i="5"/>
  <c r="G401"/>
  <c r="I401" s="1"/>
  <c r="F69" i="7"/>
  <c r="G69" s="1"/>
  <c r="I69" s="1"/>
  <c r="F424" i="5"/>
  <c r="G424" s="1"/>
  <c r="I424" s="1"/>
  <c r="F421"/>
  <c r="G421" s="1"/>
  <c r="I421" s="1"/>
  <c r="F425"/>
  <c r="G425"/>
  <c r="I425" s="1"/>
  <c r="G359"/>
  <c r="I359" s="1"/>
  <c r="F359"/>
  <c r="F360"/>
  <c r="G360" s="1"/>
  <c r="I360" s="1"/>
  <c r="G368"/>
  <c r="I368" s="1"/>
  <c r="F368"/>
  <c r="F362"/>
  <c r="G362"/>
  <c r="I362" s="1"/>
  <c r="F291"/>
  <c r="G291" s="1"/>
  <c r="I291" s="1"/>
  <c r="F292"/>
  <c r="G292"/>
  <c r="I292" s="1"/>
  <c r="F298"/>
  <c r="G298" s="1"/>
  <c r="I298" s="1"/>
  <c r="F235"/>
  <c r="G235"/>
  <c r="I235" s="1"/>
  <c r="F226"/>
  <c r="G226" s="1"/>
  <c r="I226" s="1"/>
  <c r="F234"/>
  <c r="G234" s="1"/>
  <c r="I234" s="1"/>
  <c r="F79" i="7"/>
  <c r="G79" s="1"/>
  <c r="I79" s="1"/>
  <c r="F335" i="5"/>
  <c r="G335"/>
  <c r="I335" s="1"/>
  <c r="F331"/>
  <c r="G331" s="1"/>
  <c r="I331" s="1"/>
  <c r="F328"/>
  <c r="G328"/>
  <c r="I328" s="1"/>
  <c r="G257"/>
  <c r="I257" s="1"/>
  <c r="F257"/>
  <c r="F254"/>
  <c r="G254"/>
  <c r="I254" s="1"/>
  <c r="F268"/>
  <c r="G268" s="1"/>
  <c r="I268" s="1"/>
  <c r="F263"/>
  <c r="G263" s="1"/>
  <c r="I263" s="1"/>
  <c r="F345"/>
  <c r="G345" s="1"/>
  <c r="I345" s="1"/>
  <c r="F247"/>
  <c r="G247"/>
  <c r="I247" s="1"/>
  <c r="G67" i="7"/>
  <c r="I67" s="1"/>
  <c r="F67"/>
  <c r="F429" i="5"/>
  <c r="G429"/>
  <c r="I429" s="1"/>
  <c r="F357"/>
  <c r="G357" s="1"/>
  <c r="I357" s="1"/>
  <c r="F363"/>
  <c r="G363"/>
  <c r="I363" s="1"/>
  <c r="F355"/>
  <c r="G355" s="1"/>
  <c r="I355" s="1"/>
  <c r="F296"/>
  <c r="G296"/>
  <c r="I296" s="1"/>
  <c r="F287"/>
  <c r="G287" s="1"/>
  <c r="I287" s="1"/>
  <c r="F289"/>
  <c r="G289" s="1"/>
  <c r="I289" s="1"/>
  <c r="G295"/>
  <c r="I295" s="1"/>
  <c r="F295"/>
  <c r="F230"/>
  <c r="G230"/>
  <c r="I230" s="1"/>
  <c r="G228"/>
  <c r="I228" s="1"/>
  <c r="F228"/>
  <c r="F233"/>
  <c r="G233" s="1"/>
  <c r="I233" s="1"/>
  <c r="G78" i="7"/>
  <c r="I78" s="1"/>
  <c r="F78"/>
  <c r="F266" i="5"/>
  <c r="G266" s="1"/>
  <c r="I266" s="1"/>
  <c r="G262"/>
  <c r="I262" s="1"/>
  <c r="F262"/>
  <c r="F265"/>
  <c r="G265"/>
  <c r="I265" s="1"/>
  <c r="F255"/>
  <c r="G255" s="1"/>
  <c r="I255" s="1"/>
  <c r="F342"/>
  <c r="G342"/>
  <c r="I342" s="1"/>
  <c r="G350"/>
  <c r="I350" s="1"/>
  <c r="F350"/>
  <c r="F353"/>
  <c r="G353"/>
  <c r="I353" s="1"/>
  <c r="F142" i="7"/>
  <c r="G142" s="1"/>
  <c r="F119"/>
  <c r="G119" s="1"/>
  <c r="G93"/>
  <c r="I93" s="1"/>
  <c r="F93"/>
  <c r="F74"/>
  <c r="G74" s="1"/>
  <c r="I74" s="1"/>
  <c r="I75" s="1"/>
  <c r="K75" s="1"/>
  <c r="L75" s="1"/>
  <c r="F373" i="5"/>
  <c r="G373" s="1"/>
  <c r="I373" s="1"/>
  <c r="F384"/>
  <c r="G384" s="1"/>
  <c r="I384" s="1"/>
  <c r="F385"/>
  <c r="G385" s="1"/>
  <c r="I385" s="1"/>
  <c r="F246"/>
  <c r="G246"/>
  <c r="I246" s="1"/>
  <c r="F242"/>
  <c r="G242" s="1"/>
  <c r="I242" s="1"/>
  <c r="F250"/>
  <c r="G250" s="1"/>
  <c r="I250" s="1"/>
  <c r="G173"/>
  <c r="I173" s="1"/>
  <c r="F173"/>
  <c r="F176"/>
  <c r="G176" s="1"/>
  <c r="I176" s="1"/>
  <c r="G174"/>
  <c r="F174"/>
  <c r="F147" i="7"/>
  <c r="G147"/>
  <c r="G99"/>
  <c r="I99" s="1"/>
  <c r="F99"/>
  <c r="F389" i="5"/>
  <c r="G389"/>
  <c r="I389" s="1"/>
  <c r="F393"/>
  <c r="G393" s="1"/>
  <c r="I393" s="1"/>
  <c r="F189"/>
  <c r="G189" s="1"/>
  <c r="I189" s="1"/>
  <c r="F201"/>
  <c r="G201" s="1"/>
  <c r="I201" s="1"/>
  <c r="F203"/>
  <c r="G203"/>
  <c r="I203" s="1"/>
  <c r="G412"/>
  <c r="I412" s="1"/>
  <c r="F412"/>
  <c r="F407"/>
  <c r="G407" s="1"/>
  <c r="I407" s="1"/>
  <c r="F277"/>
  <c r="G277" s="1"/>
  <c r="I277" s="1"/>
  <c r="F275"/>
  <c r="G275" s="1"/>
  <c r="I275" s="1"/>
  <c r="F283"/>
  <c r="G283" s="1"/>
  <c r="I283" s="1"/>
  <c r="F276"/>
  <c r="G276" s="1"/>
  <c r="I276" s="1"/>
  <c r="G210"/>
  <c r="I210" s="1"/>
  <c r="F210"/>
  <c r="F217"/>
  <c r="G217" s="1"/>
  <c r="I217" s="1"/>
  <c r="F219"/>
  <c r="G219" s="1"/>
  <c r="I219" s="1"/>
  <c r="F211"/>
  <c r="G211"/>
  <c r="I211" s="1"/>
  <c r="I332"/>
  <c r="I174"/>
  <c r="I324"/>
  <c r="I323"/>
  <c r="I327"/>
  <c r="I329"/>
  <c r="G93"/>
  <c r="I93" s="1"/>
  <c r="G98"/>
  <c r="E267" i="1"/>
  <c r="E266"/>
  <c r="G87" i="5"/>
  <c r="G89"/>
  <c r="G91"/>
  <c r="G92"/>
  <c r="I92" s="1"/>
  <c r="G97"/>
  <c r="F88"/>
  <c r="G88" s="1"/>
  <c r="F90"/>
  <c r="G90" s="1"/>
  <c r="E322" i="1"/>
  <c r="E321"/>
  <c r="E339"/>
  <c r="E340"/>
  <c r="E330"/>
  <c r="E331"/>
  <c r="E312"/>
  <c r="E313"/>
  <c r="E303"/>
  <c r="E304"/>
  <c r="E294"/>
  <c r="E295"/>
  <c r="E285"/>
  <c r="E286"/>
  <c r="E276"/>
  <c r="E277"/>
  <c r="G99" i="5"/>
  <c r="G100"/>
  <c r="G101"/>
  <c r="F151"/>
  <c r="F150"/>
  <c r="F149"/>
  <c r="F147"/>
  <c r="G147" s="1"/>
  <c r="I147" s="1"/>
  <c r="F146"/>
  <c r="F145"/>
  <c r="F144"/>
  <c r="F142"/>
  <c r="G142" s="1"/>
  <c r="I142" s="1"/>
  <c r="F141"/>
  <c r="F140"/>
  <c r="F139"/>
  <c r="F84"/>
  <c r="F83"/>
  <c r="F82"/>
  <c r="F79"/>
  <c r="F77"/>
  <c r="F75"/>
  <c r="F71"/>
  <c r="F118"/>
  <c r="F117"/>
  <c r="F116"/>
  <c r="F115"/>
  <c r="G115" s="1"/>
  <c r="I115" s="1"/>
  <c r="F114"/>
  <c r="F113"/>
  <c r="F112"/>
  <c r="F111"/>
  <c r="G111" s="1"/>
  <c r="F110"/>
  <c r="G110" s="1"/>
  <c r="I110" s="1"/>
  <c r="F109"/>
  <c r="F108"/>
  <c r="F107"/>
  <c r="G107" s="1"/>
  <c r="F106"/>
  <c r="G106" s="1"/>
  <c r="F105"/>
  <c r="F104"/>
  <c r="F69"/>
  <c r="G69" s="1"/>
  <c r="F68"/>
  <c r="G68" s="1"/>
  <c r="F67"/>
  <c r="F66"/>
  <c r="F65"/>
  <c r="F64"/>
  <c r="F63"/>
  <c r="F62"/>
  <c r="G62" s="1"/>
  <c r="I62" s="1"/>
  <c r="F61"/>
  <c r="G61" s="1"/>
  <c r="F60"/>
  <c r="F59"/>
  <c r="F58"/>
  <c r="G58" s="1"/>
  <c r="F57"/>
  <c r="G57" s="1"/>
  <c r="F56"/>
  <c r="F55"/>
  <c r="F133"/>
  <c r="F132"/>
  <c r="F130"/>
  <c r="F128"/>
  <c r="G128" s="1"/>
  <c r="F127"/>
  <c r="F126"/>
  <c r="F124"/>
  <c r="G124" s="1"/>
  <c r="F123"/>
  <c r="G123" s="1"/>
  <c r="F122"/>
  <c r="F31"/>
  <c r="F30"/>
  <c r="F29"/>
  <c r="F321"/>
  <c r="F319"/>
  <c r="G319" s="1"/>
  <c r="I319" s="1"/>
  <c r="F318"/>
  <c r="G318" s="1"/>
  <c r="I318" s="1"/>
  <c r="F317"/>
  <c r="F316"/>
  <c r="F315"/>
  <c r="F314"/>
  <c r="F313"/>
  <c r="G313" s="1"/>
  <c r="I313" s="1"/>
  <c r="F312"/>
  <c r="F311"/>
  <c r="F309"/>
  <c r="G309" s="1"/>
  <c r="I309" s="1"/>
  <c r="F308"/>
  <c r="F307"/>
  <c r="F171"/>
  <c r="G171" s="1"/>
  <c r="I171" s="1"/>
  <c r="F170"/>
  <c r="G170" s="1"/>
  <c r="I170" s="1"/>
  <c r="F169"/>
  <c r="F168"/>
  <c r="F166"/>
  <c r="F165"/>
  <c r="G165" s="1"/>
  <c r="I165" s="1"/>
  <c r="F164"/>
  <c r="G164" s="1"/>
  <c r="I164" s="1"/>
  <c r="F163"/>
  <c r="F162"/>
  <c r="F161"/>
  <c r="G161" s="1"/>
  <c r="I161" s="1"/>
  <c r="F160"/>
  <c r="G160" s="1"/>
  <c r="I160" s="1"/>
  <c r="F159"/>
  <c r="F158"/>
  <c r="F157"/>
  <c r="G157" s="1"/>
  <c r="I157" s="1"/>
  <c r="F138" i="4"/>
  <c r="F137"/>
  <c r="F136"/>
  <c r="F88"/>
  <c r="F87"/>
  <c r="F86"/>
  <c r="F85"/>
  <c r="F104"/>
  <c r="F103"/>
  <c r="F102"/>
  <c r="F101"/>
  <c r="G123"/>
  <c r="I123" s="1"/>
  <c r="F134"/>
  <c r="F133"/>
  <c r="F132"/>
  <c r="F131"/>
  <c r="F83"/>
  <c r="F82"/>
  <c r="F81"/>
  <c r="F80"/>
  <c r="F144"/>
  <c r="F143"/>
  <c r="F142"/>
  <c r="F141"/>
  <c r="F93"/>
  <c r="F92"/>
  <c r="F91"/>
  <c r="F90"/>
  <c r="F129"/>
  <c r="F128"/>
  <c r="F127"/>
  <c r="F126"/>
  <c r="F78"/>
  <c r="F77"/>
  <c r="F76"/>
  <c r="F75"/>
  <c r="F150"/>
  <c r="F149"/>
  <c r="F148"/>
  <c r="G148" s="1"/>
  <c r="I148" s="1"/>
  <c r="F147"/>
  <c r="F99"/>
  <c r="F98"/>
  <c r="F97"/>
  <c r="F96"/>
  <c r="F124"/>
  <c r="F123"/>
  <c r="F122"/>
  <c r="F121"/>
  <c r="G121" s="1"/>
  <c r="I121" s="1"/>
  <c r="F72"/>
  <c r="G72" s="1"/>
  <c r="I72" s="1"/>
  <c r="F71"/>
  <c r="F70"/>
  <c r="G70" s="1"/>
  <c r="I70" s="1"/>
  <c r="I204" i="5" l="1"/>
  <c r="K204" s="1"/>
  <c r="L204" s="1"/>
  <c r="I100" i="7"/>
  <c r="K100" s="1"/>
  <c r="L100" s="1"/>
  <c r="I252" i="5"/>
  <c r="K252" s="1"/>
  <c r="L252" s="1"/>
  <c r="I220"/>
  <c r="K220" s="1"/>
  <c r="L220" s="1"/>
  <c r="I70" i="7"/>
  <c r="K70" s="1"/>
  <c r="I402" i="5"/>
  <c r="K402" s="1"/>
  <c r="L402" s="1"/>
  <c r="I302"/>
  <c r="K302" s="1"/>
  <c r="L302" s="1"/>
  <c r="I370"/>
  <c r="K370" s="1"/>
  <c r="L370" s="1"/>
  <c r="I436"/>
  <c r="K436" s="1"/>
  <c r="L436" s="1"/>
  <c r="I354"/>
  <c r="K354" s="1"/>
  <c r="L354" s="1"/>
  <c r="I419"/>
  <c r="K419" s="1"/>
  <c r="L419" s="1"/>
  <c r="I286"/>
  <c r="K286" s="1"/>
  <c r="L286" s="1"/>
  <c r="I85" i="7"/>
  <c r="K85" s="1"/>
  <c r="L85" s="1"/>
  <c r="I236" i="5"/>
  <c r="K236" s="1"/>
  <c r="L236" s="1"/>
  <c r="I269"/>
  <c r="K269" s="1"/>
  <c r="L269" s="1"/>
  <c r="I80" i="7"/>
  <c r="K80" s="1"/>
  <c r="L80" s="1"/>
  <c r="I90"/>
  <c r="K90" s="1"/>
  <c r="L90" s="1"/>
  <c r="I95"/>
  <c r="K95" s="1"/>
  <c r="L95" s="1"/>
  <c r="I386" i="5"/>
  <c r="K386" s="1"/>
  <c r="L386" s="1"/>
  <c r="G75" i="4"/>
  <c r="I75" s="1"/>
  <c r="G149"/>
  <c r="I149" s="1"/>
  <c r="G147"/>
  <c r="I147" s="1"/>
  <c r="G124"/>
  <c r="I124" s="1"/>
  <c r="G99"/>
  <c r="I99" s="1"/>
  <c r="G85"/>
  <c r="I85" s="1"/>
  <c r="G87"/>
  <c r="I87" s="1"/>
  <c r="G77" i="5"/>
  <c r="I77" s="1"/>
  <c r="G122"/>
  <c r="I188"/>
  <c r="K188" s="1"/>
  <c r="L188" s="1"/>
  <c r="G141"/>
  <c r="I141" s="1"/>
  <c r="I338"/>
  <c r="K338" s="1"/>
  <c r="L338" s="1"/>
  <c r="G130"/>
  <c r="I130" s="1"/>
  <c r="G116"/>
  <c r="I116" s="1"/>
  <c r="G83"/>
  <c r="I83" s="1"/>
  <c r="G126"/>
  <c r="G127"/>
  <c r="I127" s="1"/>
  <c r="G133"/>
  <c r="F135"/>
  <c r="G135" s="1"/>
  <c r="F74"/>
  <c r="G74" s="1"/>
  <c r="I74" s="1"/>
  <c r="G82"/>
  <c r="I82" s="1"/>
  <c r="G149"/>
  <c r="I149" s="1"/>
  <c r="G314"/>
  <c r="I314" s="1"/>
  <c r="G316"/>
  <c r="I316" s="1"/>
  <c r="F310"/>
  <c r="G310" s="1"/>
  <c r="I310" s="1"/>
  <c r="F320"/>
  <c r="G320" s="1"/>
  <c r="I320" s="1"/>
  <c r="G308"/>
  <c r="I308" s="1"/>
  <c r="G312"/>
  <c r="I312" s="1"/>
  <c r="G317"/>
  <c r="I317" s="1"/>
  <c r="G158"/>
  <c r="I158" s="1"/>
  <c r="G162"/>
  <c r="I162" s="1"/>
  <c r="G166"/>
  <c r="I166" s="1"/>
  <c r="F167"/>
  <c r="G167" s="1"/>
  <c r="I167" s="1"/>
  <c r="G139"/>
  <c r="I139" s="1"/>
  <c r="F137"/>
  <c r="G137" s="1"/>
  <c r="I137" s="1"/>
  <c r="F138"/>
  <c r="G138" s="1"/>
  <c r="I138" s="1"/>
  <c r="F143"/>
  <c r="G143" s="1"/>
  <c r="I143" s="1"/>
  <c r="F148"/>
  <c r="G148" s="1"/>
  <c r="I148" s="1"/>
  <c r="G144"/>
  <c r="I144" s="1"/>
  <c r="G146"/>
  <c r="I146" s="1"/>
  <c r="G150"/>
  <c r="I150" s="1"/>
  <c r="G132"/>
  <c r="F121"/>
  <c r="G121" s="1"/>
  <c r="F125"/>
  <c r="G125" s="1"/>
  <c r="F129"/>
  <c r="G129" s="1"/>
  <c r="I129" s="1"/>
  <c r="F134"/>
  <c r="G134" s="1"/>
  <c r="I128"/>
  <c r="I106"/>
  <c r="G104"/>
  <c r="I104" s="1"/>
  <c r="G108"/>
  <c r="G117"/>
  <c r="I117" s="1"/>
  <c r="G112"/>
  <c r="I112" s="1"/>
  <c r="I107"/>
  <c r="I111"/>
  <c r="G79"/>
  <c r="G71"/>
  <c r="F73"/>
  <c r="G73" s="1"/>
  <c r="I73" s="1"/>
  <c r="F78"/>
  <c r="G78" s="1"/>
  <c r="I78" s="1"/>
  <c r="G75"/>
  <c r="I75" s="1"/>
  <c r="G84"/>
  <c r="I84" s="1"/>
  <c r="I57"/>
  <c r="G59"/>
  <c r="I59" s="1"/>
  <c r="G63"/>
  <c r="I63" s="1"/>
  <c r="G55"/>
  <c r="I55" s="1"/>
  <c r="G141" i="4"/>
  <c r="I141" s="1"/>
  <c r="F139"/>
  <c r="G139" s="1"/>
  <c r="I139" s="1"/>
  <c r="G101"/>
  <c r="I101" s="1"/>
  <c r="G103"/>
  <c r="I103" s="1"/>
  <c r="G104"/>
  <c r="I104" s="1"/>
  <c r="G97"/>
  <c r="I97" s="1"/>
  <c r="G98"/>
  <c r="I98" s="1"/>
  <c r="G93"/>
  <c r="I93" s="1"/>
  <c r="G92"/>
  <c r="I92" s="1"/>
  <c r="G88"/>
  <c r="I88" s="1"/>
  <c r="G86"/>
  <c r="I86" s="1"/>
  <c r="G80"/>
  <c r="I80" s="1"/>
  <c r="G81"/>
  <c r="I81" s="1"/>
  <c r="G71"/>
  <c r="I71" s="1"/>
  <c r="F73"/>
  <c r="G73" s="1"/>
  <c r="I73" s="1"/>
  <c r="G140" i="5"/>
  <c r="I140" s="1"/>
  <c r="G145"/>
  <c r="I145" s="1"/>
  <c r="G151"/>
  <c r="I151" s="1"/>
  <c r="I79"/>
  <c r="I71"/>
  <c r="F72"/>
  <c r="G72" s="1"/>
  <c r="I72" s="1"/>
  <c r="F76"/>
  <c r="G76" s="1"/>
  <c r="I76" s="1"/>
  <c r="F80"/>
  <c r="G80" s="1"/>
  <c r="I80" s="1"/>
  <c r="F81"/>
  <c r="G81" s="1"/>
  <c r="I81" s="1"/>
  <c r="F85"/>
  <c r="G85" s="1"/>
  <c r="I85" s="1"/>
  <c r="I108"/>
  <c r="G105"/>
  <c r="I105" s="1"/>
  <c r="G109"/>
  <c r="I109" s="1"/>
  <c r="G113"/>
  <c r="I113" s="1"/>
  <c r="G114"/>
  <c r="I114" s="1"/>
  <c r="G118"/>
  <c r="I118" s="1"/>
  <c r="I69"/>
  <c r="I58"/>
  <c r="I68"/>
  <c r="I61"/>
  <c r="G56"/>
  <c r="I56" s="1"/>
  <c r="G60"/>
  <c r="I60" s="1"/>
  <c r="G64"/>
  <c r="I64" s="1"/>
  <c r="G65"/>
  <c r="I65" s="1"/>
  <c r="G66"/>
  <c r="I66" s="1"/>
  <c r="G67"/>
  <c r="I67" s="1"/>
  <c r="F131"/>
  <c r="G131" s="1"/>
  <c r="G29"/>
  <c r="I29" s="1"/>
  <c r="G30"/>
  <c r="I30" s="1"/>
  <c r="G31"/>
  <c r="I31" s="1"/>
  <c r="G307"/>
  <c r="I307" s="1"/>
  <c r="G311"/>
  <c r="I311" s="1"/>
  <c r="G315"/>
  <c r="I315" s="1"/>
  <c r="G321"/>
  <c r="I321" s="1"/>
  <c r="G159"/>
  <c r="I159" s="1"/>
  <c r="G163"/>
  <c r="I163" s="1"/>
  <c r="G168"/>
  <c r="I168" s="1"/>
  <c r="G169"/>
  <c r="I169" s="1"/>
  <c r="G143" i="4"/>
  <c r="I143" s="1"/>
  <c r="G122"/>
  <c r="I122" s="1"/>
  <c r="G96"/>
  <c r="I96" s="1"/>
  <c r="G90"/>
  <c r="I90" s="1"/>
  <c r="G144"/>
  <c r="I144" s="1"/>
  <c r="G83"/>
  <c r="I83" s="1"/>
  <c r="G134"/>
  <c r="I134" s="1"/>
  <c r="G150"/>
  <c r="I150" s="1"/>
  <c r="G129"/>
  <c r="I129" s="1"/>
  <c r="G78"/>
  <c r="I78" s="1"/>
  <c r="G91"/>
  <c r="I91" s="1"/>
  <c r="G142"/>
  <c r="I142" s="1"/>
  <c r="G82"/>
  <c r="I82" s="1"/>
  <c r="G132"/>
  <c r="I132" s="1"/>
  <c r="G133"/>
  <c r="I133" s="1"/>
  <c r="G102"/>
  <c r="I102" s="1"/>
  <c r="G131"/>
  <c r="I131" s="1"/>
  <c r="G136"/>
  <c r="I136" s="1"/>
  <c r="G138"/>
  <c r="I138" s="1"/>
  <c r="G137"/>
  <c r="I137" s="1"/>
  <c r="G128"/>
  <c r="I128" s="1"/>
  <c r="G126"/>
  <c r="I126" s="1"/>
  <c r="G127"/>
  <c r="I127" s="1"/>
  <c r="G77"/>
  <c r="I77" s="1"/>
  <c r="G76"/>
  <c r="I76" s="1"/>
  <c r="F155"/>
  <c r="E155"/>
  <c r="F154"/>
  <c r="E154"/>
  <c r="E153"/>
  <c r="F153" s="1"/>
  <c r="E152"/>
  <c r="F152" s="1"/>
  <c r="G152" s="1"/>
  <c r="F119"/>
  <c r="F117"/>
  <c r="F116"/>
  <c r="F114"/>
  <c r="F111"/>
  <c r="F65"/>
  <c r="G65" s="1"/>
  <c r="F63"/>
  <c r="F61"/>
  <c r="F53"/>
  <c r="F51"/>
  <c r="G51" s="1"/>
  <c r="F47"/>
  <c r="F46"/>
  <c r="F45"/>
  <c r="G45" s="1"/>
  <c r="F42"/>
  <c r="F41"/>
  <c r="F40"/>
  <c r="F39"/>
  <c r="G39" s="1"/>
  <c r="F37"/>
  <c r="F35"/>
  <c r="F34"/>
  <c r="F32"/>
  <c r="F29"/>
  <c r="F27"/>
  <c r="F25"/>
  <c r="F22"/>
  <c r="G22" s="1"/>
  <c r="F21"/>
  <c r="F20"/>
  <c r="F19"/>
  <c r="G19" s="1"/>
  <c r="F17"/>
  <c r="F16"/>
  <c r="F15"/>
  <c r="F14"/>
  <c r="G14" s="1"/>
  <c r="F12"/>
  <c r="F10"/>
  <c r="F205"/>
  <c r="F202"/>
  <c r="F200"/>
  <c r="F198"/>
  <c r="F193"/>
  <c r="G193" s="1"/>
  <c r="F192"/>
  <c r="F191"/>
  <c r="F189"/>
  <c r="F187"/>
  <c r="F186"/>
  <c r="F183"/>
  <c r="F182"/>
  <c r="F181"/>
  <c r="G181" s="1"/>
  <c r="F177"/>
  <c r="F176"/>
  <c r="G176" s="1"/>
  <c r="F174"/>
  <c r="G174" s="1"/>
  <c r="F172"/>
  <c r="F171"/>
  <c r="F168"/>
  <c r="F167"/>
  <c r="F166"/>
  <c r="G166" s="1"/>
  <c r="F164"/>
  <c r="F162"/>
  <c r="F161"/>
  <c r="F346"/>
  <c r="F345"/>
  <c r="F343"/>
  <c r="F341"/>
  <c r="F340"/>
  <c r="G340" s="1"/>
  <c r="F339"/>
  <c r="G339" s="1"/>
  <c r="F338"/>
  <c r="F335"/>
  <c r="G335" s="1"/>
  <c r="F334"/>
  <c r="F333"/>
  <c r="F331"/>
  <c r="F330"/>
  <c r="G330" s="1"/>
  <c r="F329"/>
  <c r="F328"/>
  <c r="F326"/>
  <c r="F325"/>
  <c r="G325" s="1"/>
  <c r="F324"/>
  <c r="F323"/>
  <c r="F320"/>
  <c r="F319"/>
  <c r="F318"/>
  <c r="F317"/>
  <c r="F315"/>
  <c r="G315" s="1"/>
  <c r="F314"/>
  <c r="F313"/>
  <c r="F312"/>
  <c r="G312" s="1"/>
  <c r="F310"/>
  <c r="G310" s="1"/>
  <c r="F309"/>
  <c r="G309" s="1"/>
  <c r="F308"/>
  <c r="F305"/>
  <c r="G305" s="1"/>
  <c r="F304"/>
  <c r="G304" s="1"/>
  <c r="F303"/>
  <c r="F302"/>
  <c r="F300"/>
  <c r="G300" s="1"/>
  <c r="F299"/>
  <c r="G299" s="1"/>
  <c r="F298"/>
  <c r="F297"/>
  <c r="F295"/>
  <c r="G295" s="1"/>
  <c r="F294"/>
  <c r="F293"/>
  <c r="F292"/>
  <c r="G292" s="1"/>
  <c r="F290"/>
  <c r="G290" s="1"/>
  <c r="F289"/>
  <c r="F288"/>
  <c r="F287"/>
  <c r="G287" s="1"/>
  <c r="F285"/>
  <c r="F284"/>
  <c r="G284" s="1"/>
  <c r="F283"/>
  <c r="F282"/>
  <c r="F280"/>
  <c r="F279"/>
  <c r="G279" s="1"/>
  <c r="F278"/>
  <c r="F277"/>
  <c r="F275"/>
  <c r="G275" s="1"/>
  <c r="F273"/>
  <c r="F272"/>
  <c r="G272" s="1"/>
  <c r="F270"/>
  <c r="F269"/>
  <c r="F267"/>
  <c r="F265"/>
  <c r="F264"/>
  <c r="G264" s="1"/>
  <c r="F263"/>
  <c r="F262"/>
  <c r="F259"/>
  <c r="G259" s="1"/>
  <c r="F258"/>
  <c r="F257"/>
  <c r="F255"/>
  <c r="F254"/>
  <c r="F253"/>
  <c r="F252"/>
  <c r="F250"/>
  <c r="G250" s="1"/>
  <c r="F249"/>
  <c r="F248"/>
  <c r="F247"/>
  <c r="F245"/>
  <c r="F244"/>
  <c r="F243"/>
  <c r="G243" s="1"/>
  <c r="F240"/>
  <c r="F239"/>
  <c r="F238"/>
  <c r="F237"/>
  <c r="F235"/>
  <c r="F234"/>
  <c r="G234" s="1"/>
  <c r="F233"/>
  <c r="F232"/>
  <c r="F229"/>
  <c r="F228"/>
  <c r="F227"/>
  <c r="F225"/>
  <c r="F224"/>
  <c r="F223"/>
  <c r="F222"/>
  <c r="F220"/>
  <c r="F219"/>
  <c r="G219" s="1"/>
  <c r="F217"/>
  <c r="F398"/>
  <c r="G397"/>
  <c r="F397"/>
  <c r="F396"/>
  <c r="F395"/>
  <c r="F393"/>
  <c r="G393" s="1"/>
  <c r="F392"/>
  <c r="F391"/>
  <c r="F390"/>
  <c r="G390" s="1"/>
  <c r="F387"/>
  <c r="F386"/>
  <c r="F385"/>
  <c r="G385" s="1"/>
  <c r="F384"/>
  <c r="G381"/>
  <c r="F381"/>
  <c r="F380"/>
  <c r="F379"/>
  <c r="F378"/>
  <c r="G378" s="1"/>
  <c r="F376"/>
  <c r="F375"/>
  <c r="G375" s="1"/>
  <c r="F374"/>
  <c r="F373"/>
  <c r="F371"/>
  <c r="G371" s="1"/>
  <c r="F370"/>
  <c r="F369"/>
  <c r="F368"/>
  <c r="F366"/>
  <c r="F365"/>
  <c r="F364"/>
  <c r="G364" s="1"/>
  <c r="F363"/>
  <c r="F361"/>
  <c r="F360"/>
  <c r="F359"/>
  <c r="G359" s="1"/>
  <c r="F358"/>
  <c r="G155" l="1"/>
  <c r="I151"/>
  <c r="J151" s="1"/>
  <c r="L151" s="1"/>
  <c r="M151" s="1"/>
  <c r="I135"/>
  <c r="J135" s="1"/>
  <c r="L135" s="1"/>
  <c r="M135" s="1"/>
  <c r="I94"/>
  <c r="J94" s="1"/>
  <c r="L94" s="1"/>
  <c r="M94" s="1"/>
  <c r="I125"/>
  <c r="J125" s="1"/>
  <c r="L125" s="1"/>
  <c r="M125" s="1"/>
  <c r="G238"/>
  <c r="G203"/>
  <c r="F203"/>
  <c r="G117"/>
  <c r="I105"/>
  <c r="J105" s="1"/>
  <c r="L105" s="1"/>
  <c r="M105" s="1"/>
  <c r="I89"/>
  <c r="J89" s="1"/>
  <c r="L89" s="1"/>
  <c r="M89" s="1"/>
  <c r="I74"/>
  <c r="J74" s="1"/>
  <c r="L74" s="1"/>
  <c r="M74" s="1"/>
  <c r="G202"/>
  <c r="I172" i="5"/>
  <c r="K172" s="1"/>
  <c r="L172" s="1"/>
  <c r="I322"/>
  <c r="K322" s="1"/>
  <c r="L322" s="1"/>
  <c r="I145" i="4"/>
  <c r="J145" s="1"/>
  <c r="L145" s="1"/>
  <c r="M145" s="1"/>
  <c r="G345"/>
  <c r="G285"/>
  <c r="G270"/>
  <c r="G244"/>
  <c r="F230"/>
  <c r="G230" s="1"/>
  <c r="G224"/>
  <c r="G225"/>
  <c r="G220"/>
  <c r="G116"/>
  <c r="I100"/>
  <c r="J100" s="1"/>
  <c r="L100" s="1"/>
  <c r="M100" s="1"/>
  <c r="I84"/>
  <c r="J84" s="1"/>
  <c r="L84" s="1"/>
  <c r="M84" s="1"/>
  <c r="G37"/>
  <c r="G29"/>
  <c r="G10"/>
  <c r="I152" i="5"/>
  <c r="K152" s="1"/>
  <c r="L152" s="1"/>
  <c r="I86"/>
  <c r="I119"/>
  <c r="K119" s="1"/>
  <c r="L119" s="1"/>
  <c r="G361" i="4"/>
  <c r="G374"/>
  <c r="G380"/>
  <c r="G387"/>
  <c r="G396"/>
  <c r="G233"/>
  <c r="G237"/>
  <c r="G358"/>
  <c r="G369"/>
  <c r="G370"/>
  <c r="G376"/>
  <c r="G384"/>
  <c r="G398"/>
  <c r="G228"/>
  <c r="G229"/>
  <c r="G235"/>
  <c r="G239"/>
  <c r="G252"/>
  <c r="G319"/>
  <c r="G326"/>
  <c r="G161"/>
  <c r="G162"/>
  <c r="G189"/>
  <c r="G198"/>
  <c r="G205"/>
  <c r="G9"/>
  <c r="G17"/>
  <c r="G111"/>
  <c r="G363"/>
  <c r="G392"/>
  <c r="F218"/>
  <c r="G218" s="1"/>
  <c r="G223"/>
  <c r="F242"/>
  <c r="G242" s="1"/>
  <c r="G254"/>
  <c r="F260"/>
  <c r="G260" s="1"/>
  <c r="G269"/>
  <c r="G280"/>
  <c r="F307"/>
  <c r="G307" s="1"/>
  <c r="F344"/>
  <c r="G344" s="1"/>
  <c r="F179"/>
  <c r="G179" s="1"/>
  <c r="G25"/>
  <c r="F50"/>
  <c r="G50" s="1"/>
  <c r="G61"/>
  <c r="G154"/>
  <c r="I130"/>
  <c r="J130" s="1"/>
  <c r="L130" s="1"/>
  <c r="M130" s="1"/>
  <c r="I140"/>
  <c r="J140" s="1"/>
  <c r="L140" s="1"/>
  <c r="M140" s="1"/>
  <c r="I79"/>
  <c r="J79" s="1"/>
  <c r="L79" s="1"/>
  <c r="M79" s="1"/>
  <c r="G12"/>
  <c r="G119"/>
  <c r="F112"/>
  <c r="G112" s="1"/>
  <c r="G114"/>
  <c r="F66"/>
  <c r="G66" s="1"/>
  <c r="F68"/>
  <c r="G68" s="1"/>
  <c r="G63"/>
  <c r="F60"/>
  <c r="G60" s="1"/>
  <c r="G53"/>
  <c r="F48"/>
  <c r="G48" s="1"/>
  <c r="G47"/>
  <c r="G41"/>
  <c r="G42"/>
  <c r="F36"/>
  <c r="G36" s="1"/>
  <c r="F30"/>
  <c r="G30" s="1"/>
  <c r="G32"/>
  <c r="G27"/>
  <c r="F24"/>
  <c r="G24" s="1"/>
  <c r="G21"/>
  <c r="G16"/>
  <c r="G153"/>
  <c r="F118"/>
  <c r="G118" s="1"/>
  <c r="F113"/>
  <c r="G113" s="1"/>
  <c r="F67"/>
  <c r="G67" s="1"/>
  <c r="F62"/>
  <c r="G62" s="1"/>
  <c r="F52"/>
  <c r="G52" s="1"/>
  <c r="G46"/>
  <c r="G40"/>
  <c r="G34"/>
  <c r="G35"/>
  <c r="F31"/>
  <c r="G31" s="1"/>
  <c r="F26"/>
  <c r="G26" s="1"/>
  <c r="G20"/>
  <c r="G15"/>
  <c r="F11"/>
  <c r="G11" s="1"/>
  <c r="F188"/>
  <c r="G188" s="1"/>
  <c r="F184"/>
  <c r="G184" s="1"/>
  <c r="G183"/>
  <c r="F194"/>
  <c r="G194" s="1"/>
  <c r="F178"/>
  <c r="G178" s="1"/>
  <c r="G200"/>
  <c r="F197"/>
  <c r="G197" s="1"/>
  <c r="F173"/>
  <c r="G173" s="1"/>
  <c r="F169"/>
  <c r="G169" s="1"/>
  <c r="G168"/>
  <c r="G164"/>
  <c r="F204"/>
  <c r="G204" s="1"/>
  <c r="F199"/>
  <c r="G199" s="1"/>
  <c r="G191"/>
  <c r="G192"/>
  <c r="G186"/>
  <c r="G187"/>
  <c r="G182"/>
  <c r="G177"/>
  <c r="G171"/>
  <c r="G172"/>
  <c r="G167"/>
  <c r="F163"/>
  <c r="G163" s="1"/>
  <c r="G294"/>
  <c r="G343"/>
  <c r="G338"/>
  <c r="G289"/>
  <c r="G317"/>
  <c r="G318"/>
  <c r="G314"/>
  <c r="F274"/>
  <c r="G274" s="1"/>
  <c r="F268"/>
  <c r="G268" s="1"/>
  <c r="G265"/>
  <c r="G263"/>
  <c r="F336"/>
  <c r="G336" s="1"/>
  <c r="G331"/>
  <c r="G253"/>
  <c r="G247"/>
  <c r="G249"/>
  <c r="G346"/>
  <c r="G341"/>
  <c r="G333"/>
  <c r="G334"/>
  <c r="G328"/>
  <c r="G329"/>
  <c r="G323"/>
  <c r="G324"/>
  <c r="G320"/>
  <c r="G313"/>
  <c r="G308"/>
  <c r="G302"/>
  <c r="G303"/>
  <c r="G297"/>
  <c r="G298"/>
  <c r="G293"/>
  <c r="G288"/>
  <c r="G282"/>
  <c r="G283"/>
  <c r="G277"/>
  <c r="G278"/>
  <c r="G273"/>
  <c r="G267"/>
  <c r="G262"/>
  <c r="G257"/>
  <c r="G258"/>
  <c r="G255"/>
  <c r="G248"/>
  <c r="G245"/>
  <c r="G240"/>
  <c r="G232"/>
  <c r="G227"/>
  <c r="G222"/>
  <c r="G217"/>
  <c r="G366"/>
  <c r="G395"/>
  <c r="G391"/>
  <c r="G386"/>
  <c r="G379"/>
  <c r="G373"/>
  <c r="G368"/>
  <c r="G365"/>
  <c r="G360"/>
  <c r="F132" i="7" l="1"/>
  <c r="E156"/>
  <c r="E155"/>
  <c r="E154"/>
  <c r="E153"/>
  <c r="J148" i="6"/>
  <c r="H145"/>
  <c r="H144"/>
  <c r="J87"/>
  <c r="H84"/>
  <c r="H83"/>
  <c r="H29"/>
  <c r="H28"/>
  <c r="J159"/>
  <c r="J26"/>
  <c r="H24"/>
  <c r="H23"/>
  <c r="J165"/>
  <c r="J49"/>
  <c r="H46"/>
  <c r="H45"/>
  <c r="G132" i="7" l="1"/>
  <c r="I132" s="1"/>
  <c r="I144"/>
  <c r="I150"/>
  <c r="I119"/>
  <c r="I114" l="1"/>
  <c r="N187" i="1"/>
  <c r="N101"/>
  <c r="N78"/>
  <c r="N42"/>
  <c r="N15"/>
  <c r="H169"/>
  <c r="G169"/>
  <c r="G168"/>
  <c r="H168" s="1"/>
  <c r="G167"/>
  <c r="H167" s="1"/>
  <c r="H166"/>
  <c r="G166"/>
  <c r="G165"/>
  <c r="H165" s="1"/>
  <c r="G160"/>
  <c r="H160" s="1"/>
  <c r="G159"/>
  <c r="H159" s="1"/>
  <c r="H158"/>
  <c r="G158"/>
  <c r="G157"/>
  <c r="H157" s="1"/>
  <c r="G156"/>
  <c r="H156" s="1"/>
  <c r="G151"/>
  <c r="H151" s="1"/>
  <c r="G150"/>
  <c r="H150" s="1"/>
  <c r="H149"/>
  <c r="G149"/>
  <c r="G148"/>
  <c r="H148" s="1"/>
  <c r="G147"/>
  <c r="H147" s="1"/>
  <c r="G143"/>
  <c r="H143" s="1"/>
  <c r="G142"/>
  <c r="H142" s="1"/>
  <c r="G141"/>
  <c r="H141" s="1"/>
  <c r="H140"/>
  <c r="G140"/>
  <c r="G139"/>
  <c r="H139" s="1"/>
  <c r="G138"/>
  <c r="H138" s="1"/>
  <c r="G133"/>
  <c r="H133" s="1"/>
  <c r="G132"/>
  <c r="H132" s="1"/>
  <c r="G131"/>
  <c r="H131" s="1"/>
  <c r="G130"/>
  <c r="H130" s="1"/>
  <c r="H129"/>
  <c r="G129"/>
  <c r="G125"/>
  <c r="H125" s="1"/>
  <c r="G124"/>
  <c r="H124" s="1"/>
  <c r="H123"/>
  <c r="G123"/>
  <c r="G122"/>
  <c r="H122" s="1"/>
  <c r="G121"/>
  <c r="H121" s="1"/>
  <c r="G120"/>
  <c r="H120" s="1"/>
  <c r="H116"/>
  <c r="G116"/>
  <c r="G115"/>
  <c r="H115" s="1"/>
  <c r="G114"/>
  <c r="H114" s="1"/>
  <c r="G113"/>
  <c r="H113" s="1"/>
  <c r="G112"/>
  <c r="H112" s="1"/>
  <c r="G111"/>
  <c r="H111" s="1"/>
  <c r="H106"/>
  <c r="G106"/>
  <c r="G105"/>
  <c r="H105" s="1"/>
  <c r="G104"/>
  <c r="H104" s="1"/>
  <c r="H103"/>
  <c r="G103"/>
  <c r="G102"/>
  <c r="H102" s="1"/>
  <c r="G97"/>
  <c r="H97" s="1"/>
  <c r="G96"/>
  <c r="H96" s="1"/>
  <c r="H95"/>
  <c r="G95"/>
  <c r="G94"/>
  <c r="H94" s="1"/>
  <c r="G93"/>
  <c r="H93" s="1"/>
  <c r="H92"/>
  <c r="G92"/>
  <c r="G83"/>
  <c r="H83" s="1"/>
  <c r="G82"/>
  <c r="H82" s="1"/>
  <c r="G81"/>
  <c r="H81" s="1"/>
  <c r="G80"/>
  <c r="H80" s="1"/>
  <c r="H79"/>
  <c r="G79"/>
  <c r="G74"/>
  <c r="H74" s="1"/>
  <c r="G73"/>
  <c r="H73" s="1"/>
  <c r="G72"/>
  <c r="H72" s="1"/>
  <c r="G71"/>
  <c r="H71" s="1"/>
  <c r="H70"/>
  <c r="G70"/>
  <c r="H65"/>
  <c r="G65"/>
  <c r="G64"/>
  <c r="H64" s="1"/>
  <c r="G63"/>
  <c r="H63" s="1"/>
  <c r="H62"/>
  <c r="G62"/>
  <c r="H61"/>
  <c r="G61"/>
  <c r="H57"/>
  <c r="G57"/>
  <c r="H56"/>
  <c r="G56"/>
  <c r="G55"/>
  <c r="H55" s="1"/>
  <c r="H54"/>
  <c r="G54"/>
  <c r="H53"/>
  <c r="G53"/>
  <c r="G52"/>
  <c r="H52" s="1"/>
  <c r="G47"/>
  <c r="H47" s="1"/>
  <c r="G46"/>
  <c r="H46" s="1"/>
  <c r="H45"/>
  <c r="G45"/>
  <c r="G44"/>
  <c r="H44" s="1"/>
  <c r="H43"/>
  <c r="G43"/>
  <c r="H39"/>
  <c r="G39"/>
  <c r="G38"/>
  <c r="H38" s="1"/>
  <c r="H37"/>
  <c r="G37"/>
  <c r="H36"/>
  <c r="G36"/>
  <c r="H35"/>
  <c r="G35"/>
  <c r="G34"/>
  <c r="H34" s="1"/>
  <c r="N33"/>
  <c r="G30"/>
  <c r="H30" s="1"/>
  <c r="G29"/>
  <c r="H29" s="1"/>
  <c r="G28"/>
  <c r="H28" s="1"/>
  <c r="G27"/>
  <c r="H27" s="1"/>
  <c r="H26"/>
  <c r="G26"/>
  <c r="H25"/>
  <c r="G25"/>
  <c r="G20"/>
  <c r="G19"/>
  <c r="H19" s="1"/>
  <c r="G18"/>
  <c r="H18" s="1"/>
  <c r="H17"/>
  <c r="G17"/>
  <c r="H16"/>
  <c r="J16" s="1"/>
  <c r="G16"/>
  <c r="G255"/>
  <c r="H255" s="1"/>
  <c r="G254"/>
  <c r="H254" s="1"/>
  <c r="H253"/>
  <c r="G253"/>
  <c r="G252"/>
  <c r="H252" s="1"/>
  <c r="G251"/>
  <c r="H251" s="1"/>
  <c r="G246"/>
  <c r="H246" s="1"/>
  <c r="G245"/>
  <c r="H245" s="1"/>
  <c r="H244"/>
  <c r="G244"/>
  <c r="G243"/>
  <c r="H243" s="1"/>
  <c r="G242"/>
  <c r="H242" s="1"/>
  <c r="G237"/>
  <c r="H237" s="1"/>
  <c r="G236"/>
  <c r="H236" s="1"/>
  <c r="G235"/>
  <c r="H235" s="1"/>
  <c r="G234"/>
  <c r="H234" s="1"/>
  <c r="G233"/>
  <c r="H233" s="1"/>
  <c r="G229"/>
  <c r="H229" s="1"/>
  <c r="G228"/>
  <c r="H228" s="1"/>
  <c r="G227"/>
  <c r="H227" s="1"/>
  <c r="H226"/>
  <c r="G226"/>
  <c r="G225"/>
  <c r="H225" s="1"/>
  <c r="G224"/>
  <c r="H224" s="1"/>
  <c r="H219"/>
  <c r="G219"/>
  <c r="G218"/>
  <c r="H218" s="1"/>
  <c r="G217"/>
  <c r="H217" s="1"/>
  <c r="G216"/>
  <c r="H216" s="1"/>
  <c r="H215"/>
  <c r="G215"/>
  <c r="H211"/>
  <c r="G211"/>
  <c r="G202"/>
  <c r="H202" s="1"/>
  <c r="G210"/>
  <c r="H210" s="1"/>
  <c r="G209"/>
  <c r="H209" s="1"/>
  <c r="G208"/>
  <c r="H208" s="1"/>
  <c r="G207"/>
  <c r="H207" s="1"/>
  <c r="H206"/>
  <c r="G206"/>
  <c r="G201"/>
  <c r="H201" s="1"/>
  <c r="G200"/>
  <c r="H200" s="1"/>
  <c r="G199"/>
  <c r="H199" s="1"/>
  <c r="G198"/>
  <c r="H198" s="1"/>
  <c r="G197"/>
  <c r="H197" s="1"/>
  <c r="G192"/>
  <c r="H192" s="1"/>
  <c r="G191"/>
  <c r="H191" s="1"/>
  <c r="H190"/>
  <c r="G190"/>
  <c r="H189"/>
  <c r="G189"/>
  <c r="G188"/>
  <c r="H188" s="1"/>
  <c r="G341"/>
  <c r="H341" s="1"/>
  <c r="G340"/>
  <c r="H340" s="1"/>
  <c r="G339"/>
  <c r="H339" s="1"/>
  <c r="G338"/>
  <c r="H338" s="1"/>
  <c r="H337"/>
  <c r="G337"/>
  <c r="G332"/>
  <c r="H332" s="1"/>
  <c r="G331"/>
  <c r="H331" s="1"/>
  <c r="G330"/>
  <c r="H330" s="1"/>
  <c r="G329"/>
  <c r="H329" s="1"/>
  <c r="H328"/>
  <c r="G328"/>
  <c r="G323"/>
  <c r="H323" s="1"/>
  <c r="G322"/>
  <c r="H322" s="1"/>
  <c r="G321"/>
  <c r="H321" s="1"/>
  <c r="G320"/>
  <c r="H320" s="1"/>
  <c r="H319"/>
  <c r="G319"/>
  <c r="G315"/>
  <c r="H315" s="1"/>
  <c r="G314"/>
  <c r="H314" s="1"/>
  <c r="G313"/>
  <c r="H313" s="1"/>
  <c r="G312"/>
  <c r="H312" s="1"/>
  <c r="H311"/>
  <c r="G311"/>
  <c r="G310"/>
  <c r="H310" s="1"/>
  <c r="G297"/>
  <c r="H297" s="1"/>
  <c r="G296"/>
  <c r="H296" s="1"/>
  <c r="G295"/>
  <c r="H295" s="1"/>
  <c r="G294"/>
  <c r="H294" s="1"/>
  <c r="G293"/>
  <c r="H293" s="1"/>
  <c r="G292"/>
  <c r="H292" s="1"/>
  <c r="G288"/>
  <c r="H288" s="1"/>
  <c r="G287"/>
  <c r="H287" s="1"/>
  <c r="H286"/>
  <c r="G286"/>
  <c r="G285"/>
  <c r="H285" s="1"/>
  <c r="G284"/>
  <c r="H284" s="1"/>
  <c r="G283"/>
  <c r="H283" s="1"/>
  <c r="G278"/>
  <c r="H278" s="1"/>
  <c r="G277"/>
  <c r="H277" s="1"/>
  <c r="G276"/>
  <c r="H276" s="1"/>
  <c r="H275"/>
  <c r="G275"/>
  <c r="H274"/>
  <c r="G274"/>
  <c r="E362"/>
  <c r="G358"/>
  <c r="G354"/>
  <c r="H354" s="1"/>
  <c r="C29" l="1"/>
  <c r="C25"/>
  <c r="F52" i="5" l="1"/>
  <c r="F45"/>
  <c r="F44"/>
  <c r="G52" l="1"/>
  <c r="I52" s="1"/>
  <c r="G44"/>
  <c r="I44" s="1"/>
  <c r="G45"/>
  <c r="I45" s="1"/>
  <c r="J209" i="6"/>
  <c r="I222" i="4" l="1"/>
  <c r="I315" l="1"/>
  <c r="I299"/>
  <c r="I164"/>
  <c r="I298"/>
  <c r="I328"/>
  <c r="I163"/>
  <c r="I333"/>
  <c r="I225"/>
  <c r="I227"/>
  <c r="I320"/>
  <c r="I343"/>
  <c r="I344"/>
  <c r="I297"/>
  <c r="I312"/>
  <c r="I331"/>
  <c r="I230"/>
  <c r="I300"/>
  <c r="I317"/>
  <c r="I335"/>
  <c r="I336"/>
  <c r="I346"/>
  <c r="I319"/>
  <c r="I330"/>
  <c r="I161"/>
  <c r="I314"/>
  <c r="I162"/>
  <c r="I345"/>
  <c r="I334"/>
  <c r="I329"/>
  <c r="I318"/>
  <c r="I313"/>
  <c r="I302"/>
  <c r="I303"/>
  <c r="I304"/>
  <c r="I305"/>
  <c r="I288"/>
  <c r="I290"/>
  <c r="I287"/>
  <c r="I289"/>
  <c r="I285"/>
  <c r="I283"/>
  <c r="I282"/>
  <c r="I284"/>
  <c r="I272"/>
  <c r="I273"/>
  <c r="I274"/>
  <c r="I275"/>
  <c r="I267"/>
  <c r="I268"/>
  <c r="I269"/>
  <c r="I270"/>
  <c r="I258"/>
  <c r="I260"/>
  <c r="I257"/>
  <c r="I259"/>
  <c r="I255"/>
  <c r="I253"/>
  <c r="I252"/>
  <c r="I254"/>
  <c r="I243"/>
  <c r="I245"/>
  <c r="I242"/>
  <c r="I244"/>
  <c r="I238"/>
  <c r="I240"/>
  <c r="I237"/>
  <c r="I239"/>
  <c r="I228"/>
  <c r="I229"/>
  <c r="I224"/>
  <c r="I223"/>
  <c r="N173" i="1"/>
  <c r="N87"/>
  <c r="N69"/>
  <c r="J229"/>
  <c r="J143"/>
  <c r="J57"/>
  <c r="N60"/>
  <c r="N51"/>
  <c r="G183"/>
  <c r="H183" s="1"/>
  <c r="G11"/>
  <c r="H11" s="1"/>
  <c r="J97" l="1"/>
  <c r="J11"/>
  <c r="J183"/>
  <c r="I165" i="4"/>
  <c r="J165" s="1"/>
  <c r="L165" s="1"/>
  <c r="I332"/>
  <c r="J332" s="1"/>
  <c r="L332" s="1"/>
  <c r="I231"/>
  <c r="J231" s="1"/>
  <c r="L231" s="1"/>
  <c r="I337"/>
  <c r="J337" s="1"/>
  <c r="L337" s="1"/>
  <c r="I246"/>
  <c r="J246" s="1"/>
  <c r="L246" s="1"/>
  <c r="I347"/>
  <c r="J347" s="1"/>
  <c r="L347" s="1"/>
  <c r="I316"/>
  <c r="J316" s="1"/>
  <c r="L316" s="1"/>
  <c r="I301"/>
  <c r="J301" s="1"/>
  <c r="L301" s="1"/>
  <c r="I241"/>
  <c r="J241" s="1"/>
  <c r="L241" s="1"/>
  <c r="I261"/>
  <c r="J261" s="1"/>
  <c r="L261" s="1"/>
  <c r="I226"/>
  <c r="J226" s="1"/>
  <c r="L226" s="1"/>
  <c r="I286"/>
  <c r="J286" s="1"/>
  <c r="L286" s="1"/>
  <c r="I256"/>
  <c r="J256" s="1"/>
  <c r="L256" s="1"/>
  <c r="I276"/>
  <c r="J276" s="1"/>
  <c r="L276" s="1"/>
  <c r="I321"/>
  <c r="J321" s="1"/>
  <c r="L321" s="1"/>
  <c r="I306"/>
  <c r="J306" s="1"/>
  <c r="L306" s="1"/>
  <c r="I291"/>
  <c r="J291" s="1"/>
  <c r="L291" s="1"/>
  <c r="I271"/>
  <c r="J271" s="1"/>
  <c r="L271" s="1"/>
  <c r="J315" i="1" l="1"/>
  <c r="G269"/>
  <c r="H269" s="1"/>
  <c r="J269" s="1"/>
  <c r="G268"/>
  <c r="H268" s="1"/>
  <c r="G267"/>
  <c r="H267" s="1"/>
  <c r="G266"/>
  <c r="H266" s="1"/>
  <c r="H265"/>
  <c r="G265"/>
  <c r="G264"/>
  <c r="H264" s="1"/>
  <c r="J267" l="1"/>
  <c r="J264"/>
  <c r="J268"/>
  <c r="J266"/>
  <c r="J265"/>
  <c r="J270"/>
  <c r="C49"/>
  <c r="J214" i="6"/>
  <c r="J212"/>
  <c r="F9" i="7"/>
  <c r="G9" s="1"/>
  <c r="I9" s="1"/>
  <c r="F10"/>
  <c r="G10" s="1"/>
  <c r="I10" s="1"/>
  <c r="F156"/>
  <c r="F155"/>
  <c r="F154"/>
  <c r="F151"/>
  <c r="F145"/>
  <c r="F138"/>
  <c r="F136"/>
  <c r="F131"/>
  <c r="F130"/>
  <c r="F126"/>
  <c r="F125"/>
  <c r="F124"/>
  <c r="F108"/>
  <c r="F107"/>
  <c r="F106"/>
  <c r="F59"/>
  <c r="F57"/>
  <c r="F49"/>
  <c r="F48"/>
  <c r="F47"/>
  <c r="F45"/>
  <c r="F44"/>
  <c r="F43"/>
  <c r="F40"/>
  <c r="F38"/>
  <c r="F35"/>
  <c r="F34"/>
  <c r="F33"/>
  <c r="F30"/>
  <c r="F28"/>
  <c r="F25"/>
  <c r="F24"/>
  <c r="F23"/>
  <c r="F19"/>
  <c r="F18"/>
  <c r="F17"/>
  <c r="F14"/>
  <c r="F13"/>
  <c r="F12"/>
  <c r="F169"/>
  <c r="L168"/>
  <c r="F168"/>
  <c r="L165"/>
  <c r="F165"/>
  <c r="L162"/>
  <c r="J306" i="1"/>
  <c r="G305"/>
  <c r="H305" s="1"/>
  <c r="G304"/>
  <c r="H304" s="1"/>
  <c r="G303"/>
  <c r="H303" s="1"/>
  <c r="G302"/>
  <c r="H302" s="1"/>
  <c r="G301"/>
  <c r="H301" s="1"/>
  <c r="N361"/>
  <c r="C360"/>
  <c r="J359"/>
  <c r="N357"/>
  <c r="C356"/>
  <c r="J355"/>
  <c r="N353"/>
  <c r="J273" l="1"/>
  <c r="K273" s="1"/>
  <c r="J271"/>
  <c r="G13" i="7"/>
  <c r="F15"/>
  <c r="G15" s="1"/>
  <c r="G18"/>
  <c r="F20"/>
  <c r="G20" s="1"/>
  <c r="F22"/>
  <c r="G22" s="1"/>
  <c r="G24"/>
  <c r="G28"/>
  <c r="G34"/>
  <c r="F39"/>
  <c r="G39" s="1"/>
  <c r="G44"/>
  <c r="G48"/>
  <c r="F50"/>
  <c r="G50" s="1"/>
  <c r="F58"/>
  <c r="G58" s="1"/>
  <c r="I58" s="1"/>
  <c r="I62"/>
  <c r="I64"/>
  <c r="F105"/>
  <c r="G105" s="1"/>
  <c r="I105" s="1"/>
  <c r="G107"/>
  <c r="I107" s="1"/>
  <c r="I113"/>
  <c r="I118"/>
  <c r="G125"/>
  <c r="I125" s="1"/>
  <c r="F129"/>
  <c r="G129" s="1"/>
  <c r="I129" s="1"/>
  <c r="G131"/>
  <c r="I131" s="1"/>
  <c r="F137"/>
  <c r="G137" s="1"/>
  <c r="I137" s="1"/>
  <c r="I149"/>
  <c r="F153"/>
  <c r="G153" s="1"/>
  <c r="G155"/>
  <c r="G154"/>
  <c r="G156"/>
  <c r="I147"/>
  <c r="I148"/>
  <c r="G151"/>
  <c r="I151" s="1"/>
  <c r="G145"/>
  <c r="F135"/>
  <c r="G135" s="1"/>
  <c r="I135" s="1"/>
  <c r="G136"/>
  <c r="I136" s="1"/>
  <c r="G138"/>
  <c r="I138" s="1"/>
  <c r="G130"/>
  <c r="I130" s="1"/>
  <c r="I133"/>
  <c r="F123"/>
  <c r="G123" s="1"/>
  <c r="I123" s="1"/>
  <c r="G124"/>
  <c r="I124" s="1"/>
  <c r="G126"/>
  <c r="I126" s="1"/>
  <c r="I117"/>
  <c r="I122" s="1"/>
  <c r="K122" s="1"/>
  <c r="I120"/>
  <c r="I111"/>
  <c r="I112"/>
  <c r="I115"/>
  <c r="G106"/>
  <c r="I106" s="1"/>
  <c r="G108"/>
  <c r="I108" s="1"/>
  <c r="I61"/>
  <c r="I63"/>
  <c r="F56"/>
  <c r="G56" s="1"/>
  <c r="I56" s="1"/>
  <c r="G57"/>
  <c r="I57" s="1"/>
  <c r="G59"/>
  <c r="I59" s="1"/>
  <c r="G47"/>
  <c r="G49"/>
  <c r="F42"/>
  <c r="G42" s="1"/>
  <c r="G43"/>
  <c r="G45"/>
  <c r="F37"/>
  <c r="G37" s="1"/>
  <c r="G38"/>
  <c r="G40"/>
  <c r="F32"/>
  <c r="G32" s="1"/>
  <c r="G33"/>
  <c r="G35"/>
  <c r="F27"/>
  <c r="G27" s="1"/>
  <c r="F29"/>
  <c r="G29" s="1"/>
  <c r="G30"/>
  <c r="G23"/>
  <c r="G25"/>
  <c r="G17"/>
  <c r="G19"/>
  <c r="G12"/>
  <c r="G14"/>
  <c r="G168"/>
  <c r="G169"/>
  <c r="I169" s="1"/>
  <c r="G165"/>
  <c r="I165" s="1"/>
  <c r="F166"/>
  <c r="G166" s="1"/>
  <c r="I166" s="1"/>
  <c r="F162"/>
  <c r="G162" s="1"/>
  <c r="F163"/>
  <c r="G163" s="1"/>
  <c r="I163" s="1"/>
  <c r="J301" i="1"/>
  <c r="J302"/>
  <c r="J304"/>
  <c r="J303"/>
  <c r="J305"/>
  <c r="J358"/>
  <c r="J354"/>
  <c r="I60" i="7" l="1"/>
  <c r="K60" s="1"/>
  <c r="I116"/>
  <c r="K116" s="1"/>
  <c r="L116" s="1"/>
  <c r="I65"/>
  <c r="L70"/>
  <c r="L60"/>
  <c r="M165"/>
  <c r="I134"/>
  <c r="K134" s="1"/>
  <c r="L134" s="1"/>
  <c r="I152"/>
  <c r="K152" s="1"/>
  <c r="L152" s="1"/>
  <c r="L122"/>
  <c r="J272" i="1"/>
  <c r="M273"/>
  <c r="M168" i="7"/>
  <c r="I168"/>
  <c r="I170" s="1"/>
  <c r="K170" s="1"/>
  <c r="I167"/>
  <c r="K167" s="1"/>
  <c r="M162"/>
  <c r="I162"/>
  <c r="I164" s="1"/>
  <c r="K164" s="1"/>
  <c r="J309" i="1"/>
  <c r="K309" s="1"/>
  <c r="M309" s="1"/>
  <c r="J307"/>
  <c r="J361"/>
  <c r="K361" s="1"/>
  <c r="M361" s="1"/>
  <c r="J360"/>
  <c r="J357"/>
  <c r="K357" s="1"/>
  <c r="M357" s="1"/>
  <c r="J356"/>
  <c r="K65" i="7" l="1"/>
  <c r="L65" s="1"/>
  <c r="K272" i="1"/>
  <c r="M272" s="1"/>
  <c r="J308"/>
  <c r="K308" s="1"/>
  <c r="M308" s="1"/>
  <c r="C352" l="1"/>
  <c r="J351"/>
  <c r="G350"/>
  <c r="H350" s="1"/>
  <c r="J350" l="1"/>
  <c r="J353" s="1"/>
  <c r="K353" s="1"/>
  <c r="M353" s="1"/>
  <c r="J352" l="1"/>
  <c r="K205" i="6" l="1"/>
  <c r="F203"/>
  <c r="F202"/>
  <c r="F201"/>
  <c r="F200"/>
  <c r="F199"/>
  <c r="F198"/>
  <c r="F197"/>
  <c r="K195"/>
  <c r="F193"/>
  <c r="F192"/>
  <c r="F191"/>
  <c r="F190"/>
  <c r="F189"/>
  <c r="F188"/>
  <c r="F187"/>
  <c r="F178"/>
  <c r="G178" s="1"/>
  <c r="F179"/>
  <c r="G179" s="1"/>
  <c r="F180"/>
  <c r="G180" s="1"/>
  <c r="F181"/>
  <c r="G181" s="1"/>
  <c r="F183"/>
  <c r="F182"/>
  <c r="F177"/>
  <c r="G191" l="1"/>
  <c r="I191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187"/>
  <c r="I187" s="1"/>
  <c r="G188"/>
  <c r="I188" s="1"/>
  <c r="G189"/>
  <c r="I189" s="1"/>
  <c r="G190"/>
  <c r="I190" s="1"/>
  <c r="G192"/>
  <c r="I192" s="1"/>
  <c r="G193"/>
  <c r="I193" s="1"/>
  <c r="I180"/>
  <c r="G182"/>
  <c r="I182" s="1"/>
  <c r="I178"/>
  <c r="G177"/>
  <c r="I177" s="1"/>
  <c r="I179"/>
  <c r="I181"/>
  <c r="G183"/>
  <c r="I183" s="1"/>
  <c r="I181" i="4"/>
  <c r="I182"/>
  <c r="I183"/>
  <c r="I184"/>
  <c r="F35" i="5"/>
  <c r="I185" i="4" l="1"/>
  <c r="J185" s="1"/>
  <c r="L185" s="1"/>
  <c r="I204" i="6"/>
  <c r="I206" s="1"/>
  <c r="K206" s="1"/>
  <c r="I194"/>
  <c r="I196" s="1"/>
  <c r="K196" s="1"/>
  <c r="I184"/>
  <c r="K185"/>
  <c r="I186" l="1"/>
  <c r="K186" s="1"/>
  <c r="I202" i="4" l="1"/>
  <c r="I204"/>
  <c r="I203"/>
  <c r="I205"/>
  <c r="I197"/>
  <c r="I199"/>
  <c r="I198"/>
  <c r="I200"/>
  <c r="F139" i="7"/>
  <c r="F127"/>
  <c r="F109"/>
  <c r="F8"/>
  <c r="F7"/>
  <c r="F168" i="6"/>
  <c r="F167"/>
  <c r="F162"/>
  <c r="F151"/>
  <c r="F150"/>
  <c r="F145"/>
  <c r="F144"/>
  <c r="F140"/>
  <c r="F139"/>
  <c r="F134"/>
  <c r="F128"/>
  <c r="F127"/>
  <c r="F123"/>
  <c r="F122"/>
  <c r="F94"/>
  <c r="F89"/>
  <c r="F84"/>
  <c r="F79"/>
  <c r="F67"/>
  <c r="F62"/>
  <c r="F51"/>
  <c r="F45"/>
  <c r="F39"/>
  <c r="F35"/>
  <c r="F34"/>
  <c r="F28"/>
  <c r="F24"/>
  <c r="F17"/>
  <c r="F12"/>
  <c r="F7"/>
  <c r="F50" i="5"/>
  <c r="I11" i="4"/>
  <c r="J342" i="1"/>
  <c r="J333"/>
  <c r="J324"/>
  <c r="J297"/>
  <c r="J288"/>
  <c r="J279"/>
  <c r="J256"/>
  <c r="J247"/>
  <c r="J238"/>
  <c r="J220"/>
  <c r="J211"/>
  <c r="J202"/>
  <c r="J193"/>
  <c r="J184"/>
  <c r="G182"/>
  <c r="H182" s="1"/>
  <c r="G181"/>
  <c r="H181" s="1"/>
  <c r="G180"/>
  <c r="H180" s="1"/>
  <c r="G179"/>
  <c r="H179" s="1"/>
  <c r="G178"/>
  <c r="H178" s="1"/>
  <c r="J170"/>
  <c r="J161"/>
  <c r="J152"/>
  <c r="J134"/>
  <c r="J125"/>
  <c r="J116"/>
  <c r="J107"/>
  <c r="J98"/>
  <c r="C85"/>
  <c r="J84"/>
  <c r="C76"/>
  <c r="J75"/>
  <c r="C67"/>
  <c r="J66"/>
  <c r="C58"/>
  <c r="J48"/>
  <c r="C40"/>
  <c r="J39"/>
  <c r="C31"/>
  <c r="J30"/>
  <c r="C22"/>
  <c r="J21"/>
  <c r="I169" i="6"/>
  <c r="I163"/>
  <c r="F161"/>
  <c r="I157"/>
  <c r="F155"/>
  <c r="I146"/>
  <c r="I135"/>
  <c r="F133"/>
  <c r="I129"/>
  <c r="I108"/>
  <c r="F106"/>
  <c r="I102"/>
  <c r="I96"/>
  <c r="I85"/>
  <c r="I74"/>
  <c r="F72"/>
  <c r="I68"/>
  <c r="I53"/>
  <c r="I47"/>
  <c r="I41"/>
  <c r="I30"/>
  <c r="I19"/>
  <c r="I206" i="4" l="1"/>
  <c r="J206" s="1"/>
  <c r="I201"/>
  <c r="J338" i="1"/>
  <c r="G139" i="7"/>
  <c r="I139" s="1"/>
  <c r="J340" i="1"/>
  <c r="J337"/>
  <c r="J339"/>
  <c r="J341"/>
  <c r="J330"/>
  <c r="J328"/>
  <c r="J332"/>
  <c r="J329"/>
  <c r="J331"/>
  <c r="J165"/>
  <c r="J43"/>
  <c r="J139"/>
  <c r="I156" i="7"/>
  <c r="I154"/>
  <c r="G127"/>
  <c r="I127" s="1"/>
  <c r="G109"/>
  <c r="I109" s="1"/>
  <c r="I141"/>
  <c r="I142"/>
  <c r="I143"/>
  <c r="I145"/>
  <c r="I153"/>
  <c r="I155"/>
  <c r="I19"/>
  <c r="I18"/>
  <c r="I20"/>
  <c r="I48"/>
  <c r="I50"/>
  <c r="I47"/>
  <c r="I49"/>
  <c r="I43"/>
  <c r="I45"/>
  <c r="I42"/>
  <c r="I44"/>
  <c r="I39"/>
  <c r="I37"/>
  <c r="I38"/>
  <c r="I40"/>
  <c r="I32"/>
  <c r="I34"/>
  <c r="I33"/>
  <c r="I35"/>
  <c r="I29"/>
  <c r="I27"/>
  <c r="I28"/>
  <c r="I30"/>
  <c r="I22"/>
  <c r="I24"/>
  <c r="I23"/>
  <c r="I25"/>
  <c r="I15"/>
  <c r="I13"/>
  <c r="I12"/>
  <c r="I14"/>
  <c r="J323" i="1"/>
  <c r="J216"/>
  <c r="J311"/>
  <c r="J322"/>
  <c r="J284"/>
  <c r="J319"/>
  <c r="J320"/>
  <c r="J285"/>
  <c r="J292"/>
  <c r="J312"/>
  <c r="J313"/>
  <c r="J314"/>
  <c r="J321"/>
  <c r="J310"/>
  <c r="J294"/>
  <c r="J295"/>
  <c r="J296"/>
  <c r="J293"/>
  <c r="J286"/>
  <c r="J287"/>
  <c r="J283"/>
  <c r="J275"/>
  <c r="J277"/>
  <c r="J274"/>
  <c r="J276"/>
  <c r="J278"/>
  <c r="J226"/>
  <c r="J228"/>
  <c r="J224"/>
  <c r="J254"/>
  <c r="J252"/>
  <c r="J255"/>
  <c r="J253"/>
  <c r="J251"/>
  <c r="J121"/>
  <c r="J132"/>
  <c r="J140"/>
  <c r="J159"/>
  <c r="J215"/>
  <c r="J234"/>
  <c r="J242"/>
  <c r="J123"/>
  <c r="J130"/>
  <c r="J138"/>
  <c r="J157"/>
  <c r="J236"/>
  <c r="J25"/>
  <c r="J103"/>
  <c r="J105"/>
  <c r="J111"/>
  <c r="J113"/>
  <c r="J115"/>
  <c r="J167"/>
  <c r="J169"/>
  <c r="J217"/>
  <c r="J219"/>
  <c r="J244"/>
  <c r="J246"/>
  <c r="J93"/>
  <c r="J95"/>
  <c r="J142"/>
  <c r="J147"/>
  <c r="J149"/>
  <c r="J151"/>
  <c r="J225"/>
  <c r="J227"/>
  <c r="J218"/>
  <c r="J208"/>
  <c r="J209"/>
  <c r="J210"/>
  <c r="J207"/>
  <c r="J206"/>
  <c r="J245"/>
  <c r="J243"/>
  <c r="J190"/>
  <c r="J191"/>
  <c r="J192"/>
  <c r="J189"/>
  <c r="J188"/>
  <c r="J178"/>
  <c r="J179"/>
  <c r="J180"/>
  <c r="J181"/>
  <c r="J182"/>
  <c r="J197"/>
  <c r="J198"/>
  <c r="J199"/>
  <c r="J200"/>
  <c r="J201"/>
  <c r="J233"/>
  <c r="J235"/>
  <c r="J237"/>
  <c r="J141"/>
  <c r="J168"/>
  <c r="J166"/>
  <c r="J122"/>
  <c r="J124"/>
  <c r="J120"/>
  <c r="J114"/>
  <c r="J112"/>
  <c r="J94"/>
  <c r="J96"/>
  <c r="J92"/>
  <c r="J102"/>
  <c r="J104"/>
  <c r="J106"/>
  <c r="J129"/>
  <c r="J131"/>
  <c r="J133"/>
  <c r="J148"/>
  <c r="J150"/>
  <c r="J156"/>
  <c r="J158"/>
  <c r="J160"/>
  <c r="J82"/>
  <c r="J80"/>
  <c r="J73"/>
  <c r="J72"/>
  <c r="J70"/>
  <c r="J71"/>
  <c r="J61"/>
  <c r="J64"/>
  <c r="J62"/>
  <c r="J55"/>
  <c r="J53"/>
  <c r="J52"/>
  <c r="J46"/>
  <c r="J44"/>
  <c r="J34"/>
  <c r="J37"/>
  <c r="J35"/>
  <c r="J28"/>
  <c r="J26"/>
  <c r="J19"/>
  <c r="J17"/>
  <c r="J27"/>
  <c r="J29"/>
  <c r="J45"/>
  <c r="J47"/>
  <c r="J63"/>
  <c r="J65"/>
  <c r="J79"/>
  <c r="J81"/>
  <c r="J83"/>
  <c r="J18"/>
  <c r="J20"/>
  <c r="J36"/>
  <c r="J38"/>
  <c r="J54"/>
  <c r="J56"/>
  <c r="J74"/>
  <c r="G151" i="6"/>
  <c r="I151" s="1"/>
  <c r="G168"/>
  <c r="I168" s="1"/>
  <c r="G144"/>
  <c r="I144" s="1"/>
  <c r="F156"/>
  <c r="G156" s="1"/>
  <c r="I156" s="1"/>
  <c r="G139"/>
  <c r="I139" s="1"/>
  <c r="G161"/>
  <c r="I161" s="1"/>
  <c r="G134"/>
  <c r="I134" s="1"/>
  <c r="G127"/>
  <c r="I127" s="1"/>
  <c r="G122"/>
  <c r="I122" s="1"/>
  <c r="G128"/>
  <c r="I128" s="1"/>
  <c r="G133"/>
  <c r="I133" s="1"/>
  <c r="G140"/>
  <c r="I140" s="1"/>
  <c r="G145"/>
  <c r="I145" s="1"/>
  <c r="G150"/>
  <c r="I150" s="1"/>
  <c r="G155"/>
  <c r="I155" s="1"/>
  <c r="G162"/>
  <c r="I162" s="1"/>
  <c r="G167"/>
  <c r="I167" s="1"/>
  <c r="G123"/>
  <c r="I123" s="1"/>
  <c r="G106"/>
  <c r="I106" s="1"/>
  <c r="F101"/>
  <c r="G101" s="1"/>
  <c r="I101" s="1"/>
  <c r="F66"/>
  <c r="G66" s="1"/>
  <c r="I66" s="1"/>
  <c r="F61"/>
  <c r="G61" s="1"/>
  <c r="I61" s="1"/>
  <c r="G62"/>
  <c r="I62" s="1"/>
  <c r="G67"/>
  <c r="I67" s="1"/>
  <c r="G72"/>
  <c r="I72" s="1"/>
  <c r="F73"/>
  <c r="G73" s="1"/>
  <c r="I73" s="1"/>
  <c r="F78"/>
  <c r="G78" s="1"/>
  <c r="I78" s="1"/>
  <c r="G79"/>
  <c r="I79" s="1"/>
  <c r="F83"/>
  <c r="G83" s="1"/>
  <c r="I83" s="1"/>
  <c r="G84"/>
  <c r="I84" s="1"/>
  <c r="G89"/>
  <c r="I89" s="1"/>
  <c r="F90"/>
  <c r="G90" s="1"/>
  <c r="I90" s="1"/>
  <c r="G94"/>
  <c r="I94" s="1"/>
  <c r="F95"/>
  <c r="G95" s="1"/>
  <c r="I95" s="1"/>
  <c r="F100"/>
  <c r="G100" s="1"/>
  <c r="I100" s="1"/>
  <c r="F107"/>
  <c r="G107" s="1"/>
  <c r="I107" s="1"/>
  <c r="G51"/>
  <c r="I51" s="1"/>
  <c r="F52"/>
  <c r="G52" s="1"/>
  <c r="I52" s="1"/>
  <c r="G45"/>
  <c r="I45" s="1"/>
  <c r="F46"/>
  <c r="G46" s="1"/>
  <c r="I46" s="1"/>
  <c r="G39"/>
  <c r="I39" s="1"/>
  <c r="F40"/>
  <c r="G40" s="1"/>
  <c r="I40" s="1"/>
  <c r="G34"/>
  <c r="I34" s="1"/>
  <c r="G35"/>
  <c r="I35" s="1"/>
  <c r="F29"/>
  <c r="G29" s="1"/>
  <c r="I29" s="1"/>
  <c r="G28"/>
  <c r="I28" s="1"/>
  <c r="F23"/>
  <c r="G23" s="1"/>
  <c r="I23" s="1"/>
  <c r="G24"/>
  <c r="I24" s="1"/>
  <c r="F18"/>
  <c r="G18" s="1"/>
  <c r="I18" s="1"/>
  <c r="G17"/>
  <c r="I17" s="1"/>
  <c r="F6"/>
  <c r="G6" s="1"/>
  <c r="F11"/>
  <c r="G11" s="1"/>
  <c r="I11" s="1"/>
  <c r="G12"/>
  <c r="I12" s="1"/>
  <c r="I13"/>
  <c r="G7"/>
  <c r="I7" s="1"/>
  <c r="J449" i="5"/>
  <c r="F447"/>
  <c r="F445"/>
  <c r="F443"/>
  <c r="F441"/>
  <c r="F440"/>
  <c r="F439"/>
  <c r="F437"/>
  <c r="F19"/>
  <c r="F18"/>
  <c r="F17"/>
  <c r="F16"/>
  <c r="F51"/>
  <c r="F49"/>
  <c r="F48"/>
  <c r="F47"/>
  <c r="F46"/>
  <c r="F43"/>
  <c r="F42"/>
  <c r="F40"/>
  <c r="F36"/>
  <c r="F33"/>
  <c r="F28"/>
  <c r="F26"/>
  <c r="F24"/>
  <c r="F21"/>
  <c r="F20"/>
  <c r="F15"/>
  <c r="F14"/>
  <c r="F13"/>
  <c r="F12"/>
  <c r="F11"/>
  <c r="F10"/>
  <c r="F9"/>
  <c r="F8"/>
  <c r="F7"/>
  <c r="F356" i="4"/>
  <c r="F355"/>
  <c r="F354"/>
  <c r="F353"/>
  <c r="I340"/>
  <c r="I325"/>
  <c r="I309"/>
  <c r="I294"/>
  <c r="I279"/>
  <c r="I262"/>
  <c r="I249"/>
  <c r="I248"/>
  <c r="I247"/>
  <c r="I220"/>
  <c r="I219"/>
  <c r="I218"/>
  <c r="I217"/>
  <c r="I178"/>
  <c r="I52"/>
  <c r="I31"/>
  <c r="I24"/>
  <c r="I21"/>
  <c r="J24" i="1" l="1"/>
  <c r="K24" s="1"/>
  <c r="M24" s="1"/>
  <c r="J22"/>
  <c r="L206" i="4"/>
  <c r="J128" i="1"/>
  <c r="K128" s="1"/>
  <c r="M128" s="1"/>
  <c r="J119"/>
  <c r="K119" s="1"/>
  <c r="M119" s="1"/>
  <c r="J33"/>
  <c r="K33" s="1"/>
  <c r="M33" s="1"/>
  <c r="J300"/>
  <c r="K300" s="1"/>
  <c r="J291"/>
  <c r="K291" s="1"/>
  <c r="J214"/>
  <c r="K214" s="1"/>
  <c r="M214" s="1"/>
  <c r="J42"/>
  <c r="K42" s="1"/>
  <c r="M42" s="1"/>
  <c r="J205"/>
  <c r="K205" s="1"/>
  <c r="M205" s="1"/>
  <c r="J60"/>
  <c r="K60" s="1"/>
  <c r="M60" s="1"/>
  <c r="J187"/>
  <c r="K187" s="1"/>
  <c r="M187" s="1"/>
  <c r="J101"/>
  <c r="K101" s="1"/>
  <c r="M101" s="1"/>
  <c r="I221" i="4"/>
  <c r="J221" s="1"/>
  <c r="L221" s="1"/>
  <c r="J232" i="1"/>
  <c r="K232" s="1"/>
  <c r="M232" s="1"/>
  <c r="J146"/>
  <c r="K146" s="1"/>
  <c r="M146" s="1"/>
  <c r="J318"/>
  <c r="K318" s="1"/>
  <c r="J51"/>
  <c r="K51" s="1"/>
  <c r="J69"/>
  <c r="K69" s="1"/>
  <c r="M69" s="1"/>
  <c r="J78"/>
  <c r="K78" s="1"/>
  <c r="J87"/>
  <c r="K87" s="1"/>
  <c r="J110"/>
  <c r="K110" s="1"/>
  <c r="M110" s="1"/>
  <c r="J137"/>
  <c r="K137" s="1"/>
  <c r="M137" s="1"/>
  <c r="J155"/>
  <c r="K155" s="1"/>
  <c r="M155" s="1"/>
  <c r="J196"/>
  <c r="K196" s="1"/>
  <c r="M196" s="1"/>
  <c r="J164"/>
  <c r="K164" s="1"/>
  <c r="M164" s="1"/>
  <c r="J173"/>
  <c r="K173" s="1"/>
  <c r="M173" s="1"/>
  <c r="J223"/>
  <c r="K223" s="1"/>
  <c r="M223" s="1"/>
  <c r="J241"/>
  <c r="K241" s="1"/>
  <c r="M241" s="1"/>
  <c r="J250"/>
  <c r="K250" s="1"/>
  <c r="M250" s="1"/>
  <c r="J345"/>
  <c r="K345" s="1"/>
  <c r="M345" s="1"/>
  <c r="J336"/>
  <c r="K336" s="1"/>
  <c r="M336" s="1"/>
  <c r="J327"/>
  <c r="K327" s="1"/>
  <c r="J282"/>
  <c r="K282" s="1"/>
  <c r="J201" i="4"/>
  <c r="L201" s="1"/>
  <c r="I26" i="6"/>
  <c r="K26" s="1"/>
  <c r="J343" i="1"/>
  <c r="I37" i="4"/>
  <c r="M91" i="7"/>
  <c r="J334" i="1"/>
  <c r="I277" i="4"/>
  <c r="I278"/>
  <c r="M117" i="7"/>
  <c r="M147"/>
  <c r="M129"/>
  <c r="M123"/>
  <c r="M111"/>
  <c r="M105"/>
  <c r="I157"/>
  <c r="I146"/>
  <c r="K146" s="1"/>
  <c r="L146" s="1"/>
  <c r="M141"/>
  <c r="M135"/>
  <c r="I140"/>
  <c r="K140" s="1"/>
  <c r="L140" s="1"/>
  <c r="M81"/>
  <c r="M96"/>
  <c r="M76"/>
  <c r="M86"/>
  <c r="M71"/>
  <c r="M66"/>
  <c r="I17"/>
  <c r="M17"/>
  <c r="M56"/>
  <c r="M61"/>
  <c r="I41"/>
  <c r="K41" s="1"/>
  <c r="L41" s="1"/>
  <c r="I51"/>
  <c r="K51" s="1"/>
  <c r="L51" s="1"/>
  <c r="I46"/>
  <c r="K46" s="1"/>
  <c r="L46" s="1"/>
  <c r="I36"/>
  <c r="K36" s="1"/>
  <c r="L36" s="1"/>
  <c r="I31"/>
  <c r="K31" s="1"/>
  <c r="L31" s="1"/>
  <c r="I26"/>
  <c r="K26" s="1"/>
  <c r="L26" s="1"/>
  <c r="I16"/>
  <c r="K16" s="1"/>
  <c r="L16" s="1"/>
  <c r="J221" i="1"/>
  <c r="J298"/>
  <c r="J325"/>
  <c r="J316"/>
  <c r="J126"/>
  <c r="J171"/>
  <c r="J289"/>
  <c r="J49"/>
  <c r="J248"/>
  <c r="J280"/>
  <c r="J230"/>
  <c r="J67"/>
  <c r="J153"/>
  <c r="J117"/>
  <c r="J257"/>
  <c r="J259"/>
  <c r="M259" s="1"/>
  <c r="J31"/>
  <c r="J144"/>
  <c r="J194"/>
  <c r="J212"/>
  <c r="J239"/>
  <c r="J203"/>
  <c r="J185"/>
  <c r="J99"/>
  <c r="J135"/>
  <c r="J108"/>
  <c r="J162"/>
  <c r="J85"/>
  <c r="J76"/>
  <c r="J58"/>
  <c r="J40"/>
  <c r="I170" i="6"/>
  <c r="I171"/>
  <c r="I158"/>
  <c r="I159"/>
  <c r="K159" s="1"/>
  <c r="I152"/>
  <c r="I153"/>
  <c r="K153" s="1"/>
  <c r="I165"/>
  <c r="K165" s="1"/>
  <c r="I164"/>
  <c r="I131"/>
  <c r="K131" s="1"/>
  <c r="I130"/>
  <c r="I125"/>
  <c r="K125" s="1"/>
  <c r="I124"/>
  <c r="I136"/>
  <c r="I137"/>
  <c r="K137" s="1"/>
  <c r="I148"/>
  <c r="K148" s="1"/>
  <c r="I147"/>
  <c r="I142"/>
  <c r="K142" s="1"/>
  <c r="I141"/>
  <c r="I104"/>
  <c r="K104" s="1"/>
  <c r="I103"/>
  <c r="I97"/>
  <c r="I98"/>
  <c r="K98" s="1"/>
  <c r="I87"/>
  <c r="K87" s="1"/>
  <c r="I86"/>
  <c r="I81"/>
  <c r="K81" s="1"/>
  <c r="I80"/>
  <c r="I75"/>
  <c r="I76"/>
  <c r="K76" s="1"/>
  <c r="I64"/>
  <c r="K64" s="1"/>
  <c r="I63"/>
  <c r="I91"/>
  <c r="I92"/>
  <c r="K92" s="1"/>
  <c r="I109"/>
  <c r="I110"/>
  <c r="K110" s="1"/>
  <c r="I70"/>
  <c r="K70" s="1"/>
  <c r="I69"/>
  <c r="I54"/>
  <c r="I55"/>
  <c r="K55" s="1"/>
  <c r="I48"/>
  <c r="I49"/>
  <c r="K49" s="1"/>
  <c r="I42"/>
  <c r="I43"/>
  <c r="K43" s="1"/>
  <c r="I37"/>
  <c r="K37" s="1"/>
  <c r="I36"/>
  <c r="I31"/>
  <c r="I32"/>
  <c r="K32" s="1"/>
  <c r="I25"/>
  <c r="I20"/>
  <c r="I21"/>
  <c r="K21" s="1"/>
  <c r="I15"/>
  <c r="I14"/>
  <c r="F438" i="5"/>
  <c r="G438" s="1"/>
  <c r="I438" s="1"/>
  <c r="G440"/>
  <c r="I440" s="1"/>
  <c r="G437"/>
  <c r="I437" s="1"/>
  <c r="G439"/>
  <c r="I439" s="1"/>
  <c r="G441"/>
  <c r="I441" s="1"/>
  <c r="F442"/>
  <c r="G442" s="1"/>
  <c r="I442" s="1"/>
  <c r="G443"/>
  <c r="I443" s="1"/>
  <c r="F444"/>
  <c r="G444" s="1"/>
  <c r="I444" s="1"/>
  <c r="G445"/>
  <c r="I445" s="1"/>
  <c r="F446"/>
  <c r="G446" s="1"/>
  <c r="I446" s="1"/>
  <c r="G447"/>
  <c r="I447" s="1"/>
  <c r="F448"/>
  <c r="G448" s="1"/>
  <c r="I448" s="1"/>
  <c r="I121"/>
  <c r="I122"/>
  <c r="I123"/>
  <c r="I124"/>
  <c r="I125"/>
  <c r="I126"/>
  <c r="I131"/>
  <c r="I132"/>
  <c r="I133"/>
  <c r="I134"/>
  <c r="I135"/>
  <c r="G17"/>
  <c r="I17" s="1"/>
  <c r="G47"/>
  <c r="I47" s="1"/>
  <c r="G18"/>
  <c r="I18" s="1"/>
  <c r="G19"/>
  <c r="I19" s="1"/>
  <c r="F37"/>
  <c r="G37" s="1"/>
  <c r="I37" s="1"/>
  <c r="F41"/>
  <c r="G41" s="1"/>
  <c r="I41" s="1"/>
  <c r="G43"/>
  <c r="I43" s="1"/>
  <c r="G49"/>
  <c r="I49" s="1"/>
  <c r="F53"/>
  <c r="G53" s="1"/>
  <c r="I53" s="1"/>
  <c r="I87"/>
  <c r="I88"/>
  <c r="I89"/>
  <c r="I90"/>
  <c r="I91"/>
  <c r="I95"/>
  <c r="I96"/>
  <c r="I97"/>
  <c r="I98"/>
  <c r="I99"/>
  <c r="I100"/>
  <c r="I101"/>
  <c r="F39"/>
  <c r="G39" s="1"/>
  <c r="I39" s="1"/>
  <c r="G40"/>
  <c r="I40" s="1"/>
  <c r="G42"/>
  <c r="I42" s="1"/>
  <c r="G46"/>
  <c r="I46" s="1"/>
  <c r="G48"/>
  <c r="I48" s="1"/>
  <c r="G50"/>
  <c r="I50" s="1"/>
  <c r="G51"/>
  <c r="I51" s="1"/>
  <c r="F23"/>
  <c r="G23" s="1"/>
  <c r="I23" s="1"/>
  <c r="G24"/>
  <c r="I24" s="1"/>
  <c r="F25"/>
  <c r="G25" s="1"/>
  <c r="I25" s="1"/>
  <c r="G26"/>
  <c r="I26" s="1"/>
  <c r="F27"/>
  <c r="G27" s="1"/>
  <c r="I27" s="1"/>
  <c r="G28"/>
  <c r="I28" s="1"/>
  <c r="F32"/>
  <c r="G32" s="1"/>
  <c r="I32" s="1"/>
  <c r="G33"/>
  <c r="I33" s="1"/>
  <c r="F34"/>
  <c r="G34" s="1"/>
  <c r="I34" s="1"/>
  <c r="G35"/>
  <c r="I35" s="1"/>
  <c r="G36"/>
  <c r="I36" s="1"/>
  <c r="G16"/>
  <c r="I16" s="1"/>
  <c r="I177" i="4"/>
  <c r="G355"/>
  <c r="I355" s="1"/>
  <c r="I188"/>
  <c r="G353"/>
  <c r="I353" s="1"/>
  <c r="G354"/>
  <c r="I354" s="1"/>
  <c r="G356"/>
  <c r="I356" s="1"/>
  <c r="I358"/>
  <c r="I359"/>
  <c r="I360"/>
  <c r="I361"/>
  <c r="I363"/>
  <c r="I364"/>
  <c r="I365"/>
  <c r="I366"/>
  <c r="I368"/>
  <c r="I369"/>
  <c r="I370"/>
  <c r="I371"/>
  <c r="I373"/>
  <c r="I374"/>
  <c r="I375"/>
  <c r="I376"/>
  <c r="I378"/>
  <c r="I379"/>
  <c r="I380"/>
  <c r="I381"/>
  <c r="I384"/>
  <c r="I385"/>
  <c r="I386"/>
  <c r="I387"/>
  <c r="I390"/>
  <c r="I391"/>
  <c r="I392"/>
  <c r="I393"/>
  <c r="I395"/>
  <c r="I396"/>
  <c r="I397"/>
  <c r="I398"/>
  <c r="I338"/>
  <c r="I323"/>
  <c r="I310"/>
  <c r="I292"/>
  <c r="I295"/>
  <c r="I232"/>
  <c r="I233"/>
  <c r="I234"/>
  <c r="I235"/>
  <c r="I263"/>
  <c r="I264"/>
  <c r="I265"/>
  <c r="I280"/>
  <c r="I293"/>
  <c r="I307"/>
  <c r="I308"/>
  <c r="I324"/>
  <c r="I326"/>
  <c r="I339"/>
  <c r="I341"/>
  <c r="I191"/>
  <c r="I154"/>
  <c r="I25"/>
  <c r="I166"/>
  <c r="I167"/>
  <c r="I168"/>
  <c r="I171"/>
  <c r="I172"/>
  <c r="I173"/>
  <c r="I176"/>
  <c r="I186"/>
  <c r="I193"/>
  <c r="I169"/>
  <c r="I174"/>
  <c r="I179"/>
  <c r="I187"/>
  <c r="I189"/>
  <c r="I192"/>
  <c r="I194"/>
  <c r="I152"/>
  <c r="I156" s="1"/>
  <c r="I111"/>
  <c r="I112"/>
  <c r="I113"/>
  <c r="I114"/>
  <c r="I116"/>
  <c r="I117"/>
  <c r="I118"/>
  <c r="I119"/>
  <c r="I153"/>
  <c r="I155"/>
  <c r="I60"/>
  <c r="I61"/>
  <c r="I62"/>
  <c r="I63"/>
  <c r="I65"/>
  <c r="I66"/>
  <c r="I67"/>
  <c r="I68"/>
  <c r="I50"/>
  <c r="I51"/>
  <c r="I53"/>
  <c r="I45"/>
  <c r="I46"/>
  <c r="I47"/>
  <c r="I48"/>
  <c r="I39"/>
  <c r="I40"/>
  <c r="I41"/>
  <c r="I42"/>
  <c r="I36"/>
  <c r="I35"/>
  <c r="I26"/>
  <c r="I34"/>
  <c r="I29"/>
  <c r="I30"/>
  <c r="I32"/>
  <c r="I27"/>
  <c r="I19"/>
  <c r="I20"/>
  <c r="I22"/>
  <c r="I14"/>
  <c r="I15"/>
  <c r="I16"/>
  <c r="I17"/>
  <c r="K370" i="1" l="1"/>
  <c r="M370" s="1"/>
  <c r="M78"/>
  <c r="K371"/>
  <c r="M371" s="1"/>
  <c r="I170" i="4"/>
  <c r="J170" s="1"/>
  <c r="L170" s="1"/>
  <c r="I175"/>
  <c r="J175" s="1"/>
  <c r="L175" s="1"/>
  <c r="I311"/>
  <c r="J311" s="1"/>
  <c r="L311" s="1"/>
  <c r="I296"/>
  <c r="J296" s="1"/>
  <c r="L296" s="1"/>
  <c r="I399"/>
  <c r="J399" s="1"/>
  <c r="I394"/>
  <c r="J394" s="1"/>
  <c r="I388"/>
  <c r="J388" s="1"/>
  <c r="I382"/>
  <c r="J382" s="1"/>
  <c r="I377"/>
  <c r="J377" s="1"/>
  <c r="I372"/>
  <c r="J372" s="1"/>
  <c r="I367"/>
  <c r="J367" s="1"/>
  <c r="I362"/>
  <c r="J362" s="1"/>
  <c r="I357"/>
  <c r="J357" s="1"/>
  <c r="I195"/>
  <c r="J195" s="1"/>
  <c r="L195" s="1"/>
  <c r="I190"/>
  <c r="J190" s="1"/>
  <c r="L190" s="1"/>
  <c r="I180"/>
  <c r="J180" s="1"/>
  <c r="L180" s="1"/>
  <c r="I342"/>
  <c r="J342" s="1"/>
  <c r="L342" s="1"/>
  <c r="I327"/>
  <c r="J327" s="1"/>
  <c r="L327" s="1"/>
  <c r="I281"/>
  <c r="J281" s="1"/>
  <c r="L281" s="1"/>
  <c r="I266"/>
  <c r="J266" s="1"/>
  <c r="L266" s="1"/>
  <c r="I250"/>
  <c r="I251" s="1"/>
  <c r="J251" s="1"/>
  <c r="L251" s="1"/>
  <c r="I236"/>
  <c r="J236" s="1"/>
  <c r="L236" s="1"/>
  <c r="J317" i="1"/>
  <c r="K317" s="1"/>
  <c r="M317" s="1"/>
  <c r="K177" i="7"/>
  <c r="J195" i="1"/>
  <c r="K195" s="1"/>
  <c r="M195" s="1"/>
  <c r="J344"/>
  <c r="K344" s="1"/>
  <c r="M344" s="1"/>
  <c r="J145"/>
  <c r="K145" s="1"/>
  <c r="M145" s="1"/>
  <c r="J23"/>
  <c r="K23" s="1"/>
  <c r="M23" s="1"/>
  <c r="K368"/>
  <c r="M368" s="1"/>
  <c r="K369"/>
  <c r="M369" s="1"/>
  <c r="K367"/>
  <c r="M367" s="1"/>
  <c r="I111" i="6"/>
  <c r="K111" s="1"/>
  <c r="I38" i="5"/>
  <c r="K38" s="1"/>
  <c r="L38" s="1"/>
  <c r="I54" i="4"/>
  <c r="J54" s="1"/>
  <c r="I49"/>
  <c r="I43"/>
  <c r="J43" s="1"/>
  <c r="L43" s="1"/>
  <c r="M43" s="1"/>
  <c r="I38"/>
  <c r="J38" s="1"/>
  <c r="L38" s="1"/>
  <c r="M38" s="1"/>
  <c r="I33"/>
  <c r="I28"/>
  <c r="J28" s="1"/>
  <c r="L28" s="1"/>
  <c r="M28" s="1"/>
  <c r="I23"/>
  <c r="J23" s="1"/>
  <c r="I120"/>
  <c r="J120" s="1"/>
  <c r="L120" s="1"/>
  <c r="M120" s="1"/>
  <c r="I69"/>
  <c r="J69" s="1"/>
  <c r="L69" s="1"/>
  <c r="M69" s="1"/>
  <c r="I18"/>
  <c r="J18" s="1"/>
  <c r="I115"/>
  <c r="J115" s="1"/>
  <c r="L115" s="1"/>
  <c r="M115" s="1"/>
  <c r="I64"/>
  <c r="J64" s="1"/>
  <c r="L64" s="1"/>
  <c r="M64" s="1"/>
  <c r="M87" i="1"/>
  <c r="K372"/>
  <c r="M372" s="1"/>
  <c r="M51"/>
  <c r="K366"/>
  <c r="M366" s="1"/>
  <c r="K180" i="7"/>
  <c r="L180" s="1"/>
  <c r="I154" i="6"/>
  <c r="K154" s="1"/>
  <c r="I160"/>
  <c r="K160" s="1"/>
  <c r="I99"/>
  <c r="K99" s="1"/>
  <c r="I56"/>
  <c r="K56" s="1"/>
  <c r="J32" i="1"/>
  <c r="K32" s="1"/>
  <c r="M32" s="1"/>
  <c r="J335"/>
  <c r="K335" s="1"/>
  <c r="M335" s="1"/>
  <c r="M282"/>
  <c r="M300"/>
  <c r="M327"/>
  <c r="M291"/>
  <c r="M318"/>
  <c r="I110" i="7"/>
  <c r="K110" s="1"/>
  <c r="I128"/>
  <c r="I21"/>
  <c r="K21" s="1"/>
  <c r="J68" i="1"/>
  <c r="K68" s="1"/>
  <c r="M68" s="1"/>
  <c r="J231"/>
  <c r="K231" s="1"/>
  <c r="M231" s="1"/>
  <c r="J222"/>
  <c r="K222" s="1"/>
  <c r="M222" s="1"/>
  <c r="J213"/>
  <c r="K213" s="1"/>
  <c r="M213" s="1"/>
  <c r="J249"/>
  <c r="K249" s="1"/>
  <c r="M249" s="1"/>
  <c r="J118"/>
  <c r="K118" s="1"/>
  <c r="M118" s="1"/>
  <c r="J326"/>
  <c r="K326" s="1"/>
  <c r="M326" s="1"/>
  <c r="J86"/>
  <c r="K86" s="1"/>
  <c r="M86" s="1"/>
  <c r="J290"/>
  <c r="K290" s="1"/>
  <c r="M290" s="1"/>
  <c r="J127"/>
  <c r="K127" s="1"/>
  <c r="M127" s="1"/>
  <c r="J172"/>
  <c r="K172" s="1"/>
  <c r="M172" s="1"/>
  <c r="J299"/>
  <c r="K299" s="1"/>
  <c r="M299" s="1"/>
  <c r="J258"/>
  <c r="M258" s="1"/>
  <c r="J281"/>
  <c r="K281" s="1"/>
  <c r="M281" s="1"/>
  <c r="J100"/>
  <c r="K100" s="1"/>
  <c r="M100" s="1"/>
  <c r="J154"/>
  <c r="K154" s="1"/>
  <c r="M154" s="1"/>
  <c r="J186"/>
  <c r="K186" s="1"/>
  <c r="M186" s="1"/>
  <c r="J240"/>
  <c r="K240" s="1"/>
  <c r="M240" s="1"/>
  <c r="J204"/>
  <c r="K204" s="1"/>
  <c r="M204" s="1"/>
  <c r="J163"/>
  <c r="K163" s="1"/>
  <c r="M163" s="1"/>
  <c r="J109"/>
  <c r="K109" s="1"/>
  <c r="M109" s="1"/>
  <c r="J136"/>
  <c r="K136" s="1"/>
  <c r="M136" s="1"/>
  <c r="J77"/>
  <c r="K77" s="1"/>
  <c r="M77" s="1"/>
  <c r="J59"/>
  <c r="K59" s="1"/>
  <c r="M59" s="1"/>
  <c r="J50"/>
  <c r="K50" s="1"/>
  <c r="M50" s="1"/>
  <c r="J41"/>
  <c r="K41" s="1"/>
  <c r="M41" s="1"/>
  <c r="I172" i="6"/>
  <c r="I27"/>
  <c r="K27" s="1"/>
  <c r="I38"/>
  <c r="K38" s="1"/>
  <c r="I71"/>
  <c r="K71" s="1"/>
  <c r="I65"/>
  <c r="K65" s="1"/>
  <c r="I82"/>
  <c r="K82" s="1"/>
  <c r="I105"/>
  <c r="K105" s="1"/>
  <c r="I33"/>
  <c r="K33" s="1"/>
  <c r="I138"/>
  <c r="K138" s="1"/>
  <c r="I143"/>
  <c r="K143" s="1"/>
  <c r="I149"/>
  <c r="K149" s="1"/>
  <c r="I126"/>
  <c r="K126" s="1"/>
  <c r="I132"/>
  <c r="K132" s="1"/>
  <c r="I166"/>
  <c r="K166" s="1"/>
  <c r="I88"/>
  <c r="K88" s="1"/>
  <c r="I93"/>
  <c r="K93" s="1"/>
  <c r="I77"/>
  <c r="K77" s="1"/>
  <c r="I50"/>
  <c r="K50" s="1"/>
  <c r="I44"/>
  <c r="K44" s="1"/>
  <c r="I22"/>
  <c r="K22" s="1"/>
  <c r="K15"/>
  <c r="I16"/>
  <c r="K16" s="1"/>
  <c r="I449" i="5"/>
  <c r="I136"/>
  <c r="K136" s="1"/>
  <c r="L136" s="1"/>
  <c r="I102"/>
  <c r="K102" s="1"/>
  <c r="L102" s="1"/>
  <c r="K86"/>
  <c r="L86" s="1"/>
  <c r="I70"/>
  <c r="K70" s="1"/>
  <c r="L70" s="1"/>
  <c r="I54"/>
  <c r="K54" s="1"/>
  <c r="L54" s="1"/>
  <c r="L156" i="4"/>
  <c r="J409" l="1"/>
  <c r="L409" s="1"/>
  <c r="K216" i="6"/>
  <c r="L216" s="1"/>
  <c r="K128" i="7"/>
  <c r="K174"/>
  <c r="L174" s="1"/>
  <c r="L21"/>
  <c r="L110"/>
  <c r="K365" i="1"/>
  <c r="M365" s="1"/>
  <c r="L54" i="4"/>
  <c r="M54" s="1"/>
  <c r="J406"/>
  <c r="L406" s="1"/>
  <c r="J407"/>
  <c r="L407" s="1"/>
  <c r="K214" i="6"/>
  <c r="L214" s="1"/>
  <c r="K179" i="7"/>
  <c r="L179" s="1"/>
  <c r="K178"/>
  <c r="L178" s="1"/>
  <c r="L177"/>
  <c r="K173"/>
  <c r="L173" s="1"/>
  <c r="K217" i="6"/>
  <c r="L217" s="1"/>
  <c r="K212"/>
  <c r="L212" s="1"/>
  <c r="L357" i="4"/>
  <c r="K176" i="7"/>
  <c r="L176" s="1"/>
  <c r="K211" i="6"/>
  <c r="L211" s="1"/>
  <c r="K215"/>
  <c r="L215" s="1"/>
  <c r="K210"/>
  <c r="L210" s="1"/>
  <c r="K213"/>
  <c r="K457" i="5"/>
  <c r="L457" s="1"/>
  <c r="K452"/>
  <c r="L452" s="1"/>
  <c r="K458"/>
  <c r="L458" s="1"/>
  <c r="J49" i="4"/>
  <c r="J408" s="1"/>
  <c r="K456" i="5"/>
  <c r="L456" s="1"/>
  <c r="K453"/>
  <c r="L453" s="1"/>
  <c r="K459"/>
  <c r="L459" s="1"/>
  <c r="K455"/>
  <c r="L455" s="1"/>
  <c r="K454"/>
  <c r="L454" s="1"/>
  <c r="L362" i="4"/>
  <c r="L372"/>
  <c r="L382"/>
  <c r="L394"/>
  <c r="L367"/>
  <c r="L377"/>
  <c r="L388"/>
  <c r="L399"/>
  <c r="J33"/>
  <c r="L33" s="1"/>
  <c r="M33" s="1"/>
  <c r="L23"/>
  <c r="M23" s="1"/>
  <c r="L18"/>
  <c r="M18" s="1"/>
  <c r="L128" i="7" l="1"/>
  <c r="K175"/>
  <c r="L175" s="1"/>
  <c r="J402" i="4"/>
  <c r="L402" s="1"/>
  <c r="J405"/>
  <c r="L405" s="1"/>
  <c r="J404"/>
  <c r="L404" s="1"/>
  <c r="L49"/>
  <c r="M49" s="1"/>
  <c r="L408"/>
  <c r="J403"/>
  <c r="L403" s="1"/>
  <c r="L213" i="6" l="1"/>
  <c r="C13" i="1" l="1"/>
  <c r="G20" i="5" l="1"/>
  <c r="I20" s="1"/>
  <c r="G21"/>
  <c r="I21" s="1"/>
  <c r="G12"/>
  <c r="I12" s="1"/>
  <c r="G13"/>
  <c r="I13" s="1"/>
  <c r="G14"/>
  <c r="I14" s="1"/>
  <c r="G7"/>
  <c r="I7" s="1"/>
  <c r="G8" i="7" l="1"/>
  <c r="I8" s="1"/>
  <c r="G7"/>
  <c r="I7" s="1"/>
  <c r="G9" i="1"/>
  <c r="H9" s="1"/>
  <c r="G10"/>
  <c r="H10" s="1"/>
  <c r="I11" i="7" l="1"/>
  <c r="K11" s="1"/>
  <c r="J12" i="1"/>
  <c r="J10"/>
  <c r="J9"/>
  <c r="K172" i="7" l="1"/>
  <c r="L172" s="1"/>
  <c r="L11"/>
  <c r="I6" i="6"/>
  <c r="G15" i="5"/>
  <c r="I15" s="1"/>
  <c r="G11"/>
  <c r="I11" s="1"/>
  <c r="G9"/>
  <c r="I9" s="1"/>
  <c r="G10"/>
  <c r="G8"/>
  <c r="I8" s="1"/>
  <c r="I10" i="4"/>
  <c r="I9"/>
  <c r="I12"/>
  <c r="I9" i="6" l="1"/>
  <c r="K9" s="1"/>
  <c r="I8"/>
  <c r="I13" i="4"/>
  <c r="J13" s="1"/>
  <c r="J401" s="1"/>
  <c r="I10" i="5"/>
  <c r="I10" i="6" l="1"/>
  <c r="K10" s="1"/>
  <c r="K209" s="1"/>
  <c r="L401" i="4"/>
  <c r="I22" i="5"/>
  <c r="K22" s="1"/>
  <c r="G6" i="1"/>
  <c r="H6" s="1"/>
  <c r="K451" i="5" l="1"/>
  <c r="L451" s="1"/>
  <c r="L22"/>
  <c r="L209" i="6"/>
  <c r="J6" i="1"/>
  <c r="G8"/>
  <c r="H8" s="1"/>
  <c r="G7"/>
  <c r="H7" s="1"/>
  <c r="J8" l="1"/>
  <c r="J7"/>
  <c r="J15" l="1"/>
  <c r="K15" s="1"/>
  <c r="K364" s="1"/>
  <c r="J13"/>
  <c r="L13" i="4"/>
  <c r="M13" s="1"/>
  <c r="M15" i="1" l="1"/>
  <c r="J14"/>
  <c r="K14" s="1"/>
  <c r="M14" s="1"/>
  <c r="M364" l="1"/>
</calcChain>
</file>

<file path=xl/sharedStrings.xml><?xml version="1.0" encoding="utf-8"?>
<sst xmlns="http://schemas.openxmlformats.org/spreadsheetml/2006/main" count="2735" uniqueCount="130">
  <si>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</si>
  <si>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</si>
  <si>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</si>
  <si>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</si>
  <si>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</si>
  <si>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</si>
  <si>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</si>
  <si>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</si>
  <si>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</si>
  <si>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</si>
  <si>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</si>
  <si>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</si>
  <si>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</si>
  <si>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</si>
  <si>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</si>
  <si>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</si>
  <si>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</si>
  <si>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</si>
  <si>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</si>
  <si>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</si>
  <si>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</si>
  <si>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</si>
  <si>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</si>
  <si>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</si>
  <si>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</si>
  <si>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</si>
  <si>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</si>
  <si>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</si>
  <si>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</si>
  <si>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</si>
  <si>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</si>
  <si>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</si>
  <si>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</si>
  <si>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</si>
  <si>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</si>
  <si>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</si>
  <si>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</si>
  <si>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</si>
  <si>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</si>
  <si>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</si>
  <si>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</si>
  <si>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</si>
  <si>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</si>
  <si>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</si>
  <si>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</si>
  <si>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</si>
  <si>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</si>
  <si>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</si>
  <si>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Прочие затраты</t>
  </si>
  <si>
    <t>Норма затрат на 1 ед. услуги</t>
  </si>
  <si>
    <t>Чистящие, моющие, дезинфицирующие средства, средства гигиены</t>
  </si>
  <si>
    <t>Тариф (цена 1 кв.м.), руб.</t>
  </si>
  <si>
    <t>Хозтовары</t>
  </si>
  <si>
    <t>6=гр.5/кол.воспит.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</si>
  <si>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</si>
  <si>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</si>
  <si>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</si>
  <si>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муниципальный бюджет</t>
  </si>
  <si>
    <t>Госпошлина</t>
  </si>
  <si>
    <t>Налог за негативное воздейств.на окр.среду</t>
  </si>
  <si>
    <t>краевой бюджет</t>
  </si>
  <si>
    <t>Обучение персонала</t>
  </si>
  <si>
    <t>Медицинский осмотр</t>
  </si>
  <si>
    <t>Обслуживание "Стрелец-Мониторинг"</t>
  </si>
  <si>
    <t>Школа № 1</t>
  </si>
  <si>
    <t>Время использования имущ.комплекса на 1 учащ.</t>
  </si>
  <si>
    <t>учащихся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</si>
  <si>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</si>
  <si>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</si>
  <si>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</si>
  <si>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</si>
  <si>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</si>
  <si>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</si>
  <si>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</si>
  <si>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</si>
  <si>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</si>
  <si>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</si>
  <si>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</si>
  <si>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"Реализация дополнительных общеобразовательных общеразвивающих программ"</t>
  </si>
  <si>
    <t>норма на 1</t>
  </si>
  <si>
    <t>УСЛУГА "Предоставление питания"</t>
  </si>
  <si>
    <t>УСЛУГА "Присмотр и уход"</t>
  </si>
  <si>
    <t>Обслуживание видеонаблюдения</t>
  </si>
  <si>
    <t>ремонт оборудования</t>
  </si>
  <si>
    <t>обслуживание ГЛОНАСС</t>
  </si>
  <si>
    <t>автострахование</t>
  </si>
  <si>
    <t>Техобслуживание тр.ср.</t>
  </si>
  <si>
    <t>ГСМ</t>
  </si>
  <si>
    <t>гардеробщик</t>
  </si>
  <si>
    <t>водитель</t>
  </si>
  <si>
    <t>УСЛУГА "Реализация основных общеобразовательных программ среднего образования"</t>
  </si>
  <si>
    <t xml:space="preserve">Затраты на прочие общехозяйственные нужды </t>
  </si>
  <si>
    <t>военно-полевые сборы</t>
  </si>
  <si>
    <t>мун.бюджет</t>
  </si>
  <si>
    <t>Лицей № 8</t>
  </si>
  <si>
    <t>человеко-часы</t>
  </si>
  <si>
    <t>Очистка снега с крыши</t>
  </si>
  <si>
    <t>РАБОТА "Организация и осуществление транспортного обслуживания учащихся образовательных организаций</t>
  </si>
  <si>
    <t xml:space="preserve">Время использования имущ.комплекса </t>
  </si>
  <si>
    <t>Тех.осмотр тр.ср.</t>
  </si>
  <si>
    <t>Запасные части</t>
  </si>
  <si>
    <t>Показатель объема, рейсы</t>
  </si>
  <si>
    <t>Показатель объема, человеко-часы</t>
  </si>
  <si>
    <t>Медицинское освидетельствование</t>
  </si>
  <si>
    <t>Тариф (цена ), руб.</t>
  </si>
  <si>
    <t>Обучение по безопасному вождению, техминимум</t>
  </si>
  <si>
    <t>вахтер</t>
  </si>
  <si>
    <t>рабочий по компл.обсл.зд.</t>
  </si>
  <si>
    <t>начальное</t>
  </si>
  <si>
    <t>основное</t>
  </si>
  <si>
    <t>среднее</t>
  </si>
  <si>
    <t>возмещение расх. (мусор, охрана, комм.)</t>
  </si>
  <si>
    <t>Огнезащитная обработка</t>
  </si>
  <si>
    <t>Обследование на заклещевленность</t>
  </si>
  <si>
    <t>специалист по БДД</t>
  </si>
  <si>
    <t>оператор теплоого пункта</t>
  </si>
  <si>
    <t>оператор теплового пункта</t>
  </si>
  <si>
    <t>оператор теплоаого пункта</t>
  </si>
  <si>
    <t>оператор тепл.пункта</t>
  </si>
  <si>
    <t>Хозтовары, стоительные материалы</t>
  </si>
  <si>
    <t>Лабораторные исследования</t>
  </si>
  <si>
    <t>Поверка приборов учета</t>
  </si>
  <si>
    <t>Охрана объекта</t>
  </si>
  <si>
    <t>Общее полезное время использования: 1) 247*8*(173/1973) =1976*0,087684=173,26358</t>
  </si>
  <si>
    <t>Время использования имущественного комплекса на 1 обуч.: 1)173,26358/173= 1,00152</t>
  </si>
  <si>
    <t>Публикации</t>
  </si>
  <si>
    <t>Запрвка огнетушителей</t>
  </si>
  <si>
    <t>Заправка огнетушителей</t>
  </si>
  <si>
    <t>текущий ремонт помещений</t>
  </si>
  <si>
    <t>Изготовление тех паспорта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</si>
</sst>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"/>
    <numFmt numFmtId="168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3" fillId="0" borderId="10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1" fillId="0" borderId="5" xfId="0" applyNumberFormat="1" applyFont="1" applyBorder="1"/>
    <xf numFmtId="165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165" fontId="1" fillId="0" borderId="16" xfId="0" applyNumberFormat="1" applyFont="1" applyBorder="1"/>
    <xf numFmtId="1" fontId="1" fillId="0" borderId="3" xfId="0" applyNumberFormat="1" applyFont="1" applyBorder="1"/>
    <xf numFmtId="0" fontId="8" fillId="0" borderId="0" xfId="0" applyFont="1"/>
    <xf numFmtId="0" fontId="1" fillId="0" borderId="2" xfId="0" applyFont="1" applyBorder="1" applyAlignment="1">
      <alignment wrapText="1"/>
    </xf>
    <xf numFmtId="1" fontId="0" fillId="0" borderId="18" xfId="0" applyNumberFormat="1" applyBorder="1" applyAlignment="1">
      <alignment horizontal="center"/>
    </xf>
    <xf numFmtId="167" fontId="1" fillId="0" borderId="0" xfId="0" applyNumberFormat="1" applyFont="1"/>
    <xf numFmtId="0" fontId="0" fillId="0" borderId="19" xfId="0" applyBorder="1"/>
    <xf numFmtId="0" fontId="1" fillId="0" borderId="18" xfId="0" applyFont="1" applyBorder="1"/>
    <xf numFmtId="2" fontId="2" fillId="0" borderId="18" xfId="0" applyNumberFormat="1" applyFont="1" applyBorder="1"/>
    <xf numFmtId="0" fontId="9" fillId="0" borderId="0" xfId="0" applyFont="1"/>
    <xf numFmtId="2" fontId="0" fillId="0" borderId="18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" fontId="1" fillId="0" borderId="5" xfId="0" applyNumberFormat="1" applyFont="1" applyBorder="1"/>
    <xf numFmtId="165" fontId="0" fillId="0" borderId="0" xfId="0" applyNumberFormat="1" applyBorder="1"/>
    <xf numFmtId="0" fontId="1" fillId="0" borderId="25" xfId="0" applyFont="1" applyBorder="1"/>
    <xf numFmtId="1" fontId="0" fillId="0" borderId="25" xfId="0" applyNumberFormat="1" applyBorder="1" applyAlignment="1">
      <alignment horizontal="center"/>
    </xf>
    <xf numFmtId="2" fontId="2" fillId="0" borderId="25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/>
    <xf numFmtId="164" fontId="1" fillId="0" borderId="0" xfId="0" applyNumberFormat="1" applyFont="1"/>
    <xf numFmtId="2" fontId="0" fillId="0" borderId="0" xfId="0" applyNumberFormat="1" applyBorder="1"/>
    <xf numFmtId="1" fontId="0" fillId="0" borderId="0" xfId="0" applyNumberForma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" fillId="0" borderId="15" xfId="0" applyFont="1" applyBorder="1"/>
    <xf numFmtId="166" fontId="1" fillId="0" borderId="0" xfId="0" applyNumberFormat="1" applyFont="1"/>
    <xf numFmtId="166" fontId="10" fillId="0" borderId="1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/>
    </xf>
    <xf numFmtId="166" fontId="2" fillId="0" borderId="0" xfId="0" applyNumberFormat="1" applyFont="1" applyBorder="1"/>
    <xf numFmtId="2" fontId="1" fillId="2" borderId="0" xfId="0" applyNumberFormat="1" applyFont="1" applyFill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1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 vertical="center" wrapText="1"/>
    </xf>
    <xf numFmtId="166" fontId="5" fillId="0" borderId="14" xfId="0" applyNumberFormat="1" applyFont="1" applyBorder="1" applyAlignment="1">
      <alignment horizontal="center"/>
    </xf>
    <xf numFmtId="166" fontId="10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/>
    <xf numFmtId="165" fontId="1" fillId="0" borderId="8" xfId="0" applyNumberFormat="1" applyFont="1" applyBorder="1"/>
    <xf numFmtId="165" fontId="2" fillId="0" borderId="14" xfId="0" applyNumberFormat="1" applyFont="1" applyBorder="1"/>
    <xf numFmtId="165" fontId="2" fillId="0" borderId="20" xfId="0" applyNumberFormat="1" applyFont="1" applyBorder="1"/>
    <xf numFmtId="165" fontId="2" fillId="0" borderId="26" xfId="0" applyNumberFormat="1" applyFont="1" applyBorder="1"/>
    <xf numFmtId="165" fontId="2" fillId="0" borderId="11" xfId="0" applyNumberFormat="1" applyFont="1" applyBorder="1"/>
    <xf numFmtId="165" fontId="1" fillId="0" borderId="12" xfId="0" applyNumberFormat="1" applyFont="1" applyBorder="1"/>
    <xf numFmtId="165" fontId="2" fillId="0" borderId="0" xfId="0" applyNumberFormat="1" applyFont="1" applyBorder="1"/>
    <xf numFmtId="165" fontId="1" fillId="0" borderId="0" xfId="0" applyNumberFormat="1" applyFont="1"/>
    <xf numFmtId="165" fontId="1" fillId="0" borderId="6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10" xfId="0" applyFont="1" applyFill="1" applyBorder="1"/>
    <xf numFmtId="0" fontId="1" fillId="3" borderId="18" xfId="0" applyFont="1" applyFill="1" applyBorder="1"/>
    <xf numFmtId="2" fontId="1" fillId="3" borderId="1" xfId="0" applyNumberFormat="1" applyFont="1" applyFill="1" applyBorder="1"/>
    <xf numFmtId="2" fontId="1" fillId="3" borderId="10" xfId="0" applyNumberFormat="1" applyFont="1" applyFill="1" applyBorder="1"/>
    <xf numFmtId="0" fontId="7" fillId="3" borderId="0" xfId="0" applyFont="1" applyFill="1"/>
    <xf numFmtId="0" fontId="9" fillId="3" borderId="0" xfId="0" applyFont="1" applyFill="1"/>
    <xf numFmtId="0" fontId="0" fillId="3" borderId="0" xfId="0" applyFill="1"/>
    <xf numFmtId="0" fontId="1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/>
    </xf>
    <xf numFmtId="0" fontId="0" fillId="3" borderId="4" xfId="0" applyFill="1" applyBorder="1"/>
    <xf numFmtId="0" fontId="11" fillId="3" borderId="7" xfId="0" applyFont="1" applyFill="1" applyBorder="1"/>
    <xf numFmtId="0" fontId="11" fillId="3" borderId="13" xfId="0" applyFont="1" applyFill="1" applyBorder="1" applyAlignment="1">
      <alignment horizontal="left"/>
    </xf>
    <xf numFmtId="0" fontId="0" fillId="3" borderId="13" xfId="0" applyFill="1" applyBorder="1"/>
    <xf numFmtId="0" fontId="0" fillId="3" borderId="9" xfId="0" applyFill="1" applyBorder="1"/>
    <xf numFmtId="0" fontId="0" fillId="3" borderId="0" xfId="0" applyFill="1" applyBorder="1"/>
    <xf numFmtId="0" fontId="6" fillId="3" borderId="0" xfId="0" applyFont="1" applyFill="1" applyAlignment="1">
      <alignment horizontal="left"/>
    </xf>
    <xf numFmtId="0" fontId="4" fillId="3" borderId="13" xfId="0" applyFont="1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0" fillId="3" borderId="7" xfId="0" applyFill="1" applyBorder="1"/>
    <xf numFmtId="0" fontId="0" fillId="3" borderId="19" xfId="0" applyFill="1" applyBorder="1"/>
    <xf numFmtId="0" fontId="0" fillId="3" borderId="24" xfId="0" applyFill="1" applyBorder="1"/>
    <xf numFmtId="0" fontId="6" fillId="3" borderId="0" xfId="0" applyFont="1" applyFill="1" applyAlignment="1"/>
    <xf numFmtId="0" fontId="10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1" fillId="3" borderId="15" xfId="0" applyFont="1" applyFill="1" applyBorder="1"/>
    <xf numFmtId="0" fontId="1" fillId="3" borderId="25" xfId="0" applyFont="1" applyFill="1" applyBorder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2" fontId="1" fillId="3" borderId="5" xfId="0" applyNumberFormat="1" applyFont="1" applyFill="1" applyBorder="1"/>
    <xf numFmtId="0" fontId="12" fillId="3" borderId="0" xfId="0" applyFont="1" applyFill="1" applyAlignment="1">
      <alignment horizontal="left"/>
    </xf>
    <xf numFmtId="168" fontId="1" fillId="3" borderId="0" xfId="0" applyNumberFormat="1" applyFont="1" applyFill="1"/>
    <xf numFmtId="167" fontId="1" fillId="3" borderId="0" xfId="0" applyNumberFormat="1" applyFont="1" applyFill="1"/>
    <xf numFmtId="1" fontId="0" fillId="3" borderId="0" xfId="0" applyNumberFormat="1" applyFill="1" applyBorder="1" applyAlignment="1">
      <alignment horizontal="right"/>
    </xf>
    <xf numFmtId="0" fontId="1" fillId="3" borderId="0" xfId="0" applyFont="1" applyFill="1" applyAlignment="1">
      <alignment wrapText="1"/>
    </xf>
    <xf numFmtId="2" fontId="1" fillId="3" borderId="0" xfId="0" applyNumberFormat="1" applyFont="1" applyFill="1"/>
    <xf numFmtId="165" fontId="1" fillId="3" borderId="0" xfId="0" applyNumberFormat="1" applyFont="1" applyFill="1"/>
    <xf numFmtId="165" fontId="1" fillId="2" borderId="0" xfId="0" applyNumberFormat="1" applyFont="1" applyFill="1"/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2" fontId="0" fillId="4" borderId="5" xfId="0" applyNumberFormat="1" applyFill="1" applyBorder="1"/>
    <xf numFmtId="2" fontId="0" fillId="4" borderId="1" xfId="0" applyNumberFormat="1" applyFill="1" applyBorder="1"/>
    <xf numFmtId="0" fontId="5" fillId="3" borderId="10" xfId="0" applyFont="1" applyFill="1" applyBorder="1" applyAlignment="1">
      <alignment horizontal="center"/>
    </xf>
    <xf numFmtId="164" fontId="1" fillId="3" borderId="15" xfId="0" applyNumberFormat="1" applyFont="1" applyFill="1" applyBorder="1"/>
    <xf numFmtId="164" fontId="1" fillId="3" borderId="1" xfId="0" applyNumberFormat="1" applyFont="1" applyFill="1" applyBorder="1"/>
    <xf numFmtId="0" fontId="1" fillId="3" borderId="17" xfId="0" applyFont="1" applyFill="1" applyBorder="1"/>
    <xf numFmtId="2" fontId="1" fillId="3" borderId="15" xfId="0" applyNumberFormat="1" applyFont="1" applyFill="1" applyBorder="1"/>
    <xf numFmtId="0" fontId="1" fillId="3" borderId="23" xfId="0" applyFont="1" applyFill="1" applyBorder="1"/>
    <xf numFmtId="0" fontId="4" fillId="3" borderId="10" xfId="0" applyFont="1" applyFill="1" applyBorder="1" applyAlignment="1">
      <alignment horizontal="center"/>
    </xf>
    <xf numFmtId="164" fontId="0" fillId="3" borderId="3" xfId="0" applyNumberFormat="1" applyFill="1" applyBorder="1"/>
    <xf numFmtId="2" fontId="0" fillId="3" borderId="1" xfId="0" applyNumberFormat="1" applyFill="1" applyBorder="1"/>
    <xf numFmtId="2" fontId="0" fillId="3" borderId="2" xfId="0" applyNumberFormat="1" applyFill="1" applyBorder="1"/>
    <xf numFmtId="2" fontId="3" fillId="3" borderId="10" xfId="0" applyNumberFormat="1" applyFont="1" applyFill="1" applyBorder="1"/>
    <xf numFmtId="2" fontId="3" fillId="3" borderId="0" xfId="0" applyNumberFormat="1" applyFont="1" applyFill="1" applyBorder="1"/>
    <xf numFmtId="164" fontId="1" fillId="3" borderId="0" xfId="0" applyNumberFormat="1" applyFont="1" applyFill="1"/>
    <xf numFmtId="1" fontId="1" fillId="3" borderId="3" xfId="0" applyNumberFormat="1" applyFont="1" applyFill="1" applyBorder="1"/>
    <xf numFmtId="167" fontId="1" fillId="3" borderId="2" xfId="0" applyNumberFormat="1" applyFont="1" applyFill="1" applyBorder="1"/>
    <xf numFmtId="2" fontId="1" fillId="3" borderId="2" xfId="0" applyNumberFormat="1" applyFont="1" applyFill="1" applyBorder="1"/>
    <xf numFmtId="0" fontId="10" fillId="3" borderId="5" xfId="0" applyFont="1" applyFill="1" applyBorder="1" applyAlignment="1">
      <alignment horizontal="center" vertical="center" wrapText="1"/>
    </xf>
    <xf numFmtId="2" fontId="0" fillId="3" borderId="5" xfId="0" applyNumberFormat="1" applyFill="1" applyBorder="1"/>
    <xf numFmtId="2" fontId="1" fillId="3" borderId="0" xfId="0" applyNumberFormat="1" applyFont="1" applyFill="1" applyBorder="1"/>
    <xf numFmtId="2" fontId="0" fillId="3" borderId="15" xfId="0" applyNumberForma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3" fillId="0" borderId="27" xfId="0" applyFont="1" applyBorder="1" applyAlignment="1">
      <alignment horizontal="left" wrapText="1"/>
    </xf>
    <xf numFmtId="1" fontId="0" fillId="0" borderId="21" xfId="0" applyNumberFormat="1" applyBorder="1" applyAlignment="1">
      <alignment horizontal="right"/>
    </xf>
    <xf numFmtId="1" fontId="0" fillId="0" borderId="22" xfId="0" applyNumberFormat="1" applyBorder="1" applyAlignment="1">
      <alignment horizontal="right"/>
    </xf>
    <xf numFmtId="1" fontId="0" fillId="0" borderId="28" xfId="0" applyNumberForma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T409"/>
  <sheetViews>
    <sheetView topLeftCell="A209" workbookViewId="0">
      <selection activeCell="A209" sqref="A209:XFD210"/>
    </sheetView>
  </sheetViews>
  <sheetFormatPr defaultRowHeight="15"/>
  <cols>
    <col min="1" max="1" width="16.85546875" style="101" customWidth="1"/>
    <col min="2" max="2" width="15.7109375" style="1" customWidth="1"/>
    <col min="3" max="3" width="10.42578125" style="1" customWidth="1"/>
    <col min="4" max="4" width="11.28515625" style="1" customWidth="1"/>
    <col min="5" max="5" width="13.85546875" style="121" customWidth="1"/>
    <col min="6" max="6" width="13.42578125" style="1" customWidth="1"/>
    <col min="7" max="7" width="12.5703125" customWidth="1"/>
    <col min="8" max="8" width="9.140625" style="101" customWidth="1"/>
    <col min="9" max="9" width="15" style="1" customWidth="1"/>
    <col min="10" max="10" width="12.7109375" style="1" customWidth="1"/>
    <col min="11" max="11" width="12.5703125" style="1" customWidth="1"/>
    <col min="12" max="12" width="7" style="1" customWidth="1"/>
    <col min="13" max="13" width="14.85546875" style="1" customWidth="1"/>
    <col min="14" max="19" width="9.140625" style="1"/>
  </cols>
  <sheetData>
    <row r="1" spans="1:20" ht="23.25" customHeight="1">
      <c r="A1" s="157" t="s">
        <v>18</v>
      </c>
      <c r="B1" s="157"/>
      <c r="C1" s="157"/>
      <c r="D1" s="157"/>
      <c r="E1" s="157"/>
      <c r="F1" s="157"/>
      <c r="G1" s="157"/>
      <c r="H1" s="157"/>
      <c r="I1" s="157"/>
    </row>
    <row r="2" spans="1:20" ht="15.75">
      <c r="A2" s="99" t="s">
        <v>123</v>
      </c>
    </row>
    <row r="3" spans="1:20" ht="15.75">
      <c r="A3" s="99" t="s">
        <v>124</v>
      </c>
    </row>
    <row r="4" spans="1:20" ht="15.75">
      <c r="A4" s="99"/>
    </row>
    <row r="5" spans="1:20" ht="18.75">
      <c r="A5" s="100" t="s">
        <v>75</v>
      </c>
      <c r="T5" s="1"/>
    </row>
    <row r="6" spans="1:20" ht="15.75" thickBot="1">
      <c r="G6" s="47" t="s">
        <v>57</v>
      </c>
    </row>
    <row r="7" spans="1:20" ht="105">
      <c r="A7" s="102" t="s">
        <v>2</v>
      </c>
      <c r="B7" s="21" t="s">
        <v>19</v>
      </c>
      <c r="C7" s="21" t="s">
        <v>14</v>
      </c>
      <c r="D7" s="21" t="s">
        <v>16</v>
      </c>
      <c r="E7" s="133" t="s">
        <v>27</v>
      </c>
      <c r="F7" s="21" t="s">
        <v>65</v>
      </c>
      <c r="G7" s="21" t="s">
        <v>29</v>
      </c>
      <c r="H7" s="133" t="s">
        <v>30</v>
      </c>
      <c r="I7" s="22" t="s">
        <v>11</v>
      </c>
      <c r="J7" s="2" t="s">
        <v>33</v>
      </c>
      <c r="K7" s="2" t="s">
        <v>34</v>
      </c>
      <c r="L7" s="2"/>
      <c r="M7" s="2" t="s">
        <v>79</v>
      </c>
    </row>
    <row r="8" spans="1:20" ht="15.75" thickBot="1">
      <c r="A8" s="103">
        <v>1</v>
      </c>
      <c r="B8" s="23">
        <v>2</v>
      </c>
      <c r="C8" s="23">
        <v>3</v>
      </c>
      <c r="D8" s="23">
        <v>4</v>
      </c>
      <c r="E8" s="137">
        <v>5</v>
      </c>
      <c r="F8" s="23" t="s">
        <v>53</v>
      </c>
      <c r="G8" s="23" t="s">
        <v>31</v>
      </c>
      <c r="H8" s="143">
        <v>8</v>
      </c>
      <c r="I8" s="24" t="s">
        <v>32</v>
      </c>
    </row>
    <row r="9" spans="1:20">
      <c r="A9" s="104" t="s">
        <v>64</v>
      </c>
      <c r="B9" s="11" t="s">
        <v>20</v>
      </c>
      <c r="C9" s="28" t="s">
        <v>24</v>
      </c>
      <c r="D9" s="150">
        <f>(39267-1400)*0.38</f>
        <v>14389.460000000001</v>
      </c>
      <c r="E9" s="138">
        <f>247*8*(A11/1973)</f>
        <v>173.2630511910796</v>
      </c>
      <c r="F9" s="45">
        <f>E9/A11</f>
        <v>1.001520527116067</v>
      </c>
      <c r="G9" s="32">
        <f>D9/E9*F9</f>
        <v>83.176069364161847</v>
      </c>
      <c r="H9" s="144">
        <v>8.1377500000000005</v>
      </c>
      <c r="I9" s="88">
        <f>H9*G9</f>
        <v>676.86605846820817</v>
      </c>
    </row>
    <row r="10" spans="1:20">
      <c r="A10" s="105" t="s">
        <v>66</v>
      </c>
      <c r="B10" s="5" t="s">
        <v>21</v>
      </c>
      <c r="C10" s="29" t="s">
        <v>25</v>
      </c>
      <c r="D10" s="139">
        <v>195.54291509999999</v>
      </c>
      <c r="E10" s="139">
        <f>247*8*(A11/1973)</f>
        <v>173.2630511910796</v>
      </c>
      <c r="F10" s="26">
        <f>E10/A11</f>
        <v>1.001520527116067</v>
      </c>
      <c r="G10" s="32">
        <f>D10/E10*F10</f>
        <v>1.1303058676300577</v>
      </c>
      <c r="H10" s="145">
        <v>1849.56</v>
      </c>
      <c r="I10" s="88">
        <f t="shared" ref="I10" si="0">H10*G10</f>
        <v>2090.5685205338496</v>
      </c>
    </row>
    <row r="11" spans="1:20">
      <c r="A11" s="106">
        <v>173</v>
      </c>
      <c r="B11" s="27" t="s">
        <v>22</v>
      </c>
      <c r="C11" s="30" t="s">
        <v>26</v>
      </c>
      <c r="D11" s="134">
        <f>(668.21-150)*0.38</f>
        <v>196.91980000000001</v>
      </c>
      <c r="E11" s="139">
        <f>247*8*(A11/1973)</f>
        <v>173.2630511910796</v>
      </c>
      <c r="F11" s="26">
        <f>E11/A11</f>
        <v>1.001520527116067</v>
      </c>
      <c r="G11" s="32">
        <f t="shared" ref="G11:G12" si="1">D11/E11*F11</f>
        <v>1.138264739884393</v>
      </c>
      <c r="H11" s="146">
        <v>54.38</v>
      </c>
      <c r="I11" s="88">
        <f>H11*G11</f>
        <v>61.898836554913295</v>
      </c>
    </row>
    <row r="12" spans="1:20">
      <c r="A12" s="107"/>
      <c r="B12" s="27" t="s">
        <v>23</v>
      </c>
      <c r="C12" s="30" t="s">
        <v>26</v>
      </c>
      <c r="D12" s="151">
        <f>(1273.21-150)*0.38</f>
        <v>426.81980000000004</v>
      </c>
      <c r="E12" s="139">
        <f>247*8*(A11/1973)</f>
        <v>173.2630511910796</v>
      </c>
      <c r="F12" s="26">
        <f>E12/A11</f>
        <v>1.001520527116067</v>
      </c>
      <c r="G12" s="32">
        <f t="shared" si="1"/>
        <v>2.4671664739884394</v>
      </c>
      <c r="H12" s="146">
        <v>65.260000000000005</v>
      </c>
      <c r="I12" s="88">
        <f>H12*G12</f>
        <v>161.00728409248558</v>
      </c>
    </row>
    <row r="13" spans="1:20" s="1" customFormat="1" ht="15.75" thickBot="1">
      <c r="A13" s="108"/>
      <c r="B13" s="18"/>
      <c r="C13" s="18"/>
      <c r="D13" s="18"/>
      <c r="E13" s="95"/>
      <c r="F13" s="18"/>
      <c r="G13" s="33"/>
      <c r="H13" s="147"/>
      <c r="I13" s="87">
        <f>SUM(I9:I12)</f>
        <v>2990.3406996494568</v>
      </c>
      <c r="J13" s="130">
        <f>I13*A11</f>
        <v>517328.94103935605</v>
      </c>
      <c r="K13" s="130">
        <f>(1520200-158808.05)*0.38</f>
        <v>517328.94099999999</v>
      </c>
      <c r="L13" s="130">
        <f>K13-J13</f>
        <v>-3.9356062188744545E-5</v>
      </c>
      <c r="M13" s="121">
        <f>L13/H10</f>
        <v>-2.1278607987166973E-8</v>
      </c>
    </row>
    <row r="14" spans="1:20">
      <c r="A14" s="104" t="s">
        <v>67</v>
      </c>
      <c r="B14" s="11" t="s">
        <v>20</v>
      </c>
      <c r="C14" s="28" t="s">
        <v>24</v>
      </c>
      <c r="D14" s="150">
        <f>(126573-1400)*0.45</f>
        <v>56327.85</v>
      </c>
      <c r="E14" s="138">
        <f>247*8*(A16/1973)</f>
        <v>306.46528129751647</v>
      </c>
      <c r="F14" s="45">
        <f>E14/A16</f>
        <v>1.001520527116067</v>
      </c>
      <c r="G14" s="32">
        <f>D14/E14*F14</f>
        <v>184.0779411764706</v>
      </c>
      <c r="H14" s="144">
        <v>8.1377500000000005</v>
      </c>
      <c r="I14" s="88">
        <f>H14*G14</f>
        <v>1497.9802658088238</v>
      </c>
    </row>
    <row r="15" spans="1:20">
      <c r="A15" s="105" t="s">
        <v>66</v>
      </c>
      <c r="B15" s="5" t="s">
        <v>21</v>
      </c>
      <c r="C15" s="29" t="s">
        <v>25</v>
      </c>
      <c r="D15" s="139">
        <v>339.81490889999998</v>
      </c>
      <c r="E15" s="139">
        <f>247*8*(A16/1973)</f>
        <v>306.46528129751647</v>
      </c>
      <c r="F15" s="26">
        <f>E15/A16</f>
        <v>1.001520527116067</v>
      </c>
      <c r="G15" s="32">
        <f>D15/E15*F15</f>
        <v>1.1105062382352942</v>
      </c>
      <c r="H15" s="145">
        <v>1849.56</v>
      </c>
      <c r="I15" s="88">
        <f t="shared" ref="I15:I17" si="2">H15*G15</f>
        <v>2053.9479179904706</v>
      </c>
    </row>
    <row r="16" spans="1:20">
      <c r="A16" s="106">
        <v>306</v>
      </c>
      <c r="B16" s="27" t="s">
        <v>22</v>
      </c>
      <c r="C16" s="30" t="s">
        <v>26</v>
      </c>
      <c r="D16" s="134">
        <f>(2068.93-150)*0.45</f>
        <v>863.5184999999999</v>
      </c>
      <c r="E16" s="139">
        <f>247*8*(A16/1973)</f>
        <v>306.46528129751647</v>
      </c>
      <c r="F16" s="26">
        <f>E16/A16</f>
        <v>1.001520527116067</v>
      </c>
      <c r="G16" s="32">
        <f t="shared" ref="G16:G17" si="3">D16/E16*F16</f>
        <v>2.8219558823529414</v>
      </c>
      <c r="H16" s="146">
        <v>54.38</v>
      </c>
      <c r="I16" s="88">
        <f t="shared" si="2"/>
        <v>153.45796088235295</v>
      </c>
    </row>
    <row r="17" spans="1:13">
      <c r="A17" s="107"/>
      <c r="B17" s="27" t="s">
        <v>23</v>
      </c>
      <c r="C17" s="30" t="s">
        <v>26</v>
      </c>
      <c r="D17" s="134">
        <f>(2068.93-150)*0.45</f>
        <v>863.5184999999999</v>
      </c>
      <c r="E17" s="139">
        <f>247*8*(A16/1973)</f>
        <v>306.46528129751647</v>
      </c>
      <c r="F17" s="26">
        <f>E17/A16</f>
        <v>1.001520527116067</v>
      </c>
      <c r="G17" s="32">
        <f t="shared" si="3"/>
        <v>2.8219558823529414</v>
      </c>
      <c r="H17" s="146">
        <v>65.260000000000005</v>
      </c>
      <c r="I17" s="88">
        <f t="shared" si="2"/>
        <v>184.16084088235297</v>
      </c>
    </row>
    <row r="18" spans="1:13" s="1" customFormat="1" ht="15.75" thickBot="1">
      <c r="A18" s="108"/>
      <c r="B18" s="18"/>
      <c r="C18" s="18"/>
      <c r="D18" s="18"/>
      <c r="E18" s="95"/>
      <c r="F18" s="18"/>
      <c r="G18" s="33"/>
      <c r="H18" s="147"/>
      <c r="I18" s="87">
        <f>SUM(I14:I17)</f>
        <v>3889.5469855640004</v>
      </c>
      <c r="J18" s="130">
        <f>I18*A16</f>
        <v>1190201.377582584</v>
      </c>
      <c r="K18" s="130">
        <f>(2803700-158808.05)*0.45</f>
        <v>1190201.3775000002</v>
      </c>
      <c r="L18" s="130">
        <f>K18-J18</f>
        <v>-8.2583865150809288E-5</v>
      </c>
      <c r="M18" s="121">
        <f>L18/H15</f>
        <v>-4.4650546698030496E-8</v>
      </c>
    </row>
    <row r="19" spans="1:13">
      <c r="A19" s="104" t="s">
        <v>68</v>
      </c>
      <c r="B19" s="11" t="s">
        <v>20</v>
      </c>
      <c r="C19" s="28" t="s">
        <v>24</v>
      </c>
      <c r="D19" s="150">
        <f>(565852-1400)*0.49</f>
        <v>276581.48</v>
      </c>
      <c r="E19" s="138">
        <f>247*8*(A21/1973)</f>
        <v>293.44551444500757</v>
      </c>
      <c r="F19" s="45">
        <f>E19/A21</f>
        <v>1.0015205271160668</v>
      </c>
      <c r="G19" s="32">
        <f>D19/E19*F19</f>
        <v>943.96409556313984</v>
      </c>
      <c r="H19" s="144">
        <v>8.1377500000000005</v>
      </c>
      <c r="I19" s="88">
        <f>H19*G19</f>
        <v>7681.7438186689415</v>
      </c>
    </row>
    <row r="20" spans="1:13">
      <c r="A20" s="105" t="s">
        <v>66</v>
      </c>
      <c r="B20" s="5" t="s">
        <v>21</v>
      </c>
      <c r="C20" s="29" t="s">
        <v>25</v>
      </c>
      <c r="D20" s="139">
        <v>50.351218789999997</v>
      </c>
      <c r="E20" s="139">
        <f>247*8*(A21/1973)</f>
        <v>293.44551444500757</v>
      </c>
      <c r="F20" s="26">
        <f>E20/A21</f>
        <v>1.0015205271160668</v>
      </c>
      <c r="G20" s="32">
        <f>D20/E20*F20</f>
        <v>0.17184716310580203</v>
      </c>
      <c r="H20" s="145">
        <v>1849.56</v>
      </c>
      <c r="I20" s="88">
        <f t="shared" ref="I20:I22" si="4">H20*G20</f>
        <v>317.84163899396719</v>
      </c>
    </row>
    <row r="21" spans="1:13">
      <c r="A21" s="106">
        <v>293</v>
      </c>
      <c r="B21" s="27" t="s">
        <v>22</v>
      </c>
      <c r="C21" s="30" t="s">
        <v>26</v>
      </c>
      <c r="D21" s="134">
        <f>(1299-150)*0.49</f>
        <v>563.01</v>
      </c>
      <c r="E21" s="139">
        <f>247*8*(A21/1973)</f>
        <v>293.44551444500757</v>
      </c>
      <c r="F21" s="26">
        <f>E21/A21</f>
        <v>1.0015205271160668</v>
      </c>
      <c r="G21" s="32">
        <f t="shared" ref="G21:G22" si="5">D21/E21*F21</f>
        <v>1.9215358361774744</v>
      </c>
      <c r="H21" s="146">
        <v>54.38</v>
      </c>
      <c r="I21" s="88">
        <f t="shared" si="4"/>
        <v>104.49311877133105</v>
      </c>
    </row>
    <row r="22" spans="1:13">
      <c r="A22" s="107"/>
      <c r="B22" s="27" t="s">
        <v>23</v>
      </c>
      <c r="C22" s="30" t="s">
        <v>26</v>
      </c>
      <c r="D22" s="134">
        <f>(1299-150)*0.49</f>
        <v>563.01</v>
      </c>
      <c r="E22" s="139">
        <f>247*8*(A21/1973)</f>
        <v>293.44551444500757</v>
      </c>
      <c r="F22" s="26">
        <f>E22/A21</f>
        <v>1.0015205271160668</v>
      </c>
      <c r="G22" s="32">
        <f t="shared" si="5"/>
        <v>1.9215358361774744</v>
      </c>
      <c r="H22" s="146">
        <v>65.260000000000005</v>
      </c>
      <c r="I22" s="88">
        <f t="shared" si="4"/>
        <v>125.39942866894199</v>
      </c>
    </row>
    <row r="23" spans="1:13" s="1" customFormat="1" ht="15.75" thickBot="1">
      <c r="A23" s="108"/>
      <c r="B23" s="18"/>
      <c r="C23" s="18"/>
      <c r="D23" s="18"/>
      <c r="E23" s="95"/>
      <c r="F23" s="18"/>
      <c r="G23" s="33"/>
      <c r="H23" s="147"/>
      <c r="I23" s="87">
        <f>SUM(I19:I22)</f>
        <v>8229.4780051031812</v>
      </c>
      <c r="J23" s="130">
        <f>I23*A21</f>
        <v>2411237.0554952319</v>
      </c>
      <c r="K23" s="130">
        <f>(5079700-158808.05)*0.49</f>
        <v>2411237.0555000002</v>
      </c>
      <c r="L23" s="130">
        <f>K23-J23</f>
        <v>4.76837158203125E-6</v>
      </c>
      <c r="M23" s="121">
        <f>L23/H20</f>
        <v>2.5781113248725372E-9</v>
      </c>
    </row>
    <row r="24" spans="1:13">
      <c r="A24" s="104" t="s">
        <v>69</v>
      </c>
      <c r="B24" s="11" t="s">
        <v>20</v>
      </c>
      <c r="C24" s="28" t="s">
        <v>24</v>
      </c>
      <c r="D24" s="150">
        <f>(67431-1400)*0.45</f>
        <v>29713.95</v>
      </c>
      <c r="E24" s="138">
        <f>247*8*(A26/1973)</f>
        <v>430.65382665990876</v>
      </c>
      <c r="F24" s="45">
        <f>E24/A26</f>
        <v>1.001520527116067</v>
      </c>
      <c r="G24" s="32">
        <f>D24/E24*F24</f>
        <v>69.102209302325576</v>
      </c>
      <c r="H24" s="144">
        <v>8.1377500000000005</v>
      </c>
      <c r="I24" s="88">
        <f>H24*G24</f>
        <v>562.33650375000002</v>
      </c>
    </row>
    <row r="25" spans="1:13">
      <c r="A25" s="105" t="s">
        <v>66</v>
      </c>
      <c r="B25" s="5" t="s">
        <v>21</v>
      </c>
      <c r="C25" s="29" t="s">
        <v>25</v>
      </c>
      <c r="D25" s="139">
        <v>358.84172940000002</v>
      </c>
      <c r="E25" s="139">
        <f>247*8*(A26/1973)</f>
        <v>430.65382665990876</v>
      </c>
      <c r="F25" s="26">
        <f>E25/A26</f>
        <v>1.001520527116067</v>
      </c>
      <c r="G25" s="32">
        <f>D25/E25*F25</f>
        <v>0.83451564976744197</v>
      </c>
      <c r="H25" s="145">
        <v>1849.56</v>
      </c>
      <c r="I25" s="88">
        <f t="shared" ref="I25:I27" si="6">H25*G25</f>
        <v>1543.4867651838699</v>
      </c>
    </row>
    <row r="26" spans="1:13">
      <c r="A26" s="106">
        <v>430</v>
      </c>
      <c r="B26" s="27" t="s">
        <v>22</v>
      </c>
      <c r="C26" s="30" t="s">
        <v>26</v>
      </c>
      <c r="D26" s="152">
        <f>(1348.26-150)*0.45</f>
        <v>539.21699999999998</v>
      </c>
      <c r="E26" s="139">
        <f>247*8*(A26/1973)</f>
        <v>430.65382665990876</v>
      </c>
      <c r="F26" s="26">
        <f>E26/A26</f>
        <v>1.001520527116067</v>
      </c>
      <c r="G26" s="32">
        <f t="shared" ref="G26:G27" si="7">D26/E26*F26</f>
        <v>1.2539930232558139</v>
      </c>
      <c r="H26" s="146">
        <v>54.38</v>
      </c>
      <c r="I26" s="88">
        <f t="shared" si="6"/>
        <v>68.192140604651158</v>
      </c>
    </row>
    <row r="27" spans="1:13">
      <c r="A27" s="107"/>
      <c r="B27" s="27" t="s">
        <v>23</v>
      </c>
      <c r="C27" s="30" t="s">
        <v>26</v>
      </c>
      <c r="D27" s="152">
        <f>(1348.26-150)*0.45</f>
        <v>539.21699999999998</v>
      </c>
      <c r="E27" s="139">
        <f>247*8*(A26/1973)</f>
        <v>430.65382665990876</v>
      </c>
      <c r="F27" s="26">
        <f>E27/A26</f>
        <v>1.001520527116067</v>
      </c>
      <c r="G27" s="32">
        <f t="shared" si="7"/>
        <v>1.2539930232558139</v>
      </c>
      <c r="H27" s="146">
        <v>65.260000000000005</v>
      </c>
      <c r="I27" s="88">
        <f t="shared" si="6"/>
        <v>81.83558469767442</v>
      </c>
    </row>
    <row r="28" spans="1:13" s="1" customFormat="1" ht="15.75" thickBot="1">
      <c r="A28" s="108"/>
      <c r="B28" s="18"/>
      <c r="C28" s="18"/>
      <c r="D28" s="18"/>
      <c r="E28" s="95"/>
      <c r="F28" s="18"/>
      <c r="G28" s="33"/>
      <c r="H28" s="147"/>
      <c r="I28" s="87">
        <f>SUM(I24:I27)</f>
        <v>2255.8509942361957</v>
      </c>
      <c r="J28" s="130">
        <f>I28*A26</f>
        <v>970015.92752156418</v>
      </c>
      <c r="K28" s="130">
        <f>(2314399-158808.05)*0.45</f>
        <v>970015.92750000011</v>
      </c>
      <c r="L28" s="130">
        <f>K28-J28</f>
        <v>-2.1564075723290443E-5</v>
      </c>
      <c r="M28" s="121">
        <f>L28/H25</f>
        <v>-1.1659030106236318E-8</v>
      </c>
    </row>
    <row r="29" spans="1:13">
      <c r="A29" s="104" t="s">
        <v>70</v>
      </c>
      <c r="B29" s="11" t="s">
        <v>20</v>
      </c>
      <c r="C29" s="28" t="s">
        <v>24</v>
      </c>
      <c r="D29" s="150">
        <f>(126401-1400)*0.42</f>
        <v>52500.42</v>
      </c>
      <c r="E29" s="138">
        <f>247*8*(A31/1973)</f>
        <v>407.61885453623927</v>
      </c>
      <c r="F29" s="45">
        <f>E29/A31</f>
        <v>1.001520527116067</v>
      </c>
      <c r="G29" s="32">
        <f>D29/E29*F29</f>
        <v>128.99366093366092</v>
      </c>
      <c r="H29" s="144">
        <v>8.1377500000000005</v>
      </c>
      <c r="I29" s="88">
        <f>H29*G29</f>
        <v>1049.7181642628991</v>
      </c>
    </row>
    <row r="30" spans="1:13">
      <c r="A30" s="105" t="s">
        <v>66</v>
      </c>
      <c r="B30" s="5" t="s">
        <v>21</v>
      </c>
      <c r="C30" s="29" t="s">
        <v>25</v>
      </c>
      <c r="D30" s="139">
        <v>294.10774140000001</v>
      </c>
      <c r="E30" s="139">
        <f>247*8*(A31/1973)</f>
        <v>407.61885453623927</v>
      </c>
      <c r="F30" s="26">
        <f>E30/A31</f>
        <v>1.001520527116067</v>
      </c>
      <c r="G30" s="32">
        <f>D30/E30*F30</f>
        <v>0.72262344324324324</v>
      </c>
      <c r="H30" s="145">
        <v>1849.56</v>
      </c>
      <c r="I30" s="88">
        <f t="shared" ref="I30:I32" si="8">H30*G30</f>
        <v>1336.535415684973</v>
      </c>
    </row>
    <row r="31" spans="1:13">
      <c r="A31" s="106">
        <v>407</v>
      </c>
      <c r="B31" s="27" t="s">
        <v>22</v>
      </c>
      <c r="C31" s="30" t="s">
        <v>26</v>
      </c>
      <c r="D31" s="152">
        <f>(2090-150)*0.42</f>
        <v>814.8</v>
      </c>
      <c r="E31" s="139">
        <f>247*8*(A31/1973)</f>
        <v>407.61885453623927</v>
      </c>
      <c r="F31" s="26">
        <f>E31/A31</f>
        <v>1.001520527116067</v>
      </c>
      <c r="G31" s="32">
        <f t="shared" ref="G31:G32" si="9">D31/E31*F31</f>
        <v>2.0019656019656016</v>
      </c>
      <c r="H31" s="146">
        <v>54.38</v>
      </c>
      <c r="I31" s="88">
        <f t="shared" si="8"/>
        <v>108.86688943488942</v>
      </c>
    </row>
    <row r="32" spans="1:13">
      <c r="A32" s="107"/>
      <c r="B32" s="27" t="s">
        <v>23</v>
      </c>
      <c r="C32" s="30" t="s">
        <v>26</v>
      </c>
      <c r="D32" s="152">
        <f>(2090-150)*0.42</f>
        <v>814.8</v>
      </c>
      <c r="E32" s="139">
        <f>247*8*(A31/1973)</f>
        <v>407.61885453623927</v>
      </c>
      <c r="F32" s="26">
        <f>E32/A31</f>
        <v>1.001520527116067</v>
      </c>
      <c r="G32" s="32">
        <f t="shared" si="9"/>
        <v>2.0019656019656016</v>
      </c>
      <c r="H32" s="146">
        <v>65.260000000000005</v>
      </c>
      <c r="I32" s="88">
        <f t="shared" si="8"/>
        <v>130.64827518427518</v>
      </c>
    </row>
    <row r="33" spans="1:13" s="1" customFormat="1" ht="15.75" thickBot="1">
      <c r="A33" s="108"/>
      <c r="B33" s="18"/>
      <c r="C33" s="18"/>
      <c r="D33" s="18"/>
      <c r="E33" s="95"/>
      <c r="F33" s="18"/>
      <c r="G33" s="33"/>
      <c r="H33" s="147"/>
      <c r="I33" s="87">
        <f>SUM(I29:I32)</f>
        <v>2625.7687445670363</v>
      </c>
      <c r="J33" s="130">
        <f>I33*A31</f>
        <v>1068687.8790387837</v>
      </c>
      <c r="K33" s="130">
        <f>(2703303-158808.05)*0.42</f>
        <v>1068687.879</v>
      </c>
      <c r="L33" s="130">
        <f>K33-J33</f>
        <v>-3.8783764466643333E-5</v>
      </c>
      <c r="M33" s="121">
        <f>L33/H30</f>
        <v>-2.0969184274445454E-8</v>
      </c>
    </row>
    <row r="34" spans="1:13">
      <c r="A34" s="104" t="s">
        <v>71</v>
      </c>
      <c r="B34" s="11" t="s">
        <v>20</v>
      </c>
      <c r="C34" s="28" t="s">
        <v>24</v>
      </c>
      <c r="D34" s="150">
        <f>(64860-1400)*0.41</f>
        <v>26018.6</v>
      </c>
      <c r="E34" s="138">
        <f>247*8*(A36/1973)</f>
        <v>238.36188545362393</v>
      </c>
      <c r="F34" s="45">
        <f>E34/A36</f>
        <v>1.001520527116067</v>
      </c>
      <c r="G34" s="32">
        <f>D34/E34*F34</f>
        <v>109.32184873949581</v>
      </c>
      <c r="H34" s="144">
        <v>8.1377500000000005</v>
      </c>
      <c r="I34" s="88">
        <f>H34*G34</f>
        <v>889.63387457983208</v>
      </c>
    </row>
    <row r="35" spans="1:13">
      <c r="A35" s="105" t="s">
        <v>66</v>
      </c>
      <c r="B35" s="5" t="s">
        <v>21</v>
      </c>
      <c r="C35" s="29" t="s">
        <v>25</v>
      </c>
      <c r="D35" s="139">
        <v>201.3584525</v>
      </c>
      <c r="E35" s="139">
        <f>247*8*(A36/1973)</f>
        <v>238.36188545362393</v>
      </c>
      <c r="F35" s="26">
        <f>E35/A36</f>
        <v>1.001520527116067</v>
      </c>
      <c r="G35" s="32">
        <f>D35/E35*F35</f>
        <v>0.8460439180672269</v>
      </c>
      <c r="H35" s="145">
        <v>1849.56</v>
      </c>
      <c r="I35" s="88">
        <f t="shared" ref="I35:I37" si="10">H35*G35</f>
        <v>1564.8089891004201</v>
      </c>
    </row>
    <row r="36" spans="1:13">
      <c r="A36" s="106">
        <v>238</v>
      </c>
      <c r="B36" s="27" t="s">
        <v>22</v>
      </c>
      <c r="C36" s="30" t="s">
        <v>26</v>
      </c>
      <c r="D36" s="134">
        <f>(1495-150)*0.41</f>
        <v>551.44999999999993</v>
      </c>
      <c r="E36" s="139">
        <f>247*8*(A36/1973)</f>
        <v>238.36188545362393</v>
      </c>
      <c r="F36" s="26">
        <f>E36/A36</f>
        <v>1.001520527116067</v>
      </c>
      <c r="G36" s="32">
        <f t="shared" ref="G36:G37" si="11">D36/E36*F36</f>
        <v>2.3170168067226888</v>
      </c>
      <c r="H36" s="146">
        <v>54.38</v>
      </c>
      <c r="I36" s="88">
        <f t="shared" si="10"/>
        <v>125.99937394957982</v>
      </c>
    </row>
    <row r="37" spans="1:13">
      <c r="A37" s="107"/>
      <c r="B37" s="27" t="s">
        <v>23</v>
      </c>
      <c r="C37" s="30" t="s">
        <v>26</v>
      </c>
      <c r="D37" s="134">
        <f>(1495-150)*0.41</f>
        <v>551.44999999999993</v>
      </c>
      <c r="E37" s="139">
        <f>247*8*(A36/1973)</f>
        <v>238.36188545362393</v>
      </c>
      <c r="F37" s="26">
        <f>E37/A36</f>
        <v>1.001520527116067</v>
      </c>
      <c r="G37" s="32">
        <f t="shared" si="11"/>
        <v>2.3170168067226888</v>
      </c>
      <c r="H37" s="146">
        <v>65.260000000000005</v>
      </c>
      <c r="I37" s="88">
        <f t="shared" si="10"/>
        <v>151.20851680672268</v>
      </c>
    </row>
    <row r="38" spans="1:13" s="1" customFormat="1" ht="15.75" thickBot="1">
      <c r="A38" s="108"/>
      <c r="B38" s="18"/>
      <c r="C38" s="18"/>
      <c r="D38" s="18"/>
      <c r="E38" s="95"/>
      <c r="F38" s="18"/>
      <c r="G38" s="33"/>
      <c r="H38" s="147"/>
      <c r="I38" s="87">
        <f>SUM(I34:I37)</f>
        <v>2731.650754436555</v>
      </c>
      <c r="J38" s="130">
        <f>I38*A36</f>
        <v>650132.87955590012</v>
      </c>
      <c r="K38" s="130">
        <f>(1744498-158808.05)*0.41</f>
        <v>650132.87949999992</v>
      </c>
      <c r="L38" s="130">
        <f>K38-J38</f>
        <v>-5.5900192819535732E-5</v>
      </c>
      <c r="M38" s="121">
        <f>L38/H35</f>
        <v>-3.0223508736962162E-8</v>
      </c>
    </row>
    <row r="39" spans="1:13">
      <c r="A39" s="104" t="s">
        <v>94</v>
      </c>
      <c r="B39" s="13" t="s">
        <v>20</v>
      </c>
      <c r="C39" s="44" t="s">
        <v>24</v>
      </c>
      <c r="D39" s="150">
        <f>(92941-1400)*0.4</f>
        <v>36616.400000000001</v>
      </c>
      <c r="E39" s="138">
        <f>247*8*(A41/1973)</f>
        <v>397.60364926507856</v>
      </c>
      <c r="F39" s="45">
        <f>E39/A41</f>
        <v>1.001520527116067</v>
      </c>
      <c r="G39" s="32">
        <f>D39/E39*F39</f>
        <v>92.232745591939562</v>
      </c>
      <c r="H39" s="144">
        <v>8.1377500000000005</v>
      </c>
      <c r="I39" s="88">
        <f>H39*G39</f>
        <v>750.56702544080622</v>
      </c>
    </row>
    <row r="40" spans="1:13">
      <c r="A40" s="105" t="s">
        <v>66</v>
      </c>
      <c r="B40" s="5" t="s">
        <v>21</v>
      </c>
      <c r="C40" s="29" t="s">
        <v>25</v>
      </c>
      <c r="D40" s="139">
        <v>393.07923299999999</v>
      </c>
      <c r="E40" s="139">
        <f>247*8*(A41/1973)</f>
        <v>397.60364926507856</v>
      </c>
      <c r="F40" s="26">
        <f>E40/A41</f>
        <v>1.001520527116067</v>
      </c>
      <c r="G40" s="32">
        <f>D40/E40*F40</f>
        <v>0.99012401259445848</v>
      </c>
      <c r="H40" s="145">
        <v>1849.56</v>
      </c>
      <c r="I40" s="88">
        <f t="shared" ref="I40:I42" si="12">H40*G40</f>
        <v>1831.2937687342067</v>
      </c>
    </row>
    <row r="41" spans="1:13">
      <c r="A41" s="106">
        <v>397</v>
      </c>
      <c r="B41" s="27" t="s">
        <v>22</v>
      </c>
      <c r="C41" s="30" t="s">
        <v>26</v>
      </c>
      <c r="D41" s="134">
        <f>(1454.69-150)*0.4</f>
        <v>521.87600000000009</v>
      </c>
      <c r="E41" s="139">
        <f>247*8*(A41/1973)</f>
        <v>397.60364926507856</v>
      </c>
      <c r="F41" s="26">
        <f>E41/A41</f>
        <v>1.001520527116067</v>
      </c>
      <c r="G41" s="32">
        <f t="shared" ref="G41:G42" si="13">D41/E41*F41</f>
        <v>1.3145491183879097</v>
      </c>
      <c r="H41" s="146">
        <v>54.38</v>
      </c>
      <c r="I41" s="88">
        <f t="shared" si="12"/>
        <v>71.485181057934525</v>
      </c>
    </row>
    <row r="42" spans="1:13">
      <c r="A42" s="107"/>
      <c r="B42" s="27" t="s">
        <v>23</v>
      </c>
      <c r="C42" s="30" t="s">
        <v>26</v>
      </c>
      <c r="D42" s="134">
        <f>(1454.69-150)*0.4</f>
        <v>521.87600000000009</v>
      </c>
      <c r="E42" s="139">
        <f>247*8*(A41/1973)</f>
        <v>397.60364926507856</v>
      </c>
      <c r="F42" s="26">
        <f>E42/A41</f>
        <v>1.001520527116067</v>
      </c>
      <c r="G42" s="32">
        <f t="shared" si="13"/>
        <v>1.3145491183879097</v>
      </c>
      <c r="H42" s="146">
        <v>65.260000000000005</v>
      </c>
      <c r="I42" s="88">
        <f t="shared" si="12"/>
        <v>85.787475465994987</v>
      </c>
    </row>
    <row r="43" spans="1:13" s="1" customFormat="1" ht="15.75" thickBot="1">
      <c r="A43" s="108"/>
      <c r="B43" s="18"/>
      <c r="C43" s="18"/>
      <c r="D43" s="18"/>
      <c r="E43" s="95"/>
      <c r="F43" s="18"/>
      <c r="G43" s="33"/>
      <c r="H43" s="147"/>
      <c r="I43" s="87">
        <f>SUM(I39:I42)</f>
        <v>2739.1334506989424</v>
      </c>
      <c r="J43" s="130">
        <f>I43*A41</f>
        <v>1087435.9799274802</v>
      </c>
      <c r="K43" s="130">
        <f>(2877398-158808.05)*0.4</f>
        <v>1087435.9800000002</v>
      </c>
      <c r="L43" s="130">
        <f>K43-J43</f>
        <v>7.2519993409514427E-5</v>
      </c>
      <c r="M43" s="121">
        <f>L43/H40</f>
        <v>3.9209321897918654E-8</v>
      </c>
    </row>
    <row r="44" spans="1:13" s="1" customFormat="1" ht="15.75" thickBot="1">
      <c r="A44" s="109"/>
      <c r="B44" s="40"/>
      <c r="C44" s="41"/>
      <c r="D44" s="40"/>
      <c r="E44" s="140"/>
      <c r="F44" s="40"/>
      <c r="G44" s="39"/>
      <c r="H44" s="148"/>
      <c r="I44" s="89"/>
    </row>
    <row r="45" spans="1:13">
      <c r="A45" s="104" t="s">
        <v>73</v>
      </c>
      <c r="B45" s="13" t="s">
        <v>20</v>
      </c>
      <c r="C45" s="44" t="s">
        <v>24</v>
      </c>
      <c r="D45" s="150">
        <f>(39128-1400)*0.46</f>
        <v>17354.88</v>
      </c>
      <c r="E45" s="138">
        <f>247*8*(A47/1973)</f>
        <v>134.20375063355294</v>
      </c>
      <c r="F45" s="45">
        <f>E45/A47</f>
        <v>1.0015205271160668</v>
      </c>
      <c r="G45" s="32">
        <f>D45/E45*F45</f>
        <v>129.51402985074628</v>
      </c>
      <c r="H45" s="144">
        <v>8.1377500000000005</v>
      </c>
      <c r="I45" s="88">
        <f>H45*G45</f>
        <v>1053.9527964179106</v>
      </c>
    </row>
    <row r="46" spans="1:13">
      <c r="A46" s="105" t="s">
        <v>66</v>
      </c>
      <c r="B46" s="5" t="s">
        <v>21</v>
      </c>
      <c r="C46" s="29" t="s">
        <v>25</v>
      </c>
      <c r="D46" s="139">
        <v>356.69668660000002</v>
      </c>
      <c r="E46" s="139">
        <f>247*8*(A47/1973)</f>
        <v>134.20375063355294</v>
      </c>
      <c r="F46" s="26">
        <f>E46/A47</f>
        <v>1.0015205271160668</v>
      </c>
      <c r="G46" s="32">
        <f>D46/E46*F46</f>
        <v>2.6619155716417913</v>
      </c>
      <c r="H46" s="145">
        <v>1849.56</v>
      </c>
      <c r="I46" s="88">
        <f t="shared" ref="I46:I48" si="14">H46*G46</f>
        <v>4923.3725646857911</v>
      </c>
    </row>
    <row r="47" spans="1:13">
      <c r="A47" s="106">
        <v>134</v>
      </c>
      <c r="B47" s="27" t="s">
        <v>22</v>
      </c>
      <c r="C47" s="30" t="s">
        <v>26</v>
      </c>
      <c r="D47" s="134">
        <f>(500.71-150)*0.46</f>
        <v>161.32659999999998</v>
      </c>
      <c r="E47" s="139">
        <f>247*8*(A47/1973)</f>
        <v>134.20375063355294</v>
      </c>
      <c r="F47" s="26">
        <f>E47/A47</f>
        <v>1.0015205271160668</v>
      </c>
      <c r="G47" s="32">
        <f t="shared" ref="G47:G48" si="15">D47/E47*F47</f>
        <v>1.2039298507462686</v>
      </c>
      <c r="H47" s="146">
        <v>54.38</v>
      </c>
      <c r="I47" s="88">
        <f t="shared" si="14"/>
        <v>65.469705283582087</v>
      </c>
    </row>
    <row r="48" spans="1:13">
      <c r="A48" s="107"/>
      <c r="B48" s="27" t="s">
        <v>23</v>
      </c>
      <c r="C48" s="30" t="s">
        <v>26</v>
      </c>
      <c r="D48" s="134">
        <f>(549.9-150)*0.46</f>
        <v>183.95400000000001</v>
      </c>
      <c r="E48" s="139">
        <f>247*8*(A47/1973)</f>
        <v>134.20375063355294</v>
      </c>
      <c r="F48" s="26">
        <f>E48/A47</f>
        <v>1.0015205271160668</v>
      </c>
      <c r="G48" s="32">
        <f t="shared" si="15"/>
        <v>1.3727910447761196</v>
      </c>
      <c r="H48" s="146">
        <v>65.260000000000005</v>
      </c>
      <c r="I48" s="88">
        <f t="shared" si="14"/>
        <v>89.588343582089564</v>
      </c>
    </row>
    <row r="49" spans="1:20" s="1" customFormat="1" ht="15.75" thickBot="1">
      <c r="A49" s="108"/>
      <c r="B49" s="18"/>
      <c r="C49" s="18"/>
      <c r="D49" s="18"/>
      <c r="E49" s="95"/>
      <c r="F49" s="18"/>
      <c r="G49" s="33"/>
      <c r="H49" s="147"/>
      <c r="I49" s="87">
        <f>SUM(I45:I48)</f>
        <v>6132.3834099693731</v>
      </c>
      <c r="J49" s="130">
        <f>I49*A47</f>
        <v>821739.376935896</v>
      </c>
      <c r="K49" s="130">
        <f>(1945198-158808.05)*0.46</f>
        <v>821739.37699999998</v>
      </c>
      <c r="L49" s="130">
        <f>K49-J49</f>
        <v>6.4103980548679829E-5</v>
      </c>
      <c r="M49" s="121">
        <f>L49/H46</f>
        <v>3.4659043528558052E-8</v>
      </c>
    </row>
    <row r="50" spans="1:20">
      <c r="A50" s="104" t="s">
        <v>74</v>
      </c>
      <c r="B50" s="13" t="s">
        <v>20</v>
      </c>
      <c r="C50" s="44" t="s">
        <v>24</v>
      </c>
      <c r="D50" s="150">
        <f>(32294-1300)*0.49</f>
        <v>15187.06</v>
      </c>
      <c r="E50" s="138">
        <f>247*8*(A52/1973)</f>
        <v>125.19006588950838</v>
      </c>
      <c r="F50" s="45">
        <f>E50/A52</f>
        <v>1.001520527116067</v>
      </c>
      <c r="G50" s="32">
        <f>D50/E50*F50</f>
        <v>121.49647999999999</v>
      </c>
      <c r="H50" s="144">
        <v>8.1377500000000005</v>
      </c>
      <c r="I50" s="88">
        <f>H50*G50</f>
        <v>988.70798012</v>
      </c>
    </row>
    <row r="51" spans="1:20">
      <c r="A51" s="105" t="s">
        <v>66</v>
      </c>
      <c r="B51" s="5" t="s">
        <v>21</v>
      </c>
      <c r="C51" s="29" t="s">
        <v>25</v>
      </c>
      <c r="D51" s="139">
        <v>213.87398469999999</v>
      </c>
      <c r="E51" s="139">
        <f>247*8*(A52/1973)</f>
        <v>125.19006588950838</v>
      </c>
      <c r="F51" s="26">
        <f>E51/A52</f>
        <v>1.001520527116067</v>
      </c>
      <c r="G51" s="32">
        <f>D51/E51*F51</f>
        <v>1.7109918775999999</v>
      </c>
      <c r="H51" s="145">
        <v>1849.56</v>
      </c>
      <c r="I51" s="88">
        <f t="shared" ref="I51:I53" si="16">H51*G51</f>
        <v>3164.5821371338557</v>
      </c>
    </row>
    <row r="52" spans="1:20">
      <c r="A52" s="106">
        <v>125</v>
      </c>
      <c r="B52" s="27" t="s">
        <v>22</v>
      </c>
      <c r="C52" s="30" t="s">
        <v>26</v>
      </c>
      <c r="D52" s="134">
        <f>(601--120)*0.49</f>
        <v>353.29</v>
      </c>
      <c r="E52" s="139">
        <f>247*8*(A52/1973)</f>
        <v>125.19006588950838</v>
      </c>
      <c r="F52" s="26">
        <f>E52/A52</f>
        <v>1.001520527116067</v>
      </c>
      <c r="G52" s="32">
        <f t="shared" ref="G52:G53" si="17">D52/E52*F52</f>
        <v>2.8263200000000004</v>
      </c>
      <c r="H52" s="146">
        <v>54.38</v>
      </c>
      <c r="I52" s="88">
        <f t="shared" si="16"/>
        <v>153.69528160000002</v>
      </c>
    </row>
    <row r="53" spans="1:20">
      <c r="A53" s="107"/>
      <c r="B53" s="27" t="s">
        <v>23</v>
      </c>
      <c r="C53" s="30" t="s">
        <v>26</v>
      </c>
      <c r="D53" s="134">
        <f>(756--120)*0.49</f>
        <v>429.24</v>
      </c>
      <c r="E53" s="139">
        <f>247*8*(A52/1973)</f>
        <v>125.19006588950838</v>
      </c>
      <c r="F53" s="26">
        <f>E53/A52</f>
        <v>1.001520527116067</v>
      </c>
      <c r="G53" s="32">
        <f t="shared" si="17"/>
        <v>3.4339200000000001</v>
      </c>
      <c r="H53" s="146">
        <v>65.260000000000005</v>
      </c>
      <c r="I53" s="88">
        <f t="shared" si="16"/>
        <v>224.09761920000003</v>
      </c>
    </row>
    <row r="54" spans="1:20" s="1" customFormat="1" ht="15.75" thickBot="1">
      <c r="A54" s="108"/>
      <c r="B54" s="18"/>
      <c r="C54" s="18"/>
      <c r="D54" s="18"/>
      <c r="E54" s="95"/>
      <c r="F54" s="18"/>
      <c r="G54" s="33"/>
      <c r="H54" s="147"/>
      <c r="I54" s="87">
        <f>SUM(I50:I53)</f>
        <v>4531.083018053856</v>
      </c>
      <c r="J54" s="130">
        <f>I54*A52</f>
        <v>566385.37725673197</v>
      </c>
      <c r="K54" s="130">
        <f>(1291798-135909.475)*0.49</f>
        <v>566385.3772499999</v>
      </c>
      <c r="L54" s="130">
        <f>K54-J54</f>
        <v>-6.7320652306079865E-6</v>
      </c>
      <c r="M54" s="121">
        <f>L54/H51</f>
        <v>-3.639819865593972E-9</v>
      </c>
    </row>
    <row r="55" spans="1:20" s="1" customFormat="1">
      <c r="A55" s="109"/>
      <c r="B55" s="40"/>
      <c r="C55" s="40"/>
      <c r="D55" s="40"/>
      <c r="E55" s="123"/>
      <c r="F55" s="40"/>
      <c r="G55" s="61"/>
      <c r="H55" s="148"/>
      <c r="I55" s="43"/>
      <c r="J55" s="3"/>
      <c r="K55" s="3"/>
      <c r="L55" s="3"/>
    </row>
    <row r="56" spans="1:20" ht="18.75">
      <c r="A56" s="100" t="s">
        <v>76</v>
      </c>
      <c r="T56" s="1"/>
    </row>
    <row r="57" spans="1:20" ht="15.75" thickBot="1">
      <c r="G57" s="47" t="s">
        <v>57</v>
      </c>
    </row>
    <row r="58" spans="1:20" ht="105">
      <c r="A58" s="102" t="s">
        <v>2</v>
      </c>
      <c r="B58" s="21" t="s">
        <v>19</v>
      </c>
      <c r="C58" s="21" t="s">
        <v>14</v>
      </c>
      <c r="D58" s="21" t="s">
        <v>16</v>
      </c>
      <c r="E58" s="133" t="s">
        <v>27</v>
      </c>
      <c r="F58" s="21" t="s">
        <v>65</v>
      </c>
      <c r="G58" s="21" t="s">
        <v>29</v>
      </c>
      <c r="H58" s="133" t="s">
        <v>30</v>
      </c>
      <c r="I58" s="22" t="s">
        <v>11</v>
      </c>
      <c r="J58" s="2" t="s">
        <v>33</v>
      </c>
      <c r="K58" s="2" t="s">
        <v>34</v>
      </c>
      <c r="L58" s="2"/>
    </row>
    <row r="59" spans="1:20" ht="15.75" thickBot="1">
      <c r="A59" s="103">
        <v>1</v>
      </c>
      <c r="B59" s="23">
        <v>2</v>
      </c>
      <c r="C59" s="23">
        <v>3</v>
      </c>
      <c r="D59" s="23">
        <v>4</v>
      </c>
      <c r="E59" s="137">
        <v>5</v>
      </c>
      <c r="F59" s="23" t="s">
        <v>53</v>
      </c>
      <c r="G59" s="23" t="s">
        <v>31</v>
      </c>
      <c r="H59" s="143">
        <v>8</v>
      </c>
      <c r="I59" s="24" t="s">
        <v>32</v>
      </c>
    </row>
    <row r="60" spans="1:20">
      <c r="A60" s="104" t="s">
        <v>64</v>
      </c>
      <c r="B60" s="11" t="s">
        <v>20</v>
      </c>
      <c r="C60" s="28" t="s">
        <v>24</v>
      </c>
      <c r="D60" s="150">
        <f>(39267-1400)*0.5</f>
        <v>18933.5</v>
      </c>
      <c r="E60" s="138">
        <f>247*8*(A62/1973)</f>
        <v>224.34059807399899</v>
      </c>
      <c r="F60" s="45">
        <f>E60/A62</f>
        <v>1.001520527116067</v>
      </c>
      <c r="G60" s="32">
        <f>D60/E60*F60</f>
        <v>84.524553571428584</v>
      </c>
      <c r="H60" s="144">
        <v>8.1377500000000005</v>
      </c>
      <c r="I60" s="88">
        <f>H60*G60</f>
        <v>687.83968582589296</v>
      </c>
    </row>
    <row r="61" spans="1:20">
      <c r="A61" s="105" t="s">
        <v>66</v>
      </c>
      <c r="B61" s="5" t="s">
        <v>21</v>
      </c>
      <c r="C61" s="29" t="s">
        <v>25</v>
      </c>
      <c r="D61" s="139">
        <v>257.29330929999998</v>
      </c>
      <c r="E61" s="139">
        <f>247*8*(A62/1973)</f>
        <v>224.34059807399899</v>
      </c>
      <c r="F61" s="26">
        <f>E61/A62</f>
        <v>1.001520527116067</v>
      </c>
      <c r="G61" s="32">
        <f>D61/E61*F61</f>
        <v>1.1486308450892857</v>
      </c>
      <c r="H61" s="145">
        <v>1849.56</v>
      </c>
      <c r="I61" s="88">
        <f t="shared" ref="I61:I63" si="18">H61*G61</f>
        <v>2124.4616658433392</v>
      </c>
    </row>
    <row r="62" spans="1:20">
      <c r="A62" s="106">
        <v>224</v>
      </c>
      <c r="B62" s="27" t="s">
        <v>22</v>
      </c>
      <c r="C62" s="30" t="s">
        <v>26</v>
      </c>
      <c r="D62" s="134">
        <f>(668.21-150)*0.5</f>
        <v>259.10500000000002</v>
      </c>
      <c r="E62" s="139">
        <f>247*8*(A62/1973)</f>
        <v>224.34059807399899</v>
      </c>
      <c r="F62" s="26">
        <f>E62/A62</f>
        <v>1.001520527116067</v>
      </c>
      <c r="G62" s="32">
        <f t="shared" ref="G62:G63" si="19">D62/E62*F62</f>
        <v>1.1567187500000002</v>
      </c>
      <c r="H62" s="146">
        <v>54.38</v>
      </c>
      <c r="I62" s="88">
        <f t="shared" si="18"/>
        <v>62.902365625000016</v>
      </c>
    </row>
    <row r="63" spans="1:20">
      <c r="A63" s="107"/>
      <c r="B63" s="27" t="s">
        <v>23</v>
      </c>
      <c r="C63" s="30" t="s">
        <v>26</v>
      </c>
      <c r="D63" s="151">
        <f>(1273.21-150)*0.5</f>
        <v>561.60500000000002</v>
      </c>
      <c r="E63" s="139">
        <f>247*8*(A62/1973)</f>
        <v>224.34059807399899</v>
      </c>
      <c r="F63" s="26">
        <f>E63/A62</f>
        <v>1.001520527116067</v>
      </c>
      <c r="G63" s="32">
        <f t="shared" si="19"/>
        <v>2.5071651785714288</v>
      </c>
      <c r="H63" s="146">
        <v>65.260000000000005</v>
      </c>
      <c r="I63" s="88">
        <f t="shared" si="18"/>
        <v>163.61759955357147</v>
      </c>
    </row>
    <row r="64" spans="1:20" s="1" customFormat="1" ht="15.75" thickBot="1">
      <c r="A64" s="108"/>
      <c r="B64" s="18"/>
      <c r="C64" s="18"/>
      <c r="D64" s="18"/>
      <c r="E64" s="95"/>
      <c r="F64" s="18"/>
      <c r="G64" s="33"/>
      <c r="H64" s="147"/>
      <c r="I64" s="87">
        <f>SUM(I60:I63)</f>
        <v>3038.8213168478037</v>
      </c>
      <c r="J64" s="130">
        <f>I64*A62</f>
        <v>680695.97497390804</v>
      </c>
      <c r="K64" s="130">
        <f>(1520200-158808.05)*0.5</f>
        <v>680695.97499999998</v>
      </c>
      <c r="L64" s="130">
        <f>K64-J64</f>
        <v>2.6091933250427246E-5</v>
      </c>
      <c r="M64" s="121">
        <f>L64/H61</f>
        <v>1.4107102905786916E-8</v>
      </c>
    </row>
    <row r="65" spans="1:13">
      <c r="A65" s="104" t="s">
        <v>67</v>
      </c>
      <c r="B65" s="11" t="s">
        <v>20</v>
      </c>
      <c r="C65" s="28" t="s">
        <v>24</v>
      </c>
      <c r="D65" s="150">
        <f>(126573-1400)*0.49</f>
        <v>61334.77</v>
      </c>
      <c r="E65" s="138">
        <f>247*8*(A67/1973)</f>
        <v>330.50177394830206</v>
      </c>
      <c r="F65" s="45">
        <f>E65/A67</f>
        <v>1.0015205271160668</v>
      </c>
      <c r="G65" s="32">
        <f>D65/E65*F65</f>
        <v>185.86293939393937</v>
      </c>
      <c r="H65" s="144">
        <v>8.1377500000000005</v>
      </c>
      <c r="I65" s="88">
        <f>H65*G65</f>
        <v>1512.5061350530302</v>
      </c>
    </row>
    <row r="66" spans="1:13">
      <c r="A66" s="105" t="s">
        <v>66</v>
      </c>
      <c r="B66" s="5" t="s">
        <v>21</v>
      </c>
      <c r="C66" s="29" t="s">
        <v>25</v>
      </c>
      <c r="D66" s="139">
        <v>370.02067849999997</v>
      </c>
      <c r="E66" s="139">
        <f>247*8*(A67/1973)</f>
        <v>330.50177394830206</v>
      </c>
      <c r="F66" s="26">
        <f>E66/A67</f>
        <v>1.0015205271160668</v>
      </c>
      <c r="G66" s="32">
        <f>D66/E66*F66</f>
        <v>1.121274783333333</v>
      </c>
      <c r="H66" s="145">
        <v>1849.56</v>
      </c>
      <c r="I66" s="88">
        <f t="shared" ref="I66:I68" si="20">H66*G66</f>
        <v>2073.8649882619993</v>
      </c>
    </row>
    <row r="67" spans="1:13">
      <c r="A67" s="106">
        <v>330</v>
      </c>
      <c r="B67" s="27" t="s">
        <v>22</v>
      </c>
      <c r="C67" s="30" t="s">
        <v>26</v>
      </c>
      <c r="D67" s="134">
        <f>(2068.93-150)*0.49</f>
        <v>940.27569999999992</v>
      </c>
      <c r="E67" s="139">
        <f>247*8*(A67/1973)</f>
        <v>330.50177394830206</v>
      </c>
      <c r="F67" s="26">
        <f>E67/A67</f>
        <v>1.0015205271160668</v>
      </c>
      <c r="G67" s="32">
        <f t="shared" ref="G67:G68" si="21">D67/E67*F67</f>
        <v>2.8493203030303027</v>
      </c>
      <c r="H67" s="146">
        <v>54.38</v>
      </c>
      <c r="I67" s="88">
        <f t="shared" si="20"/>
        <v>154.94603807878786</v>
      </c>
    </row>
    <row r="68" spans="1:13">
      <c r="A68" s="107"/>
      <c r="B68" s="27" t="s">
        <v>23</v>
      </c>
      <c r="C68" s="30" t="s">
        <v>26</v>
      </c>
      <c r="D68" s="134">
        <f>(2068.93-150)*0.49</f>
        <v>940.27569999999992</v>
      </c>
      <c r="E68" s="139">
        <f>247*8*(A67/1973)</f>
        <v>330.50177394830206</v>
      </c>
      <c r="F68" s="26">
        <f>E68/A67</f>
        <v>1.0015205271160668</v>
      </c>
      <c r="G68" s="32">
        <f t="shared" si="21"/>
        <v>2.8493203030303027</v>
      </c>
      <c r="H68" s="146">
        <v>65.260000000000005</v>
      </c>
      <c r="I68" s="88">
        <f t="shared" si="20"/>
        <v>185.94664297575756</v>
      </c>
    </row>
    <row r="69" spans="1:13" s="1" customFormat="1" ht="15.75" thickBot="1">
      <c r="A69" s="108"/>
      <c r="B69" s="18"/>
      <c r="C69" s="18"/>
      <c r="D69" s="18"/>
      <c r="E69" s="95"/>
      <c r="F69" s="18"/>
      <c r="G69" s="33"/>
      <c r="H69" s="147"/>
      <c r="I69" s="87">
        <f>SUM(I65:I68)</f>
        <v>3927.2638043695752</v>
      </c>
      <c r="J69" s="130">
        <f>I69*A67</f>
        <v>1295997.0554419598</v>
      </c>
      <c r="K69" s="130">
        <f>(2803700-158808.05)*0.49</f>
        <v>1295997.0555</v>
      </c>
      <c r="L69" s="130">
        <f>K69-J69</f>
        <v>5.8040255680680275E-5</v>
      </c>
      <c r="M69" s="121">
        <f>L69/H66</f>
        <v>3.1380574666774951E-8</v>
      </c>
    </row>
    <row r="70" spans="1:13">
      <c r="A70" s="104" t="s">
        <v>68</v>
      </c>
      <c r="B70" s="11" t="s">
        <v>20</v>
      </c>
      <c r="C70" s="28" t="s">
        <v>24</v>
      </c>
      <c r="D70" s="150">
        <f>(565852-1400)*0.45</f>
        <v>254003.4</v>
      </c>
      <c r="E70" s="138">
        <f>247*8*(A72/1973)</f>
        <v>267.4059807399899</v>
      </c>
      <c r="F70" s="45">
        <f>E70/A72</f>
        <v>1.001520527116067</v>
      </c>
      <c r="G70" s="32">
        <f>D70/E70*F70</f>
        <v>951.32359550561796</v>
      </c>
      <c r="H70" s="144">
        <v>8.1377500000000005</v>
      </c>
      <c r="I70" s="88">
        <f>H70*G70</f>
        <v>7741.6335893258429</v>
      </c>
    </row>
    <row r="71" spans="1:13">
      <c r="A71" s="105" t="s">
        <v>66</v>
      </c>
      <c r="B71" s="5" t="s">
        <v>21</v>
      </c>
      <c r="C71" s="29" t="s">
        <v>25</v>
      </c>
      <c r="D71" s="139">
        <v>46.240915219999998</v>
      </c>
      <c r="E71" s="139">
        <f>247*8*(A72/1973)</f>
        <v>267.4059807399899</v>
      </c>
      <c r="F71" s="26">
        <f>E71/A72</f>
        <v>1.001520527116067</v>
      </c>
      <c r="G71" s="32">
        <f>D71/E71*F71</f>
        <v>0.1731869483895131</v>
      </c>
      <c r="H71" s="145">
        <v>1849.56</v>
      </c>
      <c r="I71" s="88">
        <f t="shared" ref="I71:I73" si="22">H71*G71</f>
        <v>320.31965226330783</v>
      </c>
    </row>
    <row r="72" spans="1:13">
      <c r="A72" s="106">
        <v>267</v>
      </c>
      <c r="B72" s="27" t="s">
        <v>22</v>
      </c>
      <c r="C72" s="30" t="s">
        <v>26</v>
      </c>
      <c r="D72" s="134">
        <f>(1299-150)*0.45</f>
        <v>517.05000000000007</v>
      </c>
      <c r="E72" s="139">
        <f>247*8*(A72/1973)</f>
        <v>267.4059807399899</v>
      </c>
      <c r="F72" s="26">
        <f>E72/A72</f>
        <v>1.001520527116067</v>
      </c>
      <c r="G72" s="32">
        <f t="shared" ref="G72:G73" si="23">D72/E72*F72</f>
        <v>1.9365168539325843</v>
      </c>
      <c r="H72" s="146">
        <v>54.38</v>
      </c>
      <c r="I72" s="88">
        <f t="shared" si="22"/>
        <v>105.30778651685394</v>
      </c>
    </row>
    <row r="73" spans="1:13">
      <c r="A73" s="107"/>
      <c r="B73" s="27" t="s">
        <v>23</v>
      </c>
      <c r="C73" s="30" t="s">
        <v>26</v>
      </c>
      <c r="D73" s="134">
        <f>(1299-150)*0.45</f>
        <v>517.05000000000007</v>
      </c>
      <c r="E73" s="139">
        <f>247*8*(A72/1973)</f>
        <v>267.4059807399899</v>
      </c>
      <c r="F73" s="26">
        <f>E73/A72</f>
        <v>1.001520527116067</v>
      </c>
      <c r="G73" s="32">
        <f t="shared" si="23"/>
        <v>1.9365168539325843</v>
      </c>
      <c r="H73" s="146">
        <v>65.260000000000005</v>
      </c>
      <c r="I73" s="88">
        <f t="shared" si="22"/>
        <v>126.37708988764047</v>
      </c>
    </row>
    <row r="74" spans="1:13" s="1" customFormat="1" ht="15.75" thickBot="1">
      <c r="A74" s="108"/>
      <c r="B74" s="18"/>
      <c r="C74" s="18"/>
      <c r="D74" s="18"/>
      <c r="E74" s="95"/>
      <c r="F74" s="18"/>
      <c r="G74" s="33"/>
      <c r="H74" s="147"/>
      <c r="I74" s="87">
        <f>SUM(I70:I73)</f>
        <v>8293.6381179936452</v>
      </c>
      <c r="J74" s="130">
        <f>I74*A72</f>
        <v>2214401.3775043031</v>
      </c>
      <c r="K74" s="130">
        <f>(5079700-158808.05)*0.45</f>
        <v>2214401.3774999999</v>
      </c>
      <c r="L74" s="130">
        <f>K74-J74</f>
        <v>-4.3031759560108185E-6</v>
      </c>
      <c r="M74" s="121">
        <f>L74/H71</f>
        <v>-2.326594409487023E-9</v>
      </c>
    </row>
    <row r="75" spans="1:13">
      <c r="A75" s="104" t="s">
        <v>69</v>
      </c>
      <c r="B75" s="11" t="s">
        <v>20</v>
      </c>
      <c r="C75" s="28" t="s">
        <v>24</v>
      </c>
      <c r="D75" s="150">
        <f>(67431-1400)*0.47</f>
        <v>31034.57</v>
      </c>
      <c r="E75" s="138">
        <f>247*8*(A77/1973)</f>
        <v>446.67815509376584</v>
      </c>
      <c r="F75" s="45">
        <f>E75/A77</f>
        <v>1.001520527116067</v>
      </c>
      <c r="G75" s="32">
        <f>D75/E75*F75</f>
        <v>69.58423766816145</v>
      </c>
      <c r="H75" s="144">
        <v>8.1377500000000005</v>
      </c>
      <c r="I75" s="88">
        <f>H75*G75</f>
        <v>566.25913008408088</v>
      </c>
    </row>
    <row r="76" spans="1:13">
      <c r="A76" s="105" t="s">
        <v>66</v>
      </c>
      <c r="B76" s="5" t="s">
        <v>21</v>
      </c>
      <c r="C76" s="29" t="s">
        <v>25</v>
      </c>
      <c r="D76" s="139">
        <v>374.7902507</v>
      </c>
      <c r="E76" s="139">
        <f>247*8*(A77/1973)</f>
        <v>446.67815509376584</v>
      </c>
      <c r="F76" s="26">
        <f>E76/A77</f>
        <v>1.001520527116067</v>
      </c>
      <c r="G76" s="32">
        <f>D76/E76*F76</f>
        <v>0.84033688497757864</v>
      </c>
      <c r="H76" s="145">
        <v>1849.56</v>
      </c>
      <c r="I76" s="88">
        <f t="shared" ref="I76:I78" si="24">H76*G76</f>
        <v>1554.2534889791302</v>
      </c>
    </row>
    <row r="77" spans="1:13">
      <c r="A77" s="106">
        <v>446</v>
      </c>
      <c r="B77" s="27" t="s">
        <v>22</v>
      </c>
      <c r="C77" s="30" t="s">
        <v>26</v>
      </c>
      <c r="D77" s="152">
        <f>(1348.26-150)*0.47</f>
        <v>563.18219999999997</v>
      </c>
      <c r="E77" s="139">
        <f>247*8*(A77/1973)</f>
        <v>446.67815509376584</v>
      </c>
      <c r="F77" s="26">
        <f>E77/A77</f>
        <v>1.001520527116067</v>
      </c>
      <c r="G77" s="32">
        <f t="shared" ref="G77:G78" si="25">D77/E77*F77</f>
        <v>1.2627403587443946</v>
      </c>
      <c r="H77" s="146">
        <v>54.38</v>
      </c>
      <c r="I77" s="88">
        <f t="shared" si="24"/>
        <v>68.667820708520182</v>
      </c>
    </row>
    <row r="78" spans="1:13">
      <c r="A78" s="107"/>
      <c r="B78" s="27" t="s">
        <v>23</v>
      </c>
      <c r="C78" s="30" t="s">
        <v>26</v>
      </c>
      <c r="D78" s="152">
        <f>(1348.26-150)*0.47</f>
        <v>563.18219999999997</v>
      </c>
      <c r="E78" s="139">
        <f>247*8*(A77/1973)</f>
        <v>446.67815509376584</v>
      </c>
      <c r="F78" s="26">
        <f>E78/A77</f>
        <v>1.001520527116067</v>
      </c>
      <c r="G78" s="32">
        <f t="shared" si="25"/>
        <v>1.2627403587443946</v>
      </c>
      <c r="H78" s="146">
        <v>65.260000000000005</v>
      </c>
      <c r="I78" s="88">
        <f t="shared" si="24"/>
        <v>82.406435811659193</v>
      </c>
    </row>
    <row r="79" spans="1:13" s="1" customFormat="1" ht="15.75" thickBot="1">
      <c r="A79" s="108"/>
      <c r="B79" s="18"/>
      <c r="C79" s="18"/>
      <c r="D79" s="18"/>
      <c r="E79" s="95"/>
      <c r="F79" s="18"/>
      <c r="G79" s="33"/>
      <c r="H79" s="147"/>
      <c r="I79" s="87">
        <f>SUM(I75:I78)</f>
        <v>2271.5868755833903</v>
      </c>
      <c r="J79" s="130">
        <f>I79*A77</f>
        <v>1013127.7465101921</v>
      </c>
      <c r="K79" s="130">
        <f>(2314399-158808.05)*0.47</f>
        <v>1013127.7465</v>
      </c>
      <c r="L79" s="130">
        <f>K79-J79</f>
        <v>-1.0192045010626316E-5</v>
      </c>
      <c r="M79" s="121">
        <f>L79/H76</f>
        <v>-5.5105241304019962E-9</v>
      </c>
    </row>
    <row r="80" spans="1:13">
      <c r="A80" s="104" t="s">
        <v>70</v>
      </c>
      <c r="B80" s="11" t="s">
        <v>20</v>
      </c>
      <c r="C80" s="28" t="s">
        <v>24</v>
      </c>
      <c r="D80" s="150">
        <f>(126401-1400)*0.48</f>
        <v>60000.479999999996</v>
      </c>
      <c r="E80" s="138">
        <f>247*8*(A82/1973)</f>
        <v>466.70856563608714</v>
      </c>
      <c r="F80" s="45">
        <f>E80/A82</f>
        <v>1.0015205271160668</v>
      </c>
      <c r="G80" s="32">
        <f>D80/E80*F80</f>
        <v>128.75639484978538</v>
      </c>
      <c r="H80" s="144">
        <v>8.1377500000000005</v>
      </c>
      <c r="I80" s="88">
        <f>H80*G80</f>
        <v>1047.7873521888409</v>
      </c>
    </row>
    <row r="81" spans="1:13">
      <c r="A81" s="105" t="s">
        <v>66</v>
      </c>
      <c r="B81" s="5" t="s">
        <v>21</v>
      </c>
      <c r="C81" s="29" t="s">
        <v>25</v>
      </c>
      <c r="D81" s="139">
        <v>336.123133</v>
      </c>
      <c r="E81" s="139">
        <f>247*8*(A82/1973)</f>
        <v>466.70856563608714</v>
      </c>
      <c r="F81" s="26">
        <f>E81/A82</f>
        <v>1.0015205271160668</v>
      </c>
      <c r="G81" s="32">
        <f>D81/E81*F81</f>
        <v>0.72129427682403424</v>
      </c>
      <c r="H81" s="145">
        <v>1849.56</v>
      </c>
      <c r="I81" s="88">
        <f t="shared" ref="I81:I83" si="26">H81*G81</f>
        <v>1334.0770426426607</v>
      </c>
    </row>
    <row r="82" spans="1:13">
      <c r="A82" s="106">
        <v>466</v>
      </c>
      <c r="B82" s="27" t="s">
        <v>22</v>
      </c>
      <c r="C82" s="30" t="s">
        <v>26</v>
      </c>
      <c r="D82" s="152">
        <f>(2090-150)*0.48</f>
        <v>931.19999999999993</v>
      </c>
      <c r="E82" s="139">
        <f>247*8*(A82/1973)</f>
        <v>466.70856563608714</v>
      </c>
      <c r="F82" s="26">
        <f>E82/A82</f>
        <v>1.0015205271160668</v>
      </c>
      <c r="G82" s="32">
        <f t="shared" ref="G82:G83" si="27">D82/E82*F82</f>
        <v>1.998283261802575</v>
      </c>
      <c r="H82" s="146">
        <v>54.38</v>
      </c>
      <c r="I82" s="88">
        <f t="shared" si="26"/>
        <v>108.66664377682403</v>
      </c>
    </row>
    <row r="83" spans="1:13">
      <c r="A83" s="107"/>
      <c r="B83" s="27" t="s">
        <v>23</v>
      </c>
      <c r="C83" s="30" t="s">
        <v>26</v>
      </c>
      <c r="D83" s="152">
        <f>(2090-150)*0.48</f>
        <v>931.19999999999993</v>
      </c>
      <c r="E83" s="139">
        <f>247*8*(A82/1973)</f>
        <v>466.70856563608714</v>
      </c>
      <c r="F83" s="26">
        <f>E83/A82</f>
        <v>1.0015205271160668</v>
      </c>
      <c r="G83" s="32">
        <f t="shared" si="27"/>
        <v>1.998283261802575</v>
      </c>
      <c r="H83" s="146">
        <v>65.260000000000005</v>
      </c>
      <c r="I83" s="88">
        <f t="shared" si="26"/>
        <v>130.40796566523605</v>
      </c>
    </row>
    <row r="84" spans="1:13" s="1" customFormat="1" ht="15.75" thickBot="1">
      <c r="A84" s="108"/>
      <c r="B84" s="18"/>
      <c r="C84" s="18"/>
      <c r="D84" s="18"/>
      <c r="E84" s="95"/>
      <c r="F84" s="18"/>
      <c r="G84" s="33"/>
      <c r="H84" s="147"/>
      <c r="I84" s="87">
        <f>SUM(I80:I83)</f>
        <v>2620.9390042735617</v>
      </c>
      <c r="J84" s="130">
        <f>I84*A82</f>
        <v>1221357.5759914797</v>
      </c>
      <c r="K84" s="130">
        <f>(2703303-158808.05)*0.48</f>
        <v>1221357.5760000001</v>
      </c>
      <c r="L84" s="130">
        <f>K84-J84</f>
        <v>8.5204374045133591E-6</v>
      </c>
      <c r="M84" s="121">
        <f>L84/H81</f>
        <v>4.6067374967632085E-9</v>
      </c>
    </row>
    <row r="85" spans="1:13">
      <c r="A85" s="104" t="s">
        <v>71</v>
      </c>
      <c r="B85" s="11" t="s">
        <v>20</v>
      </c>
      <c r="C85" s="28" t="s">
        <v>24</v>
      </c>
      <c r="D85" s="150">
        <f>(64860-1400)*0.53</f>
        <v>33633.800000000003</v>
      </c>
      <c r="E85" s="138">
        <f>247*8*(A87/1973)</f>
        <v>309.46984287886465</v>
      </c>
      <c r="F85" s="45">
        <f>E85/A87</f>
        <v>1.0015205271160668</v>
      </c>
      <c r="G85" s="32">
        <f>D85/E85*F85</f>
        <v>108.84724919093851</v>
      </c>
      <c r="H85" s="144">
        <v>8.1377500000000005</v>
      </c>
      <c r="I85" s="88">
        <f>H85*G85</f>
        <v>885.77170210355996</v>
      </c>
    </row>
    <row r="86" spans="1:13">
      <c r="A86" s="105" t="s">
        <v>66</v>
      </c>
      <c r="B86" s="5" t="s">
        <v>21</v>
      </c>
      <c r="C86" s="29" t="s">
        <v>25</v>
      </c>
      <c r="D86" s="139">
        <v>260.29263370000001</v>
      </c>
      <c r="E86" s="139">
        <f>247*8*(A87/1973)</f>
        <v>309.46984287886465</v>
      </c>
      <c r="F86" s="26">
        <f>E86/A87</f>
        <v>1.0015205271160668</v>
      </c>
      <c r="G86" s="32">
        <f>D86/E86*F86</f>
        <v>0.84237098284789647</v>
      </c>
      <c r="H86" s="145">
        <v>1849.56</v>
      </c>
      <c r="I86" s="88">
        <f t="shared" ref="I86:I88" si="28">H86*G86</f>
        <v>1558.0156750361552</v>
      </c>
    </row>
    <row r="87" spans="1:13">
      <c r="A87" s="106">
        <v>309</v>
      </c>
      <c r="B87" s="27" t="s">
        <v>22</v>
      </c>
      <c r="C87" s="30" t="s">
        <v>26</v>
      </c>
      <c r="D87" s="134">
        <f>(1495-150)*0.53</f>
        <v>712.85</v>
      </c>
      <c r="E87" s="139">
        <f>247*8*(A87/1973)</f>
        <v>309.46984287886465</v>
      </c>
      <c r="F87" s="26">
        <f>E87/A87</f>
        <v>1.0015205271160668</v>
      </c>
      <c r="G87" s="32">
        <f t="shared" ref="G87:G88" si="29">D87/E87*F87</f>
        <v>2.3069579288025888</v>
      </c>
      <c r="H87" s="146">
        <v>54.38</v>
      </c>
      <c r="I87" s="88">
        <f t="shared" si="28"/>
        <v>125.45237216828478</v>
      </c>
    </row>
    <row r="88" spans="1:13">
      <c r="A88" s="107"/>
      <c r="B88" s="27" t="s">
        <v>23</v>
      </c>
      <c r="C88" s="30" t="s">
        <v>26</v>
      </c>
      <c r="D88" s="134">
        <f>(1495-150)*0.53</f>
        <v>712.85</v>
      </c>
      <c r="E88" s="139">
        <f>247*8*(A87/1973)</f>
        <v>309.46984287886465</v>
      </c>
      <c r="F88" s="26">
        <f>E88/A87</f>
        <v>1.0015205271160668</v>
      </c>
      <c r="G88" s="32">
        <f t="shared" si="29"/>
        <v>2.3069579288025888</v>
      </c>
      <c r="H88" s="146">
        <v>65.260000000000005</v>
      </c>
      <c r="I88" s="88">
        <f t="shared" si="28"/>
        <v>150.55207443365694</v>
      </c>
    </row>
    <row r="89" spans="1:13" s="1" customFormat="1" ht="15.75" thickBot="1">
      <c r="A89" s="108"/>
      <c r="B89" s="18"/>
      <c r="C89" s="18"/>
      <c r="D89" s="18"/>
      <c r="E89" s="95"/>
      <c r="F89" s="18"/>
      <c r="G89" s="33"/>
      <c r="H89" s="147"/>
      <c r="I89" s="87">
        <f>SUM(I85:I88)</f>
        <v>2719.791823741657</v>
      </c>
      <c r="J89" s="130">
        <f>I89*A87</f>
        <v>840415.67353617202</v>
      </c>
      <c r="K89" s="130">
        <f>(1744498-158808.05)*0.53</f>
        <v>840415.67350000003</v>
      </c>
      <c r="L89" s="130">
        <f>K89-J89</f>
        <v>-3.6171986721456051E-5</v>
      </c>
      <c r="M89" s="121">
        <f>L89/H86</f>
        <v>-1.9557076667670176E-8</v>
      </c>
    </row>
    <row r="90" spans="1:13">
      <c r="A90" s="104" t="s">
        <v>94</v>
      </c>
      <c r="B90" s="13" t="s">
        <v>20</v>
      </c>
      <c r="C90" s="44" t="s">
        <v>24</v>
      </c>
      <c r="D90" s="150">
        <f>(92941-1400)*0.49</f>
        <v>44855.09</v>
      </c>
      <c r="E90" s="138">
        <f>247*8*(A92/1973)</f>
        <v>490.74505828687273</v>
      </c>
      <c r="F90" s="45">
        <f>E90/A92</f>
        <v>1.0015205271160668</v>
      </c>
      <c r="G90" s="32">
        <f>D90/E90*F90</f>
        <v>91.540999999999983</v>
      </c>
      <c r="H90" s="144">
        <v>8.1377500000000005</v>
      </c>
      <c r="I90" s="88">
        <f>H90*G90</f>
        <v>744.93777274999991</v>
      </c>
    </row>
    <row r="91" spans="1:13">
      <c r="A91" s="105" t="s">
        <v>66</v>
      </c>
      <c r="B91" s="5" t="s">
        <v>21</v>
      </c>
      <c r="C91" s="29" t="s">
        <v>25</v>
      </c>
      <c r="D91" s="139">
        <v>481.52206050000001</v>
      </c>
      <c r="E91" s="139">
        <f>247*8*(A92/1973)</f>
        <v>490.74505828687273</v>
      </c>
      <c r="F91" s="26">
        <f>E91/A92</f>
        <v>1.0015205271160668</v>
      </c>
      <c r="G91" s="32">
        <f>D91/E91*F91</f>
        <v>0.98269808265306124</v>
      </c>
      <c r="H91" s="145">
        <v>1849.56</v>
      </c>
      <c r="I91" s="88">
        <f t="shared" ref="I91:I93" si="30">H91*G91</f>
        <v>1817.559065751796</v>
      </c>
    </row>
    <row r="92" spans="1:13">
      <c r="A92" s="106">
        <v>490</v>
      </c>
      <c r="B92" s="27" t="s">
        <v>22</v>
      </c>
      <c r="C92" s="30" t="s">
        <v>26</v>
      </c>
      <c r="D92" s="134">
        <f>(1454.69-150)*0.49</f>
        <v>639.29809999999998</v>
      </c>
      <c r="E92" s="139">
        <f>247*8*(A92/1973)</f>
        <v>490.74505828687273</v>
      </c>
      <c r="F92" s="26">
        <f>E92/A92</f>
        <v>1.0015205271160668</v>
      </c>
      <c r="G92" s="32">
        <f t="shared" ref="G92:G93" si="31">D92/E92*F92</f>
        <v>1.3046899999999999</v>
      </c>
      <c r="H92" s="146">
        <v>54.38</v>
      </c>
      <c r="I92" s="88">
        <f t="shared" si="30"/>
        <v>70.949042199999994</v>
      </c>
    </row>
    <row r="93" spans="1:13">
      <c r="A93" s="107"/>
      <c r="B93" s="27" t="s">
        <v>23</v>
      </c>
      <c r="C93" s="30" t="s">
        <v>26</v>
      </c>
      <c r="D93" s="134">
        <f>(1454.69-150)*0.49</f>
        <v>639.29809999999998</v>
      </c>
      <c r="E93" s="139">
        <f>247*8*(A92/1973)</f>
        <v>490.74505828687273</v>
      </c>
      <c r="F93" s="26">
        <f>E93/A92</f>
        <v>1.0015205271160668</v>
      </c>
      <c r="G93" s="32">
        <f t="shared" si="31"/>
        <v>1.3046899999999999</v>
      </c>
      <c r="H93" s="146">
        <v>65.260000000000005</v>
      </c>
      <c r="I93" s="88">
        <f t="shared" si="30"/>
        <v>85.144069400000006</v>
      </c>
    </row>
    <row r="94" spans="1:13" s="1" customFormat="1" ht="15.75" thickBot="1">
      <c r="A94" s="108"/>
      <c r="B94" s="18"/>
      <c r="C94" s="18"/>
      <c r="D94" s="18"/>
      <c r="E94" s="95"/>
      <c r="F94" s="18"/>
      <c r="G94" s="33"/>
      <c r="H94" s="147"/>
      <c r="I94" s="87">
        <f>SUM(I90:I93)</f>
        <v>2718.5899501017957</v>
      </c>
      <c r="J94" s="130">
        <f>I94*A92</f>
        <v>1332109.0755498798</v>
      </c>
      <c r="K94" s="130">
        <f>(2877398-158808.05)*0.49</f>
        <v>1332109.0755</v>
      </c>
      <c r="L94" s="130">
        <f>K94-J94</f>
        <v>-4.9879774451255798E-5</v>
      </c>
      <c r="M94" s="121">
        <f>L94/H91</f>
        <v>-2.6968454362797532E-8</v>
      </c>
    </row>
    <row r="95" spans="1:13" s="1" customFormat="1" ht="15.75" thickBot="1">
      <c r="A95" s="109"/>
      <c r="B95" s="40"/>
      <c r="C95" s="41"/>
      <c r="D95" s="40"/>
      <c r="E95" s="140"/>
      <c r="F95" s="40"/>
      <c r="G95" s="39"/>
      <c r="H95" s="148"/>
      <c r="I95" s="89"/>
    </row>
    <row r="96" spans="1:13">
      <c r="A96" s="104" t="s">
        <v>73</v>
      </c>
      <c r="B96" s="13" t="s">
        <v>20</v>
      </c>
      <c r="C96" s="44" t="s">
        <v>24</v>
      </c>
      <c r="D96" s="150">
        <f>(39128-1400)*0.43</f>
        <v>16223.039999999999</v>
      </c>
      <c r="E96" s="138">
        <f>247*8*(A98/1973)</f>
        <v>125.19006588950838</v>
      </c>
      <c r="F96" s="45">
        <f>E96/A98</f>
        <v>1.001520527116067</v>
      </c>
      <c r="G96" s="32">
        <f>D96/E96*F96</f>
        <v>129.78431999999998</v>
      </c>
      <c r="H96" s="144">
        <v>8.1377500000000005</v>
      </c>
      <c r="I96" s="88">
        <f>H96*G96</f>
        <v>1056.1523500799999</v>
      </c>
    </row>
    <row r="97" spans="1:20">
      <c r="A97" s="105" t="s">
        <v>66</v>
      </c>
      <c r="B97" s="5" t="s">
        <v>21</v>
      </c>
      <c r="C97" s="29" t="s">
        <v>25</v>
      </c>
      <c r="D97" s="139">
        <v>333.43385949999998</v>
      </c>
      <c r="E97" s="139">
        <f>247*8*(A98/1973)</f>
        <v>125.19006588950838</v>
      </c>
      <c r="F97" s="26">
        <f>E97/A98</f>
        <v>1.001520527116067</v>
      </c>
      <c r="G97" s="32">
        <f>D97/E97*F97</f>
        <v>2.6674708759999999</v>
      </c>
      <c r="H97" s="145">
        <v>1849.56</v>
      </c>
      <c r="I97" s="88">
        <f t="shared" ref="I97:I99" si="32">H97*G97</f>
        <v>4933.6474334145596</v>
      </c>
    </row>
    <row r="98" spans="1:20">
      <c r="A98" s="106">
        <v>125</v>
      </c>
      <c r="B98" s="27" t="s">
        <v>22</v>
      </c>
      <c r="C98" s="30" t="s">
        <v>26</v>
      </c>
      <c r="D98" s="134">
        <f>(500.71-150)*0.43</f>
        <v>150.80529999999999</v>
      </c>
      <c r="E98" s="139">
        <f>247*8*(A98/1973)</f>
        <v>125.19006588950838</v>
      </c>
      <c r="F98" s="26">
        <f>E98/A98</f>
        <v>1.001520527116067</v>
      </c>
      <c r="G98" s="32">
        <f t="shared" ref="G98:G99" si="33">D98/E98*F98</f>
        <v>1.2064424</v>
      </c>
      <c r="H98" s="146">
        <v>54.38</v>
      </c>
      <c r="I98" s="88">
        <f t="shared" si="32"/>
        <v>65.606337711999998</v>
      </c>
    </row>
    <row r="99" spans="1:20">
      <c r="A99" s="107"/>
      <c r="B99" s="27" t="s">
        <v>23</v>
      </c>
      <c r="C99" s="30" t="s">
        <v>26</v>
      </c>
      <c r="D99" s="134">
        <f>(549.9-150)*0.43</f>
        <v>171.95699999999999</v>
      </c>
      <c r="E99" s="139">
        <f>247*8*(A98/1973)</f>
        <v>125.19006588950838</v>
      </c>
      <c r="F99" s="26">
        <f>E99/A98</f>
        <v>1.001520527116067</v>
      </c>
      <c r="G99" s="32">
        <f t="shared" si="33"/>
        <v>1.375656</v>
      </c>
      <c r="H99" s="146">
        <v>65.260000000000005</v>
      </c>
      <c r="I99" s="88">
        <f t="shared" si="32"/>
        <v>89.775310560000008</v>
      </c>
    </row>
    <row r="100" spans="1:20" s="1" customFormat="1" ht="15.75" thickBot="1">
      <c r="A100" s="108"/>
      <c r="B100" s="18"/>
      <c r="C100" s="18"/>
      <c r="D100" s="18"/>
      <c r="E100" s="95"/>
      <c r="F100" s="18"/>
      <c r="G100" s="33"/>
      <c r="H100" s="147"/>
      <c r="I100" s="87">
        <f>SUM(I96:I99)</f>
        <v>6145.1814317665603</v>
      </c>
      <c r="J100" s="130">
        <f>I100*A98</f>
        <v>768147.67897082004</v>
      </c>
      <c r="K100" s="130">
        <f>(1945198-158808.05)*0.43</f>
        <v>768147.67849999992</v>
      </c>
      <c r="L100" s="130">
        <f>K100-J100</f>
        <v>-4.7082011587917805E-4</v>
      </c>
      <c r="M100" s="121">
        <f>L100/H97</f>
        <v>-2.5455790343604863E-7</v>
      </c>
    </row>
    <row r="101" spans="1:20">
      <c r="A101" s="104" t="s">
        <v>74</v>
      </c>
      <c r="B101" s="13" t="s">
        <v>20</v>
      </c>
      <c r="C101" s="44" t="s">
        <v>24</v>
      </c>
      <c r="D101" s="150">
        <f>(32294-1300)*0.51</f>
        <v>15806.94</v>
      </c>
      <c r="E101" s="138">
        <f>247*8*(A103/1973)</f>
        <v>131.19918905220476</v>
      </c>
      <c r="F101" s="45">
        <f>E101/A103</f>
        <v>1.0015205271160668</v>
      </c>
      <c r="G101" s="32">
        <f>D101/E101*F101</f>
        <v>120.66366412213739</v>
      </c>
      <c r="H101" s="144">
        <v>8.1377500000000005</v>
      </c>
      <c r="I101" s="88">
        <f>H101*G101</f>
        <v>981.93073270992363</v>
      </c>
    </row>
    <row r="102" spans="1:20">
      <c r="A102" s="105" t="s">
        <v>66</v>
      </c>
      <c r="B102" s="5" t="s">
        <v>21</v>
      </c>
      <c r="C102" s="29" t="s">
        <v>25</v>
      </c>
      <c r="D102" s="139">
        <v>222.60353509999999</v>
      </c>
      <c r="E102" s="139">
        <f>247*8*(A103/1973)</f>
        <v>131.19918905220476</v>
      </c>
      <c r="F102" s="26">
        <f>E102/A103</f>
        <v>1.0015205271160668</v>
      </c>
      <c r="G102" s="32">
        <f>D102/E102*F102</f>
        <v>1.6992636267175569</v>
      </c>
      <c r="H102" s="145">
        <v>1849.56</v>
      </c>
      <c r="I102" s="88">
        <f t="shared" ref="I102:I104" si="34">H102*G102</f>
        <v>3142.8900334317245</v>
      </c>
    </row>
    <row r="103" spans="1:20">
      <c r="A103" s="106">
        <v>131</v>
      </c>
      <c r="B103" s="27" t="s">
        <v>22</v>
      </c>
      <c r="C103" s="30" t="s">
        <v>26</v>
      </c>
      <c r="D103" s="134">
        <f>(601--120)*0.51</f>
        <v>367.71</v>
      </c>
      <c r="E103" s="139">
        <f>247*8*(A103/1973)</f>
        <v>131.19918905220476</v>
      </c>
      <c r="F103" s="26">
        <f>E103/A103</f>
        <v>1.0015205271160668</v>
      </c>
      <c r="G103" s="32">
        <f t="shared" ref="G103:G104" si="35">D103/E103*F103</f>
        <v>2.8069465648854957</v>
      </c>
      <c r="H103" s="146">
        <v>54.38</v>
      </c>
      <c r="I103" s="88">
        <f t="shared" si="34"/>
        <v>152.64175419847325</v>
      </c>
    </row>
    <row r="104" spans="1:20">
      <c r="A104" s="107"/>
      <c r="B104" s="27" t="s">
        <v>23</v>
      </c>
      <c r="C104" s="30" t="s">
        <v>26</v>
      </c>
      <c r="D104" s="134">
        <f>(756--120)*0.51</f>
        <v>446.76</v>
      </c>
      <c r="E104" s="139">
        <f>247*8*(A103/1973)</f>
        <v>131.19918905220476</v>
      </c>
      <c r="F104" s="26">
        <f>E104/A103</f>
        <v>1.0015205271160668</v>
      </c>
      <c r="G104" s="32">
        <f t="shared" si="35"/>
        <v>3.4103816793893125</v>
      </c>
      <c r="H104" s="146">
        <v>65.260000000000005</v>
      </c>
      <c r="I104" s="88">
        <f t="shared" si="34"/>
        <v>222.56150839694655</v>
      </c>
    </row>
    <row r="105" spans="1:20" s="1" customFormat="1" ht="15.75" thickBot="1">
      <c r="A105" s="108"/>
      <c r="B105" s="18"/>
      <c r="C105" s="18"/>
      <c r="D105" s="18"/>
      <c r="E105" s="95"/>
      <c r="F105" s="18"/>
      <c r="G105" s="33"/>
      <c r="H105" s="147"/>
      <c r="I105" s="87">
        <f>SUM(I101:I104)</f>
        <v>4500.024028737068</v>
      </c>
      <c r="J105" s="130">
        <f>I105*A103</f>
        <v>589503.14776455588</v>
      </c>
      <c r="K105" s="130">
        <f>(1291798-135909.475)*0.51</f>
        <v>589503.14775</v>
      </c>
      <c r="L105" s="130">
        <f>K105-J105</f>
        <v>-1.4555873349308968E-5</v>
      </c>
      <c r="M105" s="121">
        <f>L105/H102</f>
        <v>-7.8699114109890831E-9</v>
      </c>
    </row>
    <row r="106" spans="1:20" s="1" customFormat="1">
      <c r="A106" s="109"/>
      <c r="B106" s="40"/>
      <c r="C106" s="40"/>
      <c r="D106" s="40"/>
      <c r="E106" s="123"/>
      <c r="F106" s="40"/>
      <c r="G106" s="61"/>
      <c r="H106" s="148"/>
      <c r="I106" s="89"/>
      <c r="J106" s="3"/>
      <c r="K106" s="3"/>
      <c r="L106" s="3"/>
    </row>
    <row r="107" spans="1:20" ht="18.75">
      <c r="A107" s="100" t="s">
        <v>77</v>
      </c>
      <c r="I107" s="90"/>
      <c r="T107" s="1"/>
    </row>
    <row r="108" spans="1:20" ht="15.75" thickBot="1">
      <c r="G108" s="47" t="s">
        <v>57</v>
      </c>
      <c r="I108" s="90"/>
    </row>
    <row r="109" spans="1:20" ht="105">
      <c r="A109" s="102" t="s">
        <v>2</v>
      </c>
      <c r="B109" s="21" t="s">
        <v>19</v>
      </c>
      <c r="C109" s="21" t="s">
        <v>14</v>
      </c>
      <c r="D109" s="21" t="s">
        <v>16</v>
      </c>
      <c r="E109" s="133" t="s">
        <v>27</v>
      </c>
      <c r="F109" s="21" t="s">
        <v>65</v>
      </c>
      <c r="G109" s="21" t="s">
        <v>29</v>
      </c>
      <c r="H109" s="133" t="s">
        <v>30</v>
      </c>
      <c r="I109" s="91" t="s">
        <v>11</v>
      </c>
      <c r="J109" s="2" t="s">
        <v>33</v>
      </c>
      <c r="K109" s="2" t="s">
        <v>34</v>
      </c>
      <c r="L109" s="2"/>
    </row>
    <row r="110" spans="1:20" ht="15.75" thickBot="1">
      <c r="A110" s="103">
        <v>1</v>
      </c>
      <c r="B110" s="23">
        <v>2</v>
      </c>
      <c r="C110" s="23">
        <v>3</v>
      </c>
      <c r="D110" s="23">
        <v>4</v>
      </c>
      <c r="E110" s="137">
        <v>5</v>
      </c>
      <c r="F110" s="23" t="s">
        <v>53</v>
      </c>
      <c r="G110" s="23" t="s">
        <v>31</v>
      </c>
      <c r="H110" s="143">
        <v>8</v>
      </c>
      <c r="I110" s="92" t="s">
        <v>32</v>
      </c>
    </row>
    <row r="111" spans="1:20">
      <c r="A111" s="104" t="s">
        <v>64</v>
      </c>
      <c r="B111" s="11" t="s">
        <v>20</v>
      </c>
      <c r="C111" s="28" t="s">
        <v>24</v>
      </c>
      <c r="D111" s="150">
        <f>(39267-1400)*0.12</f>
        <v>4544.04</v>
      </c>
      <c r="E111" s="138">
        <f>247*8*(A113/1973)</f>
        <v>52.079067410035478</v>
      </c>
      <c r="F111" s="45">
        <f>E111/A113</f>
        <v>1.001520527116067</v>
      </c>
      <c r="G111" s="32">
        <f>D111/E111*F111</f>
        <v>87.385384615384623</v>
      </c>
      <c r="H111" s="144">
        <v>8.1377500000000005</v>
      </c>
      <c r="I111" s="88">
        <f>H111*G111</f>
        <v>711.1204136538463</v>
      </c>
    </row>
    <row r="112" spans="1:20">
      <c r="A112" s="105" t="s">
        <v>66</v>
      </c>
      <c r="B112" s="5" t="s">
        <v>21</v>
      </c>
      <c r="C112" s="29" t="s">
        <v>25</v>
      </c>
      <c r="D112" s="139">
        <v>61.750394239999999</v>
      </c>
      <c r="E112" s="139">
        <f>247*8*(A113/1973)</f>
        <v>52.079067410035478</v>
      </c>
      <c r="F112" s="26">
        <f>E112/A113</f>
        <v>1.001520527116067</v>
      </c>
      <c r="G112" s="32">
        <f>D112/E112*F112</f>
        <v>1.1875075815384617</v>
      </c>
      <c r="H112" s="145">
        <v>1849.56</v>
      </c>
      <c r="I112" s="88">
        <f t="shared" ref="I112:I114" si="36">H112*G112</f>
        <v>2196.3665225102773</v>
      </c>
    </row>
    <row r="113" spans="1:13">
      <c r="A113" s="106">
        <v>52</v>
      </c>
      <c r="B113" s="27" t="s">
        <v>22</v>
      </c>
      <c r="C113" s="30" t="s">
        <v>26</v>
      </c>
      <c r="D113" s="134">
        <f>(668.21-150)*0.12</f>
        <v>62.185200000000002</v>
      </c>
      <c r="E113" s="139">
        <f>247*8*(A113/1973)</f>
        <v>52.079067410035478</v>
      </c>
      <c r="F113" s="26">
        <f>E113/A113</f>
        <v>1.001520527116067</v>
      </c>
      <c r="G113" s="32">
        <f t="shared" ref="G113:G114" si="37">D113/E113*F113</f>
        <v>1.1958692307692309</v>
      </c>
      <c r="H113" s="146">
        <v>54.38</v>
      </c>
      <c r="I113" s="88">
        <f t="shared" si="36"/>
        <v>65.031368769230781</v>
      </c>
    </row>
    <row r="114" spans="1:13">
      <c r="A114" s="107"/>
      <c r="B114" s="27" t="s">
        <v>23</v>
      </c>
      <c r="C114" s="30" t="s">
        <v>26</v>
      </c>
      <c r="D114" s="151">
        <f>(1273.21-150)*0.12</f>
        <v>134.7852</v>
      </c>
      <c r="E114" s="139">
        <f>247*8*(A113/1973)</f>
        <v>52.079067410035478</v>
      </c>
      <c r="F114" s="26">
        <f>E114/A113</f>
        <v>1.001520527116067</v>
      </c>
      <c r="G114" s="32">
        <f t="shared" si="37"/>
        <v>2.592023076923077</v>
      </c>
      <c r="H114" s="146">
        <v>65.260000000000005</v>
      </c>
      <c r="I114" s="88">
        <f t="shared" si="36"/>
        <v>169.15542600000001</v>
      </c>
    </row>
    <row r="115" spans="1:13" s="1" customFormat="1" ht="15.75" thickBot="1">
      <c r="A115" s="108"/>
      <c r="B115" s="18"/>
      <c r="C115" s="18"/>
      <c r="D115" s="18"/>
      <c r="E115" s="95"/>
      <c r="F115" s="18"/>
      <c r="G115" s="33"/>
      <c r="H115" s="147"/>
      <c r="I115" s="87">
        <f>SUM(I111:I114)</f>
        <v>3141.6737309333544</v>
      </c>
      <c r="J115" s="130">
        <f>I115*A113</f>
        <v>163367.03400853442</v>
      </c>
      <c r="K115" s="130">
        <f>(1520200-158808.05)*0.12</f>
        <v>163367.03399999999</v>
      </c>
      <c r="L115" s="130">
        <f>K115-J115</f>
        <v>-8.534436346963048E-6</v>
      </c>
      <c r="M115" s="121">
        <f>L115/H112</f>
        <v>-4.6143062928280496E-9</v>
      </c>
    </row>
    <row r="116" spans="1:13">
      <c r="A116" s="104" t="s">
        <v>67</v>
      </c>
      <c r="B116" s="11" t="s">
        <v>20</v>
      </c>
      <c r="C116" s="28" t="s">
        <v>24</v>
      </c>
      <c r="D116" s="150">
        <f>(126573-1400)*0.06</f>
        <v>7510.38</v>
      </c>
      <c r="E116" s="138">
        <f>247*8*(A118/1973)</f>
        <v>44.066903193106945</v>
      </c>
      <c r="F116" s="45">
        <f>E116/A118</f>
        <v>1.001520527116067</v>
      </c>
      <c r="G116" s="32">
        <f>D116/E116*F116</f>
        <v>170.69045454545457</v>
      </c>
      <c r="H116" s="144">
        <v>8.1377500000000005</v>
      </c>
      <c r="I116" s="88">
        <f>H116*G116</f>
        <v>1389.0362464772729</v>
      </c>
    </row>
    <row r="117" spans="1:13">
      <c r="A117" s="105" t="s">
        <v>66</v>
      </c>
      <c r="B117" s="5" t="s">
        <v>21</v>
      </c>
      <c r="C117" s="29" t="s">
        <v>25</v>
      </c>
      <c r="D117" s="139">
        <v>45.308654509999997</v>
      </c>
      <c r="E117" s="139">
        <f>247*8*(A118/1973)</f>
        <v>44.066903193106945</v>
      </c>
      <c r="F117" s="26">
        <f>E117/A118</f>
        <v>1.001520527116067</v>
      </c>
      <c r="G117" s="32">
        <f>D117/E117*F117</f>
        <v>1.0297421479545454</v>
      </c>
      <c r="H117" s="145">
        <v>1849.56</v>
      </c>
      <c r="I117" s="88">
        <f t="shared" ref="I117:I119" si="38">H117*G117</f>
        <v>1904.5698871708089</v>
      </c>
    </row>
    <row r="118" spans="1:13">
      <c r="A118" s="106">
        <v>44</v>
      </c>
      <c r="B118" s="27" t="s">
        <v>22</v>
      </c>
      <c r="C118" s="30" t="s">
        <v>26</v>
      </c>
      <c r="D118" s="134">
        <f>(2068.93-150)*0.06</f>
        <v>115.13579999999999</v>
      </c>
      <c r="E118" s="139">
        <f>247*8*(A118/1973)</f>
        <v>44.066903193106945</v>
      </c>
      <c r="F118" s="26">
        <f>E118/A118</f>
        <v>1.001520527116067</v>
      </c>
      <c r="G118" s="32">
        <f t="shared" ref="G118:G119" si="39">D118/E118*F118</f>
        <v>2.6167227272727271</v>
      </c>
      <c r="H118" s="146">
        <v>54.38</v>
      </c>
      <c r="I118" s="88">
        <f t="shared" si="38"/>
        <v>142.29738190909092</v>
      </c>
    </row>
    <row r="119" spans="1:13">
      <c r="A119" s="107"/>
      <c r="B119" s="27" t="s">
        <v>23</v>
      </c>
      <c r="C119" s="30" t="s">
        <v>26</v>
      </c>
      <c r="D119" s="134">
        <f>(2068.93-150)*0.06</f>
        <v>115.13579999999999</v>
      </c>
      <c r="E119" s="139">
        <f>247*8*(A118/1973)</f>
        <v>44.066903193106945</v>
      </c>
      <c r="F119" s="26">
        <f>E119/A118</f>
        <v>1.001520527116067</v>
      </c>
      <c r="G119" s="32">
        <f t="shared" si="39"/>
        <v>2.6167227272727271</v>
      </c>
      <c r="H119" s="146">
        <v>65.260000000000005</v>
      </c>
      <c r="I119" s="88">
        <f t="shared" si="38"/>
        <v>170.76732518181819</v>
      </c>
    </row>
    <row r="120" spans="1:13" s="1" customFormat="1" ht="15.75" thickBot="1">
      <c r="A120" s="108"/>
      <c r="B120" s="18"/>
      <c r="C120" s="18"/>
      <c r="D120" s="18"/>
      <c r="E120" s="95"/>
      <c r="F120" s="18"/>
      <c r="G120" s="33"/>
      <c r="H120" s="147"/>
      <c r="I120" s="87">
        <f>SUM(I116:I119)</f>
        <v>3606.6708407389906</v>
      </c>
      <c r="J120" s="130">
        <f>I120*A118</f>
        <v>158693.51699251559</v>
      </c>
      <c r="K120" s="130">
        <f>(2803700-158808.05)*0.06</f>
        <v>158693.51699999999</v>
      </c>
      <c r="L120" s="130">
        <f>K120-J120</f>
        <v>7.4843992479145527E-6</v>
      </c>
      <c r="M120" s="121">
        <f>L120/H117</f>
        <v>4.0465836457938927E-9</v>
      </c>
    </row>
    <row r="121" spans="1:13">
      <c r="A121" s="104" t="s">
        <v>68</v>
      </c>
      <c r="B121" s="11" t="s">
        <v>20</v>
      </c>
      <c r="C121" s="28" t="s">
        <v>24</v>
      </c>
      <c r="D121" s="150">
        <f>(565852-1400)*0.06</f>
        <v>33867.119999999995</v>
      </c>
      <c r="E121" s="138">
        <f>247*8*(A123/1973)</f>
        <v>37.05625950329447</v>
      </c>
      <c r="F121" s="45">
        <f>E121/A123</f>
        <v>1.0015205271160668</v>
      </c>
      <c r="G121" s="32">
        <f>D121/E121*F121</f>
        <v>915.32756756756748</v>
      </c>
      <c r="H121" s="144">
        <v>8.1377500000000005</v>
      </c>
      <c r="I121" s="88">
        <f>H121*G121</f>
        <v>7448.7069129729725</v>
      </c>
    </row>
    <row r="122" spans="1:13">
      <c r="A122" s="105" t="s">
        <v>66</v>
      </c>
      <c r="B122" s="5" t="s">
        <v>21</v>
      </c>
      <c r="C122" s="29" t="s">
        <v>25</v>
      </c>
      <c r="D122" s="139">
        <v>6.1654553620000003</v>
      </c>
      <c r="E122" s="139">
        <f>247*8*(A123/1973)</f>
        <v>37.05625950329447</v>
      </c>
      <c r="F122" s="26">
        <f>E122/A123</f>
        <v>1.0015205271160668</v>
      </c>
      <c r="G122" s="32">
        <f>D122/E122*F122</f>
        <v>0.16663392870270269</v>
      </c>
      <c r="H122" s="145">
        <v>1849.56</v>
      </c>
      <c r="I122" s="88">
        <f t="shared" ref="I122:I124" si="40">H122*G122</f>
        <v>308.19944917137076</v>
      </c>
    </row>
    <row r="123" spans="1:13">
      <c r="A123" s="106">
        <v>37</v>
      </c>
      <c r="B123" s="27" t="s">
        <v>22</v>
      </c>
      <c r="C123" s="30" t="s">
        <v>26</v>
      </c>
      <c r="D123" s="134">
        <f>(1299-150)*0.06</f>
        <v>68.94</v>
      </c>
      <c r="E123" s="139">
        <f>247*8*(A123/1973)</f>
        <v>37.05625950329447</v>
      </c>
      <c r="F123" s="26">
        <f>E123/A123</f>
        <v>1.0015205271160668</v>
      </c>
      <c r="G123" s="32">
        <f t="shared" ref="G123:G124" si="41">D123/E123*F123</f>
        <v>1.8632432432432433</v>
      </c>
      <c r="H123" s="146">
        <v>54.38</v>
      </c>
      <c r="I123" s="88">
        <f t="shared" si="40"/>
        <v>101.32316756756758</v>
      </c>
    </row>
    <row r="124" spans="1:13">
      <c r="A124" s="107"/>
      <c r="B124" s="27" t="s">
        <v>23</v>
      </c>
      <c r="C124" s="30" t="s">
        <v>26</v>
      </c>
      <c r="D124" s="134">
        <f>(1299-150)*0.06</f>
        <v>68.94</v>
      </c>
      <c r="E124" s="139">
        <f>247*8*(A123/1973)</f>
        <v>37.05625950329447</v>
      </c>
      <c r="F124" s="26">
        <f>E124/A123</f>
        <v>1.0015205271160668</v>
      </c>
      <c r="G124" s="32">
        <f t="shared" si="41"/>
        <v>1.8632432432432433</v>
      </c>
      <c r="H124" s="146">
        <v>65.260000000000005</v>
      </c>
      <c r="I124" s="88">
        <f t="shared" si="40"/>
        <v>121.59525405405407</v>
      </c>
    </row>
    <row r="125" spans="1:13" s="1" customFormat="1" ht="15.75" thickBot="1">
      <c r="A125" s="108"/>
      <c r="B125" s="18"/>
      <c r="C125" s="18"/>
      <c r="D125" s="18"/>
      <c r="E125" s="95"/>
      <c r="F125" s="18"/>
      <c r="G125" s="33"/>
      <c r="H125" s="147"/>
      <c r="I125" s="87">
        <f>SUM(I121:I124)</f>
        <v>7979.8247837659646</v>
      </c>
      <c r="J125" s="130">
        <f>I125*A123</f>
        <v>295253.51699934067</v>
      </c>
      <c r="K125" s="130">
        <f>(5079700-158808.05)*0.06</f>
        <v>295253.51699999999</v>
      </c>
      <c r="L125" s="130">
        <f>K125-J125</f>
        <v>6.5931817516684532E-7</v>
      </c>
      <c r="M125" s="121">
        <f>L125/H122</f>
        <v>3.5647298555702184E-10</v>
      </c>
    </row>
    <row r="126" spans="1:13">
      <c r="A126" s="104" t="s">
        <v>69</v>
      </c>
      <c r="B126" s="11" t="s">
        <v>20</v>
      </c>
      <c r="C126" s="28" t="s">
        <v>24</v>
      </c>
      <c r="D126" s="150">
        <f>(67431-1400)*0.08</f>
        <v>5282.4800000000005</v>
      </c>
      <c r="E126" s="138">
        <f>247*8*(A128/1973)</f>
        <v>75.114039533705011</v>
      </c>
      <c r="F126" s="45">
        <f>E126/A128</f>
        <v>1.0015205271160668</v>
      </c>
      <c r="G126" s="32">
        <f>D126/E126*F126</f>
        <v>70.433066666666676</v>
      </c>
      <c r="H126" s="144">
        <v>8.1377500000000005</v>
      </c>
      <c r="I126" s="88">
        <f>H126*G126</f>
        <v>573.16668826666682</v>
      </c>
    </row>
    <row r="127" spans="1:13">
      <c r="A127" s="105" t="s">
        <v>66</v>
      </c>
      <c r="B127" s="5" t="s">
        <v>21</v>
      </c>
      <c r="C127" s="29" t="s">
        <v>25</v>
      </c>
      <c r="D127" s="139">
        <v>63.794085219999999</v>
      </c>
      <c r="E127" s="139">
        <f>247*8*(A128/1973)</f>
        <v>75.114039533705011</v>
      </c>
      <c r="F127" s="26">
        <f>E127/A128</f>
        <v>1.0015205271160668</v>
      </c>
      <c r="G127" s="32">
        <f>D127/E127*F127</f>
        <v>0.85058780293333325</v>
      </c>
      <c r="H127" s="145">
        <v>1849.56</v>
      </c>
      <c r="I127" s="88">
        <f t="shared" ref="I127:I129" si="42">H127*G127</f>
        <v>1573.2131767933759</v>
      </c>
    </row>
    <row r="128" spans="1:13">
      <c r="A128" s="106">
        <v>75</v>
      </c>
      <c r="B128" s="27" t="s">
        <v>22</v>
      </c>
      <c r="C128" s="30" t="s">
        <v>26</v>
      </c>
      <c r="D128" s="152">
        <f>(1348.26-150)*0.08</f>
        <v>95.860799999999998</v>
      </c>
      <c r="E128" s="139">
        <f>247*8*(A128/1973)</f>
        <v>75.114039533705011</v>
      </c>
      <c r="F128" s="26">
        <f>E128/A128</f>
        <v>1.0015205271160668</v>
      </c>
      <c r="G128" s="32">
        <f t="shared" ref="G128:G129" si="43">D128/E128*F128</f>
        <v>1.2781439999999999</v>
      </c>
      <c r="H128" s="146">
        <v>54.38</v>
      </c>
      <c r="I128" s="88">
        <f t="shared" si="42"/>
        <v>69.505470720000005</v>
      </c>
    </row>
    <row r="129" spans="1:13">
      <c r="A129" s="107"/>
      <c r="B129" s="27" t="s">
        <v>23</v>
      </c>
      <c r="C129" s="30" t="s">
        <v>26</v>
      </c>
      <c r="D129" s="152">
        <f>(1348.26-150)*0.08</f>
        <v>95.860799999999998</v>
      </c>
      <c r="E129" s="139">
        <f>247*8*(A128/1973)</f>
        <v>75.114039533705011</v>
      </c>
      <c r="F129" s="26">
        <f>E129/A128</f>
        <v>1.0015205271160668</v>
      </c>
      <c r="G129" s="32">
        <f t="shared" si="43"/>
        <v>1.2781439999999999</v>
      </c>
      <c r="H129" s="146">
        <v>65.260000000000005</v>
      </c>
      <c r="I129" s="88">
        <f t="shared" si="42"/>
        <v>83.411677440000005</v>
      </c>
    </row>
    <row r="130" spans="1:13" s="1" customFormat="1" ht="15.75" thickBot="1">
      <c r="A130" s="108"/>
      <c r="B130" s="18"/>
      <c r="C130" s="18"/>
      <c r="D130" s="18"/>
      <c r="E130" s="95"/>
      <c r="F130" s="18"/>
      <c r="G130" s="33"/>
      <c r="H130" s="147"/>
      <c r="I130" s="87">
        <f>SUM(I126:I129)</f>
        <v>2299.297013220043</v>
      </c>
      <c r="J130" s="130">
        <f>I130*A128</f>
        <v>172447.27599150324</v>
      </c>
      <c r="K130" s="130">
        <f>(2314399-158808.05)*0.08</f>
        <v>172447.27600000001</v>
      </c>
      <c r="L130" s="130">
        <f>K130-J130</f>
        <v>8.4967759903520346E-6</v>
      </c>
      <c r="M130" s="121">
        <f>L130/H127</f>
        <v>4.5939445005039227E-9</v>
      </c>
    </row>
    <row r="131" spans="1:13">
      <c r="A131" s="104" t="s">
        <v>70</v>
      </c>
      <c r="B131" s="11" t="s">
        <v>20</v>
      </c>
      <c r="C131" s="28" t="s">
        <v>24</v>
      </c>
      <c r="D131" s="150">
        <f>(126401-1400)*0.1</f>
        <v>12500.1</v>
      </c>
      <c r="E131" s="138">
        <f>247*8*(A133/1973)</f>
        <v>97.147491130258487</v>
      </c>
      <c r="F131" s="45">
        <f>E131/A133</f>
        <v>1.001520527116067</v>
      </c>
      <c r="G131" s="32">
        <f>D131/E131*F131</f>
        <v>128.86701030927836</v>
      </c>
      <c r="H131" s="144">
        <v>8.1377500000000005</v>
      </c>
      <c r="I131" s="88">
        <f>H131*G131</f>
        <v>1048.6875131443301</v>
      </c>
    </row>
    <row r="132" spans="1:13">
      <c r="A132" s="105" t="s">
        <v>66</v>
      </c>
      <c r="B132" s="5" t="s">
        <v>21</v>
      </c>
      <c r="C132" s="29" t="s">
        <v>25</v>
      </c>
      <c r="D132" s="139">
        <v>70.025652710000003</v>
      </c>
      <c r="E132" s="139">
        <f>247*8*(A133/1973)</f>
        <v>97.147491130258487</v>
      </c>
      <c r="F132" s="26">
        <f>E132/A133</f>
        <v>1.001520527116067</v>
      </c>
      <c r="G132" s="32">
        <f>D132/E132*F132</f>
        <v>0.72191394546391763</v>
      </c>
      <c r="H132" s="145">
        <v>1849.56</v>
      </c>
      <c r="I132" s="88">
        <f t="shared" ref="I132:I134" si="44">H132*G132</f>
        <v>1335.2231569722435</v>
      </c>
    </row>
    <row r="133" spans="1:13">
      <c r="A133" s="106">
        <v>97</v>
      </c>
      <c r="B133" s="27" t="s">
        <v>22</v>
      </c>
      <c r="C133" s="30" t="s">
        <v>26</v>
      </c>
      <c r="D133" s="152">
        <f>(2090-150)*0.1</f>
        <v>194</v>
      </c>
      <c r="E133" s="139">
        <f>247*8*(A133/1973)</f>
        <v>97.147491130258487</v>
      </c>
      <c r="F133" s="26">
        <f>E133/A133</f>
        <v>1.001520527116067</v>
      </c>
      <c r="G133" s="32">
        <f t="shared" ref="G133:G134" si="45">D133/E133*F133</f>
        <v>2</v>
      </c>
      <c r="H133" s="146">
        <v>54.38</v>
      </c>
      <c r="I133" s="88">
        <f t="shared" si="44"/>
        <v>108.76</v>
      </c>
    </row>
    <row r="134" spans="1:13">
      <c r="A134" s="107"/>
      <c r="B134" s="27" t="s">
        <v>23</v>
      </c>
      <c r="C134" s="30" t="s">
        <v>26</v>
      </c>
      <c r="D134" s="152">
        <f>(2090-150)*0.1</f>
        <v>194</v>
      </c>
      <c r="E134" s="139">
        <f>247*8*(A133/1973)</f>
        <v>97.147491130258487</v>
      </c>
      <c r="F134" s="26">
        <f>E134/A133</f>
        <v>1.001520527116067</v>
      </c>
      <c r="G134" s="32">
        <f t="shared" si="45"/>
        <v>2</v>
      </c>
      <c r="H134" s="146">
        <v>65.260000000000005</v>
      </c>
      <c r="I134" s="88">
        <f t="shared" si="44"/>
        <v>130.52000000000001</v>
      </c>
    </row>
    <row r="135" spans="1:13" s="1" customFormat="1" ht="15.75" thickBot="1">
      <c r="A135" s="108"/>
      <c r="B135" s="18"/>
      <c r="C135" s="18"/>
      <c r="D135" s="18"/>
      <c r="E135" s="95"/>
      <c r="F135" s="18"/>
      <c r="G135" s="33"/>
      <c r="H135" s="147"/>
      <c r="I135" s="87">
        <f>SUM(I131:I134)</f>
        <v>2623.190670116574</v>
      </c>
      <c r="J135" s="130">
        <f>I135*A133</f>
        <v>254449.49500130769</v>
      </c>
      <c r="K135" s="130">
        <f>(2703303-158808.05)*0.1</f>
        <v>254449.49500000002</v>
      </c>
      <c r="L135" s="130">
        <f>K135-J135</f>
        <v>-1.307664206251502E-6</v>
      </c>
      <c r="M135" s="121">
        <f>L135/H132</f>
        <v>-7.0701367149565415E-10</v>
      </c>
    </row>
    <row r="136" spans="1:13">
      <c r="A136" s="104" t="s">
        <v>71</v>
      </c>
      <c r="B136" s="11" t="s">
        <v>20</v>
      </c>
      <c r="C136" s="28" t="s">
        <v>24</v>
      </c>
      <c r="D136" s="150">
        <f>(64860-1400)*0.06</f>
        <v>3807.6</v>
      </c>
      <c r="E136" s="138">
        <f>247*8*(A138/1973)</f>
        <v>36.054738976178413</v>
      </c>
      <c r="F136" s="45">
        <f>E136/A138</f>
        <v>1.001520527116067</v>
      </c>
      <c r="G136" s="32">
        <f>D136/E136*F136</f>
        <v>105.76666666666665</v>
      </c>
      <c r="H136" s="144">
        <v>8.1377500000000005</v>
      </c>
      <c r="I136" s="88">
        <f>H136*G136</f>
        <v>860.70269166666662</v>
      </c>
    </row>
    <row r="137" spans="1:13">
      <c r="A137" s="105" t="s">
        <v>66</v>
      </c>
      <c r="B137" s="5" t="s">
        <v>21</v>
      </c>
      <c r="C137" s="29" t="s">
        <v>25</v>
      </c>
      <c r="D137" s="139">
        <v>29.46709061</v>
      </c>
      <c r="E137" s="139">
        <f>247*8*(A138/1973)</f>
        <v>36.054738976178413</v>
      </c>
      <c r="F137" s="26">
        <f>E137/A138</f>
        <v>1.001520527116067</v>
      </c>
      <c r="G137" s="32">
        <f>D137/E137*F137</f>
        <v>0.81853029472222216</v>
      </c>
      <c r="H137" s="145">
        <v>1849.56</v>
      </c>
      <c r="I137" s="88">
        <f t="shared" ref="I137:I139" si="46">H137*G137</f>
        <v>1513.9208919064331</v>
      </c>
    </row>
    <row r="138" spans="1:13">
      <c r="A138" s="106">
        <v>36</v>
      </c>
      <c r="B138" s="27" t="s">
        <v>22</v>
      </c>
      <c r="C138" s="30" t="s">
        <v>26</v>
      </c>
      <c r="D138" s="134">
        <f>(1495-150)*0.06</f>
        <v>80.7</v>
      </c>
      <c r="E138" s="139">
        <f>247*8*(A138/1973)</f>
        <v>36.054738976178413</v>
      </c>
      <c r="F138" s="26">
        <f>E138/A138</f>
        <v>1.001520527116067</v>
      </c>
      <c r="G138" s="32">
        <f t="shared" ref="G138:G139" si="47">D138/E138*F138</f>
        <v>2.2416666666666667</v>
      </c>
      <c r="H138" s="146">
        <v>54.38</v>
      </c>
      <c r="I138" s="88">
        <f t="shared" si="46"/>
        <v>121.90183333333334</v>
      </c>
    </row>
    <row r="139" spans="1:13">
      <c r="A139" s="107"/>
      <c r="B139" s="27" t="s">
        <v>23</v>
      </c>
      <c r="C139" s="30" t="s">
        <v>26</v>
      </c>
      <c r="D139" s="134">
        <f>(1495-150)*0.06</f>
        <v>80.7</v>
      </c>
      <c r="E139" s="139">
        <f>247*8*(A138/1973)</f>
        <v>36.054738976178413</v>
      </c>
      <c r="F139" s="26">
        <f>E139/A138</f>
        <v>1.001520527116067</v>
      </c>
      <c r="G139" s="32">
        <f t="shared" si="47"/>
        <v>2.2416666666666667</v>
      </c>
      <c r="H139" s="146">
        <v>65.260000000000005</v>
      </c>
      <c r="I139" s="88">
        <f t="shared" si="46"/>
        <v>146.29116666666667</v>
      </c>
    </row>
    <row r="140" spans="1:13" s="1" customFormat="1" ht="15.75" thickBot="1">
      <c r="A140" s="108"/>
      <c r="B140" s="18"/>
      <c r="C140" s="18"/>
      <c r="D140" s="18"/>
      <c r="E140" s="95"/>
      <c r="F140" s="18"/>
      <c r="G140" s="33"/>
      <c r="H140" s="147"/>
      <c r="I140" s="87">
        <f>SUM(I136:I139)</f>
        <v>2642.8165835730997</v>
      </c>
      <c r="J140" s="130">
        <f>I140*A138</f>
        <v>95141.397008631582</v>
      </c>
      <c r="K140" s="130">
        <f>(1744498-158808.05)*0.06</f>
        <v>95141.396999999997</v>
      </c>
      <c r="L140" s="130">
        <f>K140-J140</f>
        <v>-8.6315849330276251E-6</v>
      </c>
      <c r="M140" s="121">
        <f>L140/H137</f>
        <v>-4.666831534542067E-9</v>
      </c>
    </row>
    <row r="141" spans="1:13">
      <c r="A141" s="104" t="s">
        <v>94</v>
      </c>
      <c r="B141" s="13" t="s">
        <v>20</v>
      </c>
      <c r="C141" s="44" t="s">
        <v>24</v>
      </c>
      <c r="D141" s="150">
        <f>(92941-1400)*0.11</f>
        <v>10069.51</v>
      </c>
      <c r="E141" s="138">
        <f>247*8*(A143/1973)</f>
        <v>107.16269640141917</v>
      </c>
      <c r="F141" s="45">
        <f>E141/A143</f>
        <v>1.001520527116067</v>
      </c>
      <c r="G141" s="32">
        <f>D141/E141*F141</f>
        <v>94.107570093457937</v>
      </c>
      <c r="H141" s="144">
        <v>8.1377500000000005</v>
      </c>
      <c r="I141" s="88">
        <f>H141*G141</f>
        <v>765.82387852803743</v>
      </c>
    </row>
    <row r="142" spans="1:13">
      <c r="A142" s="105" t="s">
        <v>66</v>
      </c>
      <c r="B142" s="5" t="s">
        <v>21</v>
      </c>
      <c r="C142" s="29" t="s">
        <v>25</v>
      </c>
      <c r="D142" s="139">
        <v>108.0967891</v>
      </c>
      <c r="E142" s="139">
        <f>247*8*(A143/1973)</f>
        <v>107.16269640141917</v>
      </c>
      <c r="F142" s="26">
        <f>E142/A143</f>
        <v>1.001520527116067</v>
      </c>
      <c r="G142" s="32">
        <f>D142/E142*F142</f>
        <v>1.0102503654205608</v>
      </c>
      <c r="H142" s="145">
        <v>1849.56</v>
      </c>
      <c r="I142" s="88">
        <f t="shared" ref="I142:I144" si="48">H142*G142</f>
        <v>1868.5186658672524</v>
      </c>
    </row>
    <row r="143" spans="1:13">
      <c r="A143" s="106">
        <v>107</v>
      </c>
      <c r="B143" s="27" t="s">
        <v>22</v>
      </c>
      <c r="C143" s="30" t="s">
        <v>26</v>
      </c>
      <c r="D143" s="134">
        <f>(1454.69-150)*0.11</f>
        <v>143.51590000000002</v>
      </c>
      <c r="E143" s="139">
        <f>247*8*(A143/1973)</f>
        <v>107.16269640141917</v>
      </c>
      <c r="F143" s="26">
        <f>E143/A143</f>
        <v>1.001520527116067</v>
      </c>
      <c r="G143" s="32">
        <f t="shared" ref="G143:G144" si="49">D143/E143*F143</f>
        <v>1.341270093457944</v>
      </c>
      <c r="H143" s="146">
        <v>54.38</v>
      </c>
      <c r="I143" s="88">
        <f t="shared" si="48"/>
        <v>72.938267682242994</v>
      </c>
    </row>
    <row r="144" spans="1:13">
      <c r="A144" s="107"/>
      <c r="B144" s="27" t="s">
        <v>23</v>
      </c>
      <c r="C144" s="30" t="s">
        <v>26</v>
      </c>
      <c r="D144" s="134">
        <f>(1454.69-150)*0.11</f>
        <v>143.51590000000002</v>
      </c>
      <c r="E144" s="139">
        <f>247*8*(A143/1973)</f>
        <v>107.16269640141917</v>
      </c>
      <c r="F144" s="26">
        <f>E144/A143</f>
        <v>1.001520527116067</v>
      </c>
      <c r="G144" s="32">
        <f t="shared" si="49"/>
        <v>1.341270093457944</v>
      </c>
      <c r="H144" s="146">
        <v>65.260000000000005</v>
      </c>
      <c r="I144" s="88">
        <f t="shared" si="48"/>
        <v>87.531286299065428</v>
      </c>
    </row>
    <row r="145" spans="1:20" s="1" customFormat="1" ht="15.75" thickBot="1">
      <c r="A145" s="108"/>
      <c r="B145" s="18"/>
      <c r="C145" s="18"/>
      <c r="D145" s="18"/>
      <c r="E145" s="95"/>
      <c r="F145" s="18"/>
      <c r="G145" s="33"/>
      <c r="H145" s="147"/>
      <c r="I145" s="87">
        <f>SUM(I141:I144)</f>
        <v>2794.812098376598</v>
      </c>
      <c r="J145" s="130">
        <f>I145*A143</f>
        <v>299044.894526296</v>
      </c>
      <c r="K145" s="130">
        <f>(2877398-158808.05)*0.11</f>
        <v>299044.89449999999</v>
      </c>
      <c r="L145" s="130">
        <f>K145-J145</f>
        <v>-2.6296009309589863E-5</v>
      </c>
      <c r="M145" s="121">
        <f>L145/H142</f>
        <v>-1.421744053158041E-8</v>
      </c>
    </row>
    <row r="146" spans="1:20" s="1" customFormat="1" ht="15.75" thickBot="1">
      <c r="A146" s="109"/>
      <c r="B146" s="40"/>
      <c r="C146" s="41"/>
      <c r="D146" s="40"/>
      <c r="E146" s="140"/>
      <c r="F146" s="40"/>
      <c r="G146" s="39"/>
      <c r="H146" s="148"/>
      <c r="I146" s="89"/>
    </row>
    <row r="147" spans="1:20">
      <c r="A147" s="104" t="s">
        <v>73</v>
      </c>
      <c r="B147" s="13" t="s">
        <v>20</v>
      </c>
      <c r="C147" s="44" t="s">
        <v>24</v>
      </c>
      <c r="D147" s="150">
        <f>(39128-1400)*0.11</f>
        <v>4150.08</v>
      </c>
      <c r="E147" s="138">
        <f>247*8*(A149/1973)</f>
        <v>30.045615813482005</v>
      </c>
      <c r="F147" s="45">
        <f>E147/A149</f>
        <v>1.0015205271160668</v>
      </c>
      <c r="G147" s="32">
        <f>D147/E147*F147</f>
        <v>138.33599999999998</v>
      </c>
      <c r="H147" s="144">
        <v>8.1377500000000005</v>
      </c>
      <c r="I147" s="88">
        <f>H147*G147</f>
        <v>1125.743784</v>
      </c>
    </row>
    <row r="148" spans="1:20">
      <c r="A148" s="105" t="s">
        <v>66</v>
      </c>
      <c r="B148" s="5" t="s">
        <v>21</v>
      </c>
      <c r="C148" s="29" t="s">
        <v>25</v>
      </c>
      <c r="D148" s="139">
        <v>85.297033760000005</v>
      </c>
      <c r="E148" s="139">
        <f>247*8*(A149/1973)</f>
        <v>30.045615813482005</v>
      </c>
      <c r="F148" s="26">
        <f>E148/A149</f>
        <v>1.0015205271160668</v>
      </c>
      <c r="G148" s="32">
        <f>D148/E148*F148</f>
        <v>2.8432344586666667</v>
      </c>
      <c r="H148" s="145">
        <v>1849.56</v>
      </c>
      <c r="I148" s="88">
        <f t="shared" ref="I148:I150" si="50">H148*G148</f>
        <v>5258.7327253715202</v>
      </c>
    </row>
    <row r="149" spans="1:20">
      <c r="A149" s="106">
        <v>30</v>
      </c>
      <c r="B149" s="27" t="s">
        <v>22</v>
      </c>
      <c r="C149" s="30" t="s">
        <v>26</v>
      </c>
      <c r="D149" s="134">
        <f>(500.71-150)*0.11</f>
        <v>38.578099999999999</v>
      </c>
      <c r="E149" s="139">
        <f>247*8*(A149/1973)</f>
        <v>30.045615813482005</v>
      </c>
      <c r="F149" s="26">
        <f>E149/A149</f>
        <v>1.0015205271160668</v>
      </c>
      <c r="G149" s="32">
        <f t="shared" ref="G149:G150" si="51">D149/E149*F149</f>
        <v>1.2859366666666665</v>
      </c>
      <c r="H149" s="146">
        <v>54.38</v>
      </c>
      <c r="I149" s="88">
        <f t="shared" si="50"/>
        <v>69.929235933333331</v>
      </c>
    </row>
    <row r="150" spans="1:20">
      <c r="A150" s="107"/>
      <c r="B150" s="27" t="s">
        <v>23</v>
      </c>
      <c r="C150" s="30" t="s">
        <v>26</v>
      </c>
      <c r="D150" s="134">
        <f>(549.9-150)*0.11</f>
        <v>43.988999999999997</v>
      </c>
      <c r="E150" s="139">
        <f>247*8*(A149/1973)</f>
        <v>30.045615813482005</v>
      </c>
      <c r="F150" s="26">
        <f>E150/A149</f>
        <v>1.0015205271160668</v>
      </c>
      <c r="G150" s="32">
        <f t="shared" si="51"/>
        <v>1.4662999999999997</v>
      </c>
      <c r="H150" s="146">
        <v>65.260000000000005</v>
      </c>
      <c r="I150" s="88">
        <f t="shared" si="50"/>
        <v>95.690737999999982</v>
      </c>
    </row>
    <row r="151" spans="1:20" s="1" customFormat="1" ht="15.75" thickBot="1">
      <c r="A151" s="108"/>
      <c r="B151" s="18"/>
      <c r="C151" s="18"/>
      <c r="D151" s="18"/>
      <c r="E151" s="95"/>
      <c r="F151" s="18"/>
      <c r="G151" s="33"/>
      <c r="H151" s="147"/>
      <c r="I151" s="87">
        <f>SUM(I147:I150)</f>
        <v>6550.0964833048538</v>
      </c>
      <c r="J151" s="130">
        <f>I151*A149</f>
        <v>196502.89449914562</v>
      </c>
      <c r="K151" s="130">
        <f>(1945198-158808.05)*0.11</f>
        <v>196502.89449999999</v>
      </c>
      <c r="L151" s="130">
        <f>K151-J151</f>
        <v>8.543720468878746E-7</v>
      </c>
      <c r="M151" s="121">
        <f>L151/H148</f>
        <v>4.6193259309666874E-10</v>
      </c>
    </row>
    <row r="152" spans="1:20">
      <c r="A152" s="104" t="s">
        <v>74</v>
      </c>
      <c r="B152" s="13" t="s">
        <v>20</v>
      </c>
      <c r="C152" s="44" t="s">
        <v>24</v>
      </c>
      <c r="D152" s="60"/>
      <c r="E152" s="141">
        <f>248*8*(A154/1979)</f>
        <v>0</v>
      </c>
      <c r="F152" s="45" t="e">
        <f>E152/A154</f>
        <v>#DIV/0!</v>
      </c>
      <c r="G152" s="32" t="e">
        <f>D152/E152*F152</f>
        <v>#DIV/0!</v>
      </c>
      <c r="H152" s="144">
        <v>8.1377500000000005</v>
      </c>
      <c r="I152" s="88" t="e">
        <f>H152*G152</f>
        <v>#DIV/0!</v>
      </c>
    </row>
    <row r="153" spans="1:20">
      <c r="A153" s="105" t="s">
        <v>66</v>
      </c>
      <c r="B153" s="5" t="s">
        <v>21</v>
      </c>
      <c r="C153" s="29" t="s">
        <v>25</v>
      </c>
      <c r="D153" s="8"/>
      <c r="E153" s="97">
        <f>248*8*(A154/1979)</f>
        <v>0</v>
      </c>
      <c r="F153" s="26" t="e">
        <f>E153/A154</f>
        <v>#DIV/0!</v>
      </c>
      <c r="G153" s="32" t="e">
        <f>D153/E153*F153</f>
        <v>#DIV/0!</v>
      </c>
      <c r="H153" s="145">
        <v>1849.56</v>
      </c>
      <c r="I153" s="88" t="e">
        <f t="shared" ref="I153:I155" si="52">H153*G153</f>
        <v>#DIV/0!</v>
      </c>
    </row>
    <row r="154" spans="1:20">
      <c r="A154" s="106"/>
      <c r="B154" s="27" t="s">
        <v>22</v>
      </c>
      <c r="C154" s="30" t="s">
        <v>26</v>
      </c>
      <c r="D154" s="27"/>
      <c r="E154" s="97">
        <f>248*8*(A154/1979)</f>
        <v>0</v>
      </c>
      <c r="F154" s="26" t="e">
        <f>E154/A154</f>
        <v>#DIV/0!</v>
      </c>
      <c r="G154" s="32" t="e">
        <f t="shared" ref="G154:G155" si="53">D154/E154*F154</f>
        <v>#DIV/0!</v>
      </c>
      <c r="H154" s="146">
        <v>54.38</v>
      </c>
      <c r="I154" s="88" t="e">
        <f t="shared" si="52"/>
        <v>#DIV/0!</v>
      </c>
    </row>
    <row r="155" spans="1:20">
      <c r="A155" s="107"/>
      <c r="B155" s="27" t="s">
        <v>23</v>
      </c>
      <c r="C155" s="30" t="s">
        <v>26</v>
      </c>
      <c r="D155" s="27"/>
      <c r="E155" s="97">
        <f>248*8*(A154/1979)</f>
        <v>0</v>
      </c>
      <c r="F155" s="26" t="e">
        <f>E155/A154</f>
        <v>#DIV/0!</v>
      </c>
      <c r="G155" s="32" t="e">
        <f t="shared" si="53"/>
        <v>#DIV/0!</v>
      </c>
      <c r="H155" s="146">
        <v>65.260000000000005</v>
      </c>
      <c r="I155" s="88" t="e">
        <f t="shared" si="52"/>
        <v>#DIV/0!</v>
      </c>
    </row>
    <row r="156" spans="1:20" s="1" customFormat="1" ht="15.75" thickBot="1">
      <c r="A156" s="108"/>
      <c r="B156" s="18"/>
      <c r="C156" s="18"/>
      <c r="D156" s="18"/>
      <c r="E156" s="95"/>
      <c r="F156" s="18"/>
      <c r="G156" s="33"/>
      <c r="H156" s="147"/>
      <c r="I156" s="87" t="e">
        <f>SUM(I152:I155)</f>
        <v>#DIV/0!</v>
      </c>
      <c r="J156" s="3">
        <v>0</v>
      </c>
      <c r="K156" s="3">
        <v>0</v>
      </c>
      <c r="L156" s="3">
        <f>K156-J156</f>
        <v>0</v>
      </c>
    </row>
    <row r="157" spans="1:20" s="1" customFormat="1">
      <c r="A157" s="109"/>
      <c r="B157" s="40"/>
      <c r="C157" s="40"/>
      <c r="D157" s="40"/>
      <c r="E157" s="123"/>
      <c r="F157" s="40"/>
      <c r="G157" s="61"/>
      <c r="H157" s="148"/>
      <c r="I157" s="43"/>
      <c r="J157" s="3"/>
      <c r="K157" s="3"/>
      <c r="L157" s="3"/>
    </row>
    <row r="158" spans="1:20" ht="19.5" thickBot="1">
      <c r="A158" s="100" t="s">
        <v>78</v>
      </c>
      <c r="T158" s="1"/>
    </row>
    <row r="159" spans="1:20" ht="105">
      <c r="A159" s="102" t="s">
        <v>2</v>
      </c>
      <c r="B159" s="21" t="s">
        <v>19</v>
      </c>
      <c r="C159" s="21" t="s">
        <v>14</v>
      </c>
      <c r="D159" s="21" t="s">
        <v>16</v>
      </c>
      <c r="E159" s="133" t="s">
        <v>27</v>
      </c>
      <c r="F159" s="21" t="s">
        <v>65</v>
      </c>
      <c r="G159" s="21" t="s">
        <v>29</v>
      </c>
      <c r="H159" s="133" t="s">
        <v>30</v>
      </c>
      <c r="I159" s="22" t="s">
        <v>11</v>
      </c>
      <c r="J159" s="2" t="s">
        <v>33</v>
      </c>
      <c r="K159" s="2" t="s">
        <v>34</v>
      </c>
      <c r="L159" s="2"/>
    </row>
    <row r="160" spans="1:20" ht="15.75" thickBot="1">
      <c r="A160" s="103">
        <v>1</v>
      </c>
      <c r="B160" s="23">
        <v>2</v>
      </c>
      <c r="C160" s="23">
        <v>3</v>
      </c>
      <c r="D160" s="23">
        <v>4</v>
      </c>
      <c r="E160" s="137">
        <v>5</v>
      </c>
      <c r="F160" s="23" t="s">
        <v>53</v>
      </c>
      <c r="G160" s="23" t="s">
        <v>31</v>
      </c>
      <c r="H160" s="143">
        <v>8</v>
      </c>
      <c r="I160" s="24" t="s">
        <v>32</v>
      </c>
    </row>
    <row r="161" spans="1:12">
      <c r="A161" s="104" t="s">
        <v>64</v>
      </c>
      <c r="B161" s="11" t="s">
        <v>20</v>
      </c>
      <c r="C161" s="28" t="s">
        <v>24</v>
      </c>
      <c r="D161" s="60">
        <v>1000</v>
      </c>
      <c r="E161" s="138">
        <f>247*8*(A163/1973)</f>
        <v>43313.759756715663</v>
      </c>
      <c r="F161" s="45">
        <f>E161/A163</f>
        <v>1.001520527116067</v>
      </c>
      <c r="G161" s="32">
        <f>D161/E161*F161</f>
        <v>2.3122456529781725E-2</v>
      </c>
      <c r="H161" s="144">
        <v>8.1377500000000005</v>
      </c>
      <c r="I161" s="88">
        <f>H161*G161</f>
        <v>0.18816477062523124</v>
      </c>
      <c r="J161" s="121"/>
      <c r="K161" s="121"/>
      <c r="L161" s="121"/>
    </row>
    <row r="162" spans="1:12">
      <c r="A162" s="105" t="s">
        <v>95</v>
      </c>
      <c r="B162" s="5" t="s">
        <v>21</v>
      </c>
      <c r="C162" s="29" t="s">
        <v>25</v>
      </c>
      <c r="D162" s="8">
        <v>30</v>
      </c>
      <c r="E162" s="139">
        <f>247*8*(A163/1973)</f>
        <v>43313.759756715663</v>
      </c>
      <c r="F162" s="26">
        <f>E162/A163</f>
        <v>1.001520527116067</v>
      </c>
      <c r="G162" s="32">
        <f>D162/E162*F162</f>
        <v>6.9367369589345171E-4</v>
      </c>
      <c r="H162" s="145">
        <v>1849.56</v>
      </c>
      <c r="I162" s="88">
        <f t="shared" ref="I162:I164" si="54">H162*G162</f>
        <v>1.2829911209766924</v>
      </c>
      <c r="J162" s="121"/>
      <c r="K162" s="121"/>
      <c r="L162" s="121"/>
    </row>
    <row r="163" spans="1:12">
      <c r="A163" s="106">
        <v>43248</v>
      </c>
      <c r="B163" s="27" t="s">
        <v>22</v>
      </c>
      <c r="C163" s="30" t="s">
        <v>26</v>
      </c>
      <c r="D163" s="27">
        <v>30</v>
      </c>
      <c r="E163" s="139">
        <f>247*8*(A163/1973)</f>
        <v>43313.759756715663</v>
      </c>
      <c r="F163" s="26">
        <f>E163/A163</f>
        <v>1.001520527116067</v>
      </c>
      <c r="G163" s="32">
        <f t="shared" ref="G163:G164" si="55">D163/E163*F163</f>
        <v>6.9367369589345171E-4</v>
      </c>
      <c r="H163" s="146">
        <v>54.38</v>
      </c>
      <c r="I163" s="88">
        <f t="shared" si="54"/>
        <v>3.7721975582685904E-2</v>
      </c>
      <c r="J163" s="121"/>
      <c r="K163" s="121"/>
      <c r="L163" s="121"/>
    </row>
    <row r="164" spans="1:12">
      <c r="A164" s="107"/>
      <c r="B164" s="27" t="s">
        <v>23</v>
      </c>
      <c r="C164" s="30" t="s">
        <v>26</v>
      </c>
      <c r="D164" s="27">
        <v>30</v>
      </c>
      <c r="E164" s="139">
        <f>247*8*(A163/1973)</f>
        <v>43313.759756715663</v>
      </c>
      <c r="F164" s="26">
        <f>E164/A163</f>
        <v>1.001520527116067</v>
      </c>
      <c r="G164" s="32">
        <f t="shared" si="55"/>
        <v>6.9367369589345171E-4</v>
      </c>
      <c r="H164" s="146">
        <v>65.260000000000005</v>
      </c>
      <c r="I164" s="88">
        <f t="shared" si="54"/>
        <v>4.5269145394006664E-2</v>
      </c>
      <c r="J164" s="121"/>
      <c r="K164" s="121"/>
      <c r="L164" s="121"/>
    </row>
    <row r="165" spans="1:12" s="1" customFormat="1" ht="15.75" thickBot="1">
      <c r="A165" s="108"/>
      <c r="B165" s="18"/>
      <c r="C165" s="18"/>
      <c r="D165" s="18"/>
      <c r="E165" s="95"/>
      <c r="F165" s="18"/>
      <c r="G165" s="33"/>
      <c r="H165" s="147"/>
      <c r="I165" s="87">
        <f>SUM(I161:I164)</f>
        <v>1.5541470125786161</v>
      </c>
      <c r="J165" s="130">
        <f>I165*A163</f>
        <v>67213.749999999985</v>
      </c>
      <c r="K165" s="130">
        <v>67213.75</v>
      </c>
      <c r="L165" s="130">
        <f>K165-J165</f>
        <v>0</v>
      </c>
    </row>
    <row r="166" spans="1:12">
      <c r="A166" s="104" t="s">
        <v>67</v>
      </c>
      <c r="B166" s="11" t="s">
        <v>20</v>
      </c>
      <c r="C166" s="28" t="s">
        <v>24</v>
      </c>
      <c r="D166" s="60">
        <v>1000</v>
      </c>
      <c r="E166" s="138">
        <f>247*8*(A168/1973)</f>
        <v>59520.364926507857</v>
      </c>
      <c r="F166" s="45">
        <f>E166/A168</f>
        <v>1.001520527116067</v>
      </c>
      <c r="G166" s="32">
        <f>D166/E166*F166</f>
        <v>1.6826518593303048E-2</v>
      </c>
      <c r="H166" s="144">
        <v>8.1377500000000005</v>
      </c>
      <c r="I166" s="88">
        <f>H166*G166</f>
        <v>0.13693000168265188</v>
      </c>
      <c r="J166" s="121"/>
      <c r="K166" s="121"/>
      <c r="L166" s="121"/>
    </row>
    <row r="167" spans="1:12">
      <c r="A167" s="105" t="s">
        <v>95</v>
      </c>
      <c r="B167" s="5" t="s">
        <v>21</v>
      </c>
      <c r="C167" s="29" t="s">
        <v>25</v>
      </c>
      <c r="D167" s="8">
        <v>30</v>
      </c>
      <c r="E167" s="139">
        <f>247*8*(A168/1973)</f>
        <v>59520.364926507857</v>
      </c>
      <c r="F167" s="26">
        <f>E167/A168</f>
        <v>1.001520527116067</v>
      </c>
      <c r="G167" s="32">
        <f>D167/E167*F167</f>
        <v>5.0479555779909136E-4</v>
      </c>
      <c r="H167" s="145">
        <v>1849.56</v>
      </c>
      <c r="I167" s="88">
        <f t="shared" ref="I167:I169" si="56">H167*G167</f>
        <v>0.93364967188288739</v>
      </c>
      <c r="J167" s="121"/>
      <c r="K167" s="121"/>
      <c r="L167" s="121"/>
    </row>
    <row r="168" spans="1:12">
      <c r="A168" s="106">
        <v>59430</v>
      </c>
      <c r="B168" s="27" t="s">
        <v>22</v>
      </c>
      <c r="C168" s="30" t="s">
        <v>26</v>
      </c>
      <c r="D168" s="27">
        <v>30</v>
      </c>
      <c r="E168" s="139">
        <f>247*8*(A168/1973)</f>
        <v>59520.364926507857</v>
      </c>
      <c r="F168" s="26">
        <f>E168/A168</f>
        <v>1.001520527116067</v>
      </c>
      <c r="G168" s="32">
        <f t="shared" ref="G168:G169" si="57">D168/E168*F168</f>
        <v>5.0479555779909136E-4</v>
      </c>
      <c r="H168" s="146">
        <v>54.38</v>
      </c>
      <c r="I168" s="88">
        <f t="shared" si="56"/>
        <v>2.7450782433114589E-2</v>
      </c>
      <c r="J168" s="121"/>
      <c r="K168" s="121"/>
      <c r="L168" s="121"/>
    </row>
    <row r="169" spans="1:12">
      <c r="A169" s="107"/>
      <c r="B169" s="27" t="s">
        <v>23</v>
      </c>
      <c r="C169" s="30" t="s">
        <v>26</v>
      </c>
      <c r="D169" s="27">
        <v>30</v>
      </c>
      <c r="E169" s="139">
        <f>247*8*(A168/1973)</f>
        <v>59520.364926507857</v>
      </c>
      <c r="F169" s="26">
        <f>E169/A168</f>
        <v>1.001520527116067</v>
      </c>
      <c r="G169" s="32">
        <f t="shared" si="57"/>
        <v>5.0479555779909136E-4</v>
      </c>
      <c r="H169" s="146">
        <v>65.260000000000005</v>
      </c>
      <c r="I169" s="88">
        <f t="shared" si="56"/>
        <v>3.2942958101968706E-2</v>
      </c>
      <c r="J169" s="121"/>
      <c r="K169" s="121"/>
      <c r="L169" s="121"/>
    </row>
    <row r="170" spans="1:12" s="1" customFormat="1" ht="15.75" thickBot="1">
      <c r="A170" s="108"/>
      <c r="B170" s="18"/>
      <c r="C170" s="18"/>
      <c r="D170" s="18"/>
      <c r="E170" s="95"/>
      <c r="F170" s="18"/>
      <c r="G170" s="33"/>
      <c r="H170" s="147"/>
      <c r="I170" s="87">
        <f>SUM(I166:I169)</f>
        <v>1.1309734141006225</v>
      </c>
      <c r="J170" s="130">
        <f>I170*A168</f>
        <v>67213.75</v>
      </c>
      <c r="K170" s="130">
        <v>67213.75</v>
      </c>
      <c r="L170" s="130">
        <f>K170-J170</f>
        <v>0</v>
      </c>
    </row>
    <row r="171" spans="1:12">
      <c r="A171" s="104" t="s">
        <v>68</v>
      </c>
      <c r="B171" s="11" t="s">
        <v>20</v>
      </c>
      <c r="C171" s="28" t="s">
        <v>24</v>
      </c>
      <c r="D171" s="60">
        <v>1000</v>
      </c>
      <c r="E171" s="138">
        <f>247*8*(A173/1973)</f>
        <v>69578.635580334521</v>
      </c>
      <c r="F171" s="45">
        <f>E171/A173</f>
        <v>1.001520527116067</v>
      </c>
      <c r="G171" s="32">
        <f>D171/E171*F171</f>
        <v>1.4394081153829544E-2</v>
      </c>
      <c r="H171" s="144">
        <v>8.1377500000000005</v>
      </c>
      <c r="I171" s="88">
        <f>H171*G171</f>
        <v>0.11713543390957638</v>
      </c>
      <c r="J171" s="121"/>
      <c r="K171" s="130"/>
      <c r="L171" s="121"/>
    </row>
    <row r="172" spans="1:12">
      <c r="A172" s="105" t="s">
        <v>95</v>
      </c>
      <c r="B172" s="5" t="s">
        <v>21</v>
      </c>
      <c r="C172" s="29" t="s">
        <v>25</v>
      </c>
      <c r="D172" s="8">
        <v>30</v>
      </c>
      <c r="E172" s="139">
        <f>247*8*(A173/1973)</f>
        <v>69578.635580334521</v>
      </c>
      <c r="F172" s="26">
        <f>E172/A173</f>
        <v>1.001520527116067</v>
      </c>
      <c r="G172" s="32">
        <f>D172/E172*F172</f>
        <v>4.318224346148864E-4</v>
      </c>
      <c r="H172" s="145">
        <v>1849.56</v>
      </c>
      <c r="I172" s="88">
        <f t="shared" ref="I172:I174" si="58">H172*G172</f>
        <v>0.79868150216630929</v>
      </c>
      <c r="J172" s="121"/>
      <c r="K172" s="130"/>
      <c r="L172" s="121"/>
    </row>
    <row r="173" spans="1:12">
      <c r="A173" s="106">
        <v>69473</v>
      </c>
      <c r="B173" s="27" t="s">
        <v>22</v>
      </c>
      <c r="C173" s="30" t="s">
        <v>26</v>
      </c>
      <c r="D173" s="27">
        <v>30</v>
      </c>
      <c r="E173" s="139">
        <f>247*8*(A173/1973)</f>
        <v>69578.635580334521</v>
      </c>
      <c r="F173" s="26">
        <f>E173/A173</f>
        <v>1.001520527116067</v>
      </c>
      <c r="G173" s="32">
        <f t="shared" ref="G173:G174" si="59">D173/E173*F173</f>
        <v>4.318224346148864E-4</v>
      </c>
      <c r="H173" s="146">
        <v>54.38</v>
      </c>
      <c r="I173" s="88">
        <f t="shared" si="58"/>
        <v>2.3482503994357522E-2</v>
      </c>
      <c r="J173" s="121"/>
      <c r="K173" s="130"/>
      <c r="L173" s="121"/>
    </row>
    <row r="174" spans="1:12">
      <c r="A174" s="107"/>
      <c r="B174" s="27" t="s">
        <v>23</v>
      </c>
      <c r="C174" s="30" t="s">
        <v>26</v>
      </c>
      <c r="D174" s="27">
        <v>30</v>
      </c>
      <c r="E174" s="139">
        <f>247*8*(A173/1973)</f>
        <v>69578.635580334521</v>
      </c>
      <c r="F174" s="26">
        <f>E174/A173</f>
        <v>1.001520527116067</v>
      </c>
      <c r="G174" s="32">
        <f t="shared" si="59"/>
        <v>4.318224346148864E-4</v>
      </c>
      <c r="H174" s="146">
        <v>65.260000000000005</v>
      </c>
      <c r="I174" s="88">
        <f t="shared" si="58"/>
        <v>2.8180732082967487E-2</v>
      </c>
      <c r="J174" s="121"/>
      <c r="K174" s="130"/>
      <c r="L174" s="121"/>
    </row>
    <row r="175" spans="1:12" s="1" customFormat="1" ht="15.75" thickBot="1">
      <c r="A175" s="108"/>
      <c r="B175" s="18"/>
      <c r="C175" s="18"/>
      <c r="D175" s="18"/>
      <c r="E175" s="95"/>
      <c r="F175" s="18"/>
      <c r="G175" s="33"/>
      <c r="H175" s="147"/>
      <c r="I175" s="87">
        <f>SUM(I171:I174)</f>
        <v>0.96748017215321058</v>
      </c>
      <c r="J175" s="130">
        <f>I175*A173</f>
        <v>67213.75</v>
      </c>
      <c r="K175" s="130">
        <v>67213.75</v>
      </c>
      <c r="L175" s="130">
        <f>K175-J175</f>
        <v>0</v>
      </c>
    </row>
    <row r="176" spans="1:12">
      <c r="A176" s="104" t="s">
        <v>69</v>
      </c>
      <c r="B176" s="11" t="s">
        <v>20</v>
      </c>
      <c r="C176" s="28" t="s">
        <v>24</v>
      </c>
      <c r="D176" s="60">
        <v>1000</v>
      </c>
      <c r="E176" s="138">
        <f>247*8*(A178/1973)</f>
        <v>30476.269640141916</v>
      </c>
      <c r="F176" s="45">
        <f>E176/A178</f>
        <v>1.001520527116067</v>
      </c>
      <c r="G176" s="32">
        <f>D176/E176*F176</f>
        <v>3.2862306933946768E-2</v>
      </c>
      <c r="H176" s="144">
        <v>8.1377500000000005</v>
      </c>
      <c r="I176" s="88">
        <f>H176*G176</f>
        <v>0.26742523825172532</v>
      </c>
      <c r="J176" s="121"/>
      <c r="K176" s="130"/>
      <c r="L176" s="121"/>
    </row>
    <row r="177" spans="1:12">
      <c r="A177" s="105" t="s">
        <v>95</v>
      </c>
      <c r="B177" s="5" t="s">
        <v>21</v>
      </c>
      <c r="C177" s="29" t="s">
        <v>25</v>
      </c>
      <c r="D177" s="8">
        <v>30</v>
      </c>
      <c r="E177" s="139">
        <f>247*8*(A178/1973)</f>
        <v>30476.269640141916</v>
      </c>
      <c r="F177" s="26">
        <f>E177/A178</f>
        <v>1.001520527116067</v>
      </c>
      <c r="G177" s="32">
        <f>D177/E177*F177</f>
        <v>9.8586920801840296E-4</v>
      </c>
      <c r="H177" s="145">
        <v>1849.56</v>
      </c>
      <c r="I177" s="88">
        <f t="shared" ref="I177:I179" si="60">H177*G177</f>
        <v>1.8234242523825173</v>
      </c>
      <c r="J177" s="121"/>
      <c r="K177" s="130"/>
      <c r="L177" s="121"/>
    </row>
    <row r="178" spans="1:12">
      <c r="A178" s="106">
        <v>30430</v>
      </c>
      <c r="B178" s="27" t="s">
        <v>22</v>
      </c>
      <c r="C178" s="30" t="s">
        <v>26</v>
      </c>
      <c r="D178" s="27">
        <v>30</v>
      </c>
      <c r="E178" s="139">
        <f>247*8*(A178/1973)</f>
        <v>30476.269640141916</v>
      </c>
      <c r="F178" s="26">
        <f>E178/A178</f>
        <v>1.001520527116067</v>
      </c>
      <c r="G178" s="32">
        <f t="shared" ref="G178:G179" si="61">D178/E178*F178</f>
        <v>9.8586920801840296E-4</v>
      </c>
      <c r="H178" s="146">
        <v>54.38</v>
      </c>
      <c r="I178" s="88">
        <f t="shared" si="60"/>
        <v>5.3611567532040758E-2</v>
      </c>
      <c r="J178" s="121"/>
      <c r="K178" s="130"/>
      <c r="L178" s="121"/>
    </row>
    <row r="179" spans="1:12">
      <c r="A179" s="107"/>
      <c r="B179" s="27" t="s">
        <v>23</v>
      </c>
      <c r="C179" s="30" t="s">
        <v>26</v>
      </c>
      <c r="D179" s="27">
        <v>30</v>
      </c>
      <c r="E179" s="139">
        <f>247*8*(A178/1973)</f>
        <v>30476.269640141916</v>
      </c>
      <c r="F179" s="26">
        <f>E179/A178</f>
        <v>1.001520527116067</v>
      </c>
      <c r="G179" s="32">
        <f t="shared" si="61"/>
        <v>9.8586920801840296E-4</v>
      </c>
      <c r="H179" s="146">
        <v>65.260000000000005</v>
      </c>
      <c r="I179" s="88">
        <f t="shared" si="60"/>
        <v>6.4337824515280986E-2</v>
      </c>
      <c r="J179" s="121"/>
      <c r="K179" s="130"/>
      <c r="L179" s="121"/>
    </row>
    <row r="180" spans="1:12" s="1" customFormat="1" ht="15.75" thickBot="1">
      <c r="A180" s="108"/>
      <c r="B180" s="18"/>
      <c r="C180" s="18"/>
      <c r="D180" s="18"/>
      <c r="E180" s="95"/>
      <c r="F180" s="18"/>
      <c r="G180" s="33"/>
      <c r="H180" s="147"/>
      <c r="I180" s="87">
        <f>SUM(I176:I179)</f>
        <v>2.2087988826815641</v>
      </c>
      <c r="J180" s="130">
        <f>I180*A178</f>
        <v>67213.75</v>
      </c>
      <c r="K180" s="130">
        <v>67213.75</v>
      </c>
      <c r="L180" s="130">
        <f>K180-J180</f>
        <v>0</v>
      </c>
    </row>
    <row r="181" spans="1:12">
      <c r="A181" s="104" t="s">
        <v>70</v>
      </c>
      <c r="B181" s="11" t="s">
        <v>20</v>
      </c>
      <c r="C181" s="28" t="s">
        <v>24</v>
      </c>
      <c r="D181" s="60">
        <v>1000</v>
      </c>
      <c r="E181" s="138">
        <f>247*8*(A183/1973)</f>
        <v>62302.588950836296</v>
      </c>
      <c r="F181" s="45">
        <f>E181/A183</f>
        <v>1.001520527116067</v>
      </c>
      <c r="G181" s="32">
        <f>D181/E181*F181</f>
        <v>1.6075102880658436E-2</v>
      </c>
      <c r="H181" s="144">
        <v>8.1377500000000005</v>
      </c>
      <c r="I181" s="88">
        <f>H181*G181</f>
        <v>0.13081516846707819</v>
      </c>
      <c r="J181" s="121"/>
      <c r="K181" s="130"/>
      <c r="L181" s="121"/>
    </row>
    <row r="182" spans="1:12">
      <c r="A182" s="105" t="s">
        <v>95</v>
      </c>
      <c r="B182" s="5" t="s">
        <v>21</v>
      </c>
      <c r="C182" s="29" t="s">
        <v>25</v>
      </c>
      <c r="D182" s="8">
        <v>30</v>
      </c>
      <c r="E182" s="139">
        <f>247*8*(A183/1973)</f>
        <v>62302.588950836296</v>
      </c>
      <c r="F182" s="26">
        <f>E182/A183</f>
        <v>1.001520527116067</v>
      </c>
      <c r="G182" s="32">
        <f>D182/E182*F182</f>
        <v>4.8225308641975306E-4</v>
      </c>
      <c r="H182" s="145">
        <v>1849.56</v>
      </c>
      <c r="I182" s="88">
        <f t="shared" ref="I182:I184" si="62">H182*G182</f>
        <v>0.89195601851851847</v>
      </c>
      <c r="J182" s="121"/>
      <c r="K182" s="130"/>
      <c r="L182" s="121"/>
    </row>
    <row r="183" spans="1:12">
      <c r="A183" s="106">
        <v>62208</v>
      </c>
      <c r="B183" s="27" t="s">
        <v>22</v>
      </c>
      <c r="C183" s="30" t="s">
        <v>26</v>
      </c>
      <c r="D183" s="27">
        <v>30</v>
      </c>
      <c r="E183" s="139">
        <f>247*8*(A183/1973)</f>
        <v>62302.588950836296</v>
      </c>
      <c r="F183" s="26">
        <f>E183/A183</f>
        <v>1.001520527116067</v>
      </c>
      <c r="G183" s="32">
        <f t="shared" ref="G183:G184" si="63">D183/E183*F183</f>
        <v>4.8225308641975306E-4</v>
      </c>
      <c r="H183" s="146">
        <v>54.38</v>
      </c>
      <c r="I183" s="88">
        <f t="shared" si="62"/>
        <v>2.6224922839506174E-2</v>
      </c>
      <c r="J183" s="121"/>
      <c r="K183" s="130"/>
      <c r="L183" s="121"/>
    </row>
    <row r="184" spans="1:12">
      <c r="A184" s="107"/>
      <c r="B184" s="27" t="s">
        <v>23</v>
      </c>
      <c r="C184" s="30" t="s">
        <v>26</v>
      </c>
      <c r="D184" s="27">
        <v>30</v>
      </c>
      <c r="E184" s="139">
        <f>247*8*(A183/1973)</f>
        <v>62302.588950836296</v>
      </c>
      <c r="F184" s="26">
        <f>E184/A183</f>
        <v>1.001520527116067</v>
      </c>
      <c r="G184" s="32">
        <f t="shared" si="63"/>
        <v>4.8225308641975306E-4</v>
      </c>
      <c r="H184" s="146">
        <v>65.260000000000005</v>
      </c>
      <c r="I184" s="88">
        <f t="shared" si="62"/>
        <v>3.1471836419753089E-2</v>
      </c>
      <c r="J184" s="121"/>
      <c r="K184" s="130"/>
      <c r="L184" s="121"/>
    </row>
    <row r="185" spans="1:12" s="1" customFormat="1" ht="15.75" thickBot="1">
      <c r="A185" s="108"/>
      <c r="B185" s="18"/>
      <c r="C185" s="18"/>
      <c r="D185" s="18"/>
      <c r="E185" s="95"/>
      <c r="F185" s="18"/>
      <c r="G185" s="33"/>
      <c r="H185" s="147"/>
      <c r="I185" s="87">
        <f>SUM(I181:I184)</f>
        <v>1.0804679462448559</v>
      </c>
      <c r="J185" s="130">
        <f>I185*A183</f>
        <v>67213.75</v>
      </c>
      <c r="K185" s="130">
        <v>67213.75</v>
      </c>
      <c r="L185" s="130">
        <f>K185-J185</f>
        <v>0</v>
      </c>
    </row>
    <row r="186" spans="1:12">
      <c r="A186" s="104" t="s">
        <v>71</v>
      </c>
      <c r="B186" s="11" t="s">
        <v>20</v>
      </c>
      <c r="C186" s="28" t="s">
        <v>24</v>
      </c>
      <c r="D186" s="60">
        <v>1000</v>
      </c>
      <c r="E186" s="138">
        <f>247*8*(A188/1973)</f>
        <v>60169.350228079064</v>
      </c>
      <c r="F186" s="45">
        <f>E186/A188</f>
        <v>1.0015205271160668</v>
      </c>
      <c r="G186" s="32">
        <f>D186/E186*F186</f>
        <v>1.664502813009754E-2</v>
      </c>
      <c r="H186" s="144">
        <v>8.1377500000000005</v>
      </c>
      <c r="I186" s="88">
        <f>H186*G186</f>
        <v>0.13545307766570125</v>
      </c>
      <c r="J186" s="121"/>
      <c r="K186" s="130"/>
      <c r="L186" s="121"/>
    </row>
    <row r="187" spans="1:12">
      <c r="A187" s="105" t="s">
        <v>95</v>
      </c>
      <c r="B187" s="5" t="s">
        <v>21</v>
      </c>
      <c r="C187" s="29" t="s">
        <v>25</v>
      </c>
      <c r="D187" s="8">
        <v>30</v>
      </c>
      <c r="E187" s="139">
        <f>247*8*(A188/1973)</f>
        <v>60169.350228079064</v>
      </c>
      <c r="F187" s="26">
        <f>E187/A188</f>
        <v>1.0015205271160668</v>
      </c>
      <c r="G187" s="32">
        <f>D187/E187*F187</f>
        <v>4.9935084390292613E-4</v>
      </c>
      <c r="H187" s="145">
        <v>1849.56</v>
      </c>
      <c r="I187" s="88">
        <f t="shared" ref="I187:I189" si="64">H187*G187</f>
        <v>0.92357934684909604</v>
      </c>
      <c r="J187" s="121"/>
      <c r="K187" s="130"/>
      <c r="L187" s="121"/>
    </row>
    <row r="188" spans="1:12">
      <c r="A188" s="106">
        <v>60078</v>
      </c>
      <c r="B188" s="27" t="s">
        <v>22</v>
      </c>
      <c r="C188" s="30" t="s">
        <v>26</v>
      </c>
      <c r="D188" s="27">
        <v>30</v>
      </c>
      <c r="E188" s="139">
        <f>247*8*(A188/1973)</f>
        <v>60169.350228079064</v>
      </c>
      <c r="F188" s="26">
        <f>E188/A188</f>
        <v>1.0015205271160668</v>
      </c>
      <c r="G188" s="32">
        <f t="shared" ref="G188:G189" si="65">D188/E188*F188</f>
        <v>4.9935084390292613E-4</v>
      </c>
      <c r="H188" s="146">
        <v>54.38</v>
      </c>
      <c r="I188" s="88">
        <f t="shared" si="64"/>
        <v>2.7154698891441124E-2</v>
      </c>
      <c r="J188" s="121"/>
      <c r="K188" s="130"/>
      <c r="L188" s="121"/>
    </row>
    <row r="189" spans="1:12">
      <c r="A189" s="107"/>
      <c r="B189" s="27" t="s">
        <v>23</v>
      </c>
      <c r="C189" s="30" t="s">
        <v>26</v>
      </c>
      <c r="D189" s="27">
        <v>30</v>
      </c>
      <c r="E189" s="139">
        <f>247*8*(A188/1973)</f>
        <v>60169.350228079064</v>
      </c>
      <c r="F189" s="26">
        <f>E189/A188</f>
        <v>1.0015205271160668</v>
      </c>
      <c r="G189" s="32">
        <f t="shared" si="65"/>
        <v>4.9935084390292613E-4</v>
      </c>
      <c r="H189" s="146">
        <v>65.260000000000005</v>
      </c>
      <c r="I189" s="88">
        <f t="shared" si="64"/>
        <v>3.2587636073104963E-2</v>
      </c>
      <c r="J189" s="121"/>
      <c r="K189" s="130"/>
      <c r="L189" s="121"/>
    </row>
    <row r="190" spans="1:12" s="1" customFormat="1" ht="15.75" thickBot="1">
      <c r="A190" s="108"/>
      <c r="B190" s="18"/>
      <c r="C190" s="18"/>
      <c r="D190" s="18"/>
      <c r="E190" s="95"/>
      <c r="F190" s="18"/>
      <c r="G190" s="33"/>
      <c r="H190" s="147"/>
      <c r="I190" s="87">
        <f>SUM(I186:I189)</f>
        <v>1.1187747594793434</v>
      </c>
      <c r="J190" s="130">
        <f>I190*A188</f>
        <v>67213.749999999985</v>
      </c>
      <c r="K190" s="130">
        <v>67213.75</v>
      </c>
      <c r="L190" s="130">
        <f>K190-J190</f>
        <v>0</v>
      </c>
    </row>
    <row r="191" spans="1:12">
      <c r="A191" s="104" t="s">
        <v>94</v>
      </c>
      <c r="B191" s="13" t="s">
        <v>20</v>
      </c>
      <c r="C191" s="44" t="s">
        <v>24</v>
      </c>
      <c r="D191" s="60">
        <v>1000</v>
      </c>
      <c r="E191" s="138">
        <f>247*8*(A193/1973)</f>
        <v>58637.023821591487</v>
      </c>
      <c r="F191" s="45">
        <f>E191/A193</f>
        <v>1.001520527116067</v>
      </c>
      <c r="G191" s="32">
        <f>D191/E191*F191</f>
        <v>1.7080002732800439E-2</v>
      </c>
      <c r="H191" s="144">
        <v>8.1377500000000005</v>
      </c>
      <c r="I191" s="88">
        <f>H191*G191</f>
        <v>0.13899279223884678</v>
      </c>
      <c r="J191" s="121"/>
      <c r="K191" s="130"/>
      <c r="L191" s="121"/>
    </row>
    <row r="192" spans="1:12">
      <c r="A192" s="105" t="s">
        <v>95</v>
      </c>
      <c r="B192" s="5" t="s">
        <v>21</v>
      </c>
      <c r="C192" s="29" t="s">
        <v>25</v>
      </c>
      <c r="D192" s="8">
        <v>30</v>
      </c>
      <c r="E192" s="139">
        <f>247*8*(A193/1973)</f>
        <v>58637.023821591487</v>
      </c>
      <c r="F192" s="26">
        <f>E192/A193</f>
        <v>1.001520527116067</v>
      </c>
      <c r="G192" s="32">
        <f>D192/E192*F192</f>
        <v>5.124000819840131E-4</v>
      </c>
      <c r="H192" s="145">
        <v>1849.56</v>
      </c>
      <c r="I192" s="88">
        <f t="shared" ref="I192:I194" si="66">H192*G192</f>
        <v>0.94771469563435129</v>
      </c>
      <c r="J192" s="121"/>
      <c r="K192" s="130"/>
      <c r="L192" s="121"/>
    </row>
    <row r="193" spans="1:12">
      <c r="A193" s="106">
        <v>58548</v>
      </c>
      <c r="B193" s="27" t="s">
        <v>22</v>
      </c>
      <c r="C193" s="30" t="s">
        <v>26</v>
      </c>
      <c r="D193" s="27">
        <v>30</v>
      </c>
      <c r="E193" s="139">
        <f>247*8*(A193/1973)</f>
        <v>58637.023821591487</v>
      </c>
      <c r="F193" s="26">
        <f>E193/A193</f>
        <v>1.001520527116067</v>
      </c>
      <c r="G193" s="32">
        <f t="shared" ref="G193:G194" si="67">D193/E193*F193</f>
        <v>5.124000819840131E-4</v>
      </c>
      <c r="H193" s="146">
        <v>54.38</v>
      </c>
      <c r="I193" s="88">
        <f t="shared" si="66"/>
        <v>2.7864316458290635E-2</v>
      </c>
      <c r="J193" s="121"/>
      <c r="K193" s="130"/>
      <c r="L193" s="121"/>
    </row>
    <row r="194" spans="1:12">
      <c r="A194" s="107"/>
      <c r="B194" s="27" t="s">
        <v>23</v>
      </c>
      <c r="C194" s="30" t="s">
        <v>26</v>
      </c>
      <c r="D194" s="27">
        <v>30</v>
      </c>
      <c r="E194" s="139">
        <f>247*8*(A193/1973)</f>
        <v>58637.023821591487</v>
      </c>
      <c r="F194" s="26">
        <f>E194/A193</f>
        <v>1.001520527116067</v>
      </c>
      <c r="G194" s="32">
        <f t="shared" si="67"/>
        <v>5.124000819840131E-4</v>
      </c>
      <c r="H194" s="146">
        <v>65.260000000000005</v>
      </c>
      <c r="I194" s="88">
        <f t="shared" si="66"/>
        <v>3.3439229350276697E-2</v>
      </c>
      <c r="J194" s="121"/>
      <c r="K194" s="130"/>
      <c r="L194" s="121"/>
    </row>
    <row r="195" spans="1:12" s="1" customFormat="1" ht="15.75" thickBot="1">
      <c r="A195" s="108"/>
      <c r="B195" s="18"/>
      <c r="C195" s="18"/>
      <c r="D195" s="18"/>
      <c r="E195" s="95"/>
      <c r="F195" s="18"/>
      <c r="G195" s="33"/>
      <c r="H195" s="147"/>
      <c r="I195" s="87">
        <f>SUM(I191:I194)</f>
        <v>1.1480110336817655</v>
      </c>
      <c r="J195" s="130">
        <f>I195*A193</f>
        <v>67213.75</v>
      </c>
      <c r="K195" s="130">
        <v>67213.75</v>
      </c>
      <c r="L195" s="130">
        <f>K195-J195</f>
        <v>0</v>
      </c>
    </row>
    <row r="196" spans="1:12" s="1" customFormat="1" ht="15.75" thickBot="1">
      <c r="A196" s="109"/>
      <c r="B196" s="40"/>
      <c r="C196" s="40"/>
      <c r="D196" s="40"/>
      <c r="E196" s="123"/>
      <c r="F196" s="40"/>
      <c r="G196" s="61"/>
      <c r="H196" s="148"/>
      <c r="I196" s="89"/>
      <c r="J196" s="130"/>
      <c r="K196" s="130"/>
      <c r="L196" s="130"/>
    </row>
    <row r="197" spans="1:12">
      <c r="A197" s="104" t="s">
        <v>73</v>
      </c>
      <c r="B197" s="13" t="s">
        <v>20</v>
      </c>
      <c r="C197" s="44" t="s">
        <v>24</v>
      </c>
      <c r="D197" s="60">
        <v>1000</v>
      </c>
      <c r="E197" s="138">
        <f>247*8*(A199/1973)</f>
        <v>45050.396350734925</v>
      </c>
      <c r="F197" s="45">
        <f>E197/A199</f>
        <v>1.001520527116067</v>
      </c>
      <c r="G197" s="32">
        <f>D197/E197*F197</f>
        <v>2.2231114668089458E-2</v>
      </c>
      <c r="H197" s="144">
        <v>8.1377500000000005</v>
      </c>
      <c r="I197" s="88">
        <f>H197*G197</f>
        <v>0.180911253390245</v>
      </c>
      <c r="J197" s="121"/>
      <c r="K197" s="130"/>
      <c r="L197" s="121"/>
    </row>
    <row r="198" spans="1:12">
      <c r="A198" s="105" t="s">
        <v>95</v>
      </c>
      <c r="B198" s="5" t="s">
        <v>21</v>
      </c>
      <c r="C198" s="29" t="s">
        <v>25</v>
      </c>
      <c r="D198" s="8">
        <v>30</v>
      </c>
      <c r="E198" s="139">
        <f>247*8*(A199/1973)</f>
        <v>45050.396350734925</v>
      </c>
      <c r="F198" s="26">
        <f>E198/A199</f>
        <v>1.001520527116067</v>
      </c>
      <c r="G198" s="32">
        <f>D198/E198*F198</f>
        <v>6.6693344004268369E-4</v>
      </c>
      <c r="H198" s="145">
        <v>1849.56</v>
      </c>
      <c r="I198" s="88">
        <f t="shared" ref="I198:I200" si="68">H198*G198</f>
        <v>1.2335334133653459</v>
      </c>
      <c r="J198" s="121"/>
      <c r="K198" s="130"/>
      <c r="L198" s="121"/>
    </row>
    <row r="199" spans="1:12">
      <c r="A199" s="106">
        <v>44982</v>
      </c>
      <c r="B199" s="27" t="s">
        <v>22</v>
      </c>
      <c r="C199" s="30" t="s">
        <v>26</v>
      </c>
      <c r="D199" s="27">
        <v>30</v>
      </c>
      <c r="E199" s="139">
        <f>247*8*(A199/1973)</f>
        <v>45050.396350734925</v>
      </c>
      <c r="F199" s="26">
        <f>E199/A199</f>
        <v>1.001520527116067</v>
      </c>
      <c r="G199" s="32">
        <f t="shared" ref="G199:G200" si="69">D199/E199*F199</f>
        <v>6.6693344004268369E-4</v>
      </c>
      <c r="H199" s="146">
        <v>54.38</v>
      </c>
      <c r="I199" s="88">
        <f t="shared" si="68"/>
        <v>3.626784046952114E-2</v>
      </c>
      <c r="J199" s="121"/>
      <c r="K199" s="130"/>
      <c r="L199" s="121"/>
    </row>
    <row r="200" spans="1:12">
      <c r="A200" s="107"/>
      <c r="B200" s="27" t="s">
        <v>23</v>
      </c>
      <c r="C200" s="30" t="s">
        <v>26</v>
      </c>
      <c r="D200" s="27">
        <v>30</v>
      </c>
      <c r="E200" s="139">
        <f>247*8*(A199/1973)</f>
        <v>45050.396350734925</v>
      </c>
      <c r="F200" s="26">
        <f>E200/A199</f>
        <v>1.001520527116067</v>
      </c>
      <c r="G200" s="32">
        <f t="shared" si="69"/>
        <v>6.6693344004268369E-4</v>
      </c>
      <c r="H200" s="146">
        <v>65.260000000000005</v>
      </c>
      <c r="I200" s="88">
        <f t="shared" si="68"/>
        <v>4.3524076297185542E-2</v>
      </c>
      <c r="J200" s="121"/>
      <c r="K200" s="130"/>
      <c r="L200" s="121"/>
    </row>
    <row r="201" spans="1:12" s="1" customFormat="1" ht="15.75" thickBot="1">
      <c r="A201" s="108"/>
      <c r="B201" s="18"/>
      <c r="C201" s="18"/>
      <c r="D201" s="18"/>
      <c r="E201" s="95"/>
      <c r="F201" s="18"/>
      <c r="G201" s="33"/>
      <c r="H201" s="147"/>
      <c r="I201" s="87">
        <f>SUM(I197:I200)</f>
        <v>1.4942365835222977</v>
      </c>
      <c r="J201" s="130">
        <f>I201*A199</f>
        <v>67213.75</v>
      </c>
      <c r="K201" s="130">
        <v>67213.75</v>
      </c>
      <c r="L201" s="130">
        <f>K201-J201</f>
        <v>0</v>
      </c>
    </row>
    <row r="202" spans="1:12">
      <c r="A202" s="104" t="s">
        <v>74</v>
      </c>
      <c r="B202" s="11" t="s">
        <v>20</v>
      </c>
      <c r="C202" s="28" t="s">
        <v>24</v>
      </c>
      <c r="D202" s="60">
        <v>1000</v>
      </c>
      <c r="E202" s="138">
        <f>247*8*(A204/1973)</f>
        <v>47672.377090724789</v>
      </c>
      <c r="F202" s="45">
        <f>E202/A204</f>
        <v>1.001520527116067</v>
      </c>
      <c r="G202" s="32">
        <f>D202/E202*F202</f>
        <v>2.100840336134454E-2</v>
      </c>
      <c r="H202" s="144">
        <v>8.1377500000000005</v>
      </c>
      <c r="I202" s="88">
        <f>H202*G202</f>
        <v>0.17096113445378153</v>
      </c>
      <c r="J202" s="121"/>
      <c r="K202" s="130"/>
      <c r="L202" s="121"/>
    </row>
    <row r="203" spans="1:12">
      <c r="A203" s="105" t="s">
        <v>95</v>
      </c>
      <c r="B203" s="5" t="s">
        <v>21</v>
      </c>
      <c r="C203" s="29" t="s">
        <v>25</v>
      </c>
      <c r="D203" s="8">
        <v>30</v>
      </c>
      <c r="E203" s="139">
        <f>247*8*(A204/1973)</f>
        <v>47672.377090724789</v>
      </c>
      <c r="F203" s="26">
        <f>E203/A204</f>
        <v>1.001520527116067</v>
      </c>
      <c r="G203" s="32">
        <f>D203/E203*F203</f>
        <v>6.3025210084033606E-4</v>
      </c>
      <c r="H203" s="145">
        <v>1849.56</v>
      </c>
      <c r="I203" s="88">
        <f t="shared" ref="I203:I205" si="70">H203*G203</f>
        <v>1.165689075630252</v>
      </c>
      <c r="J203" s="121"/>
      <c r="K203" s="130"/>
      <c r="L203" s="121"/>
    </row>
    <row r="204" spans="1:12">
      <c r="A204" s="106">
        <v>47600</v>
      </c>
      <c r="B204" s="27" t="s">
        <v>22</v>
      </c>
      <c r="C204" s="30" t="s">
        <v>26</v>
      </c>
      <c r="D204" s="27">
        <v>30</v>
      </c>
      <c r="E204" s="139">
        <f>247*8*(A204/1973)</f>
        <v>47672.377090724789</v>
      </c>
      <c r="F204" s="26">
        <f>E204/A204</f>
        <v>1.001520527116067</v>
      </c>
      <c r="G204" s="32">
        <f t="shared" ref="G204:G205" si="71">D204/E204*F204</f>
        <v>6.3025210084033606E-4</v>
      </c>
      <c r="H204" s="146">
        <v>54.38</v>
      </c>
      <c r="I204" s="88">
        <f t="shared" si="70"/>
        <v>3.4273109243697475E-2</v>
      </c>
      <c r="J204" s="121"/>
      <c r="K204" s="130"/>
      <c r="L204" s="121"/>
    </row>
    <row r="205" spans="1:12">
      <c r="A205" s="107"/>
      <c r="B205" s="27" t="s">
        <v>23</v>
      </c>
      <c r="C205" s="30" t="s">
        <v>26</v>
      </c>
      <c r="D205" s="27">
        <v>30</v>
      </c>
      <c r="E205" s="139">
        <f>247*8*(A204/1973)</f>
        <v>47672.377090724789</v>
      </c>
      <c r="F205" s="26">
        <f>E205/A204</f>
        <v>1.001520527116067</v>
      </c>
      <c r="G205" s="32">
        <f t="shared" si="71"/>
        <v>6.3025210084033606E-4</v>
      </c>
      <c r="H205" s="146">
        <v>65.260000000000005</v>
      </c>
      <c r="I205" s="88">
        <f t="shared" si="70"/>
        <v>4.1130252100840335E-2</v>
      </c>
      <c r="J205" s="121"/>
      <c r="K205" s="130"/>
      <c r="L205" s="121"/>
    </row>
    <row r="206" spans="1:12" s="1" customFormat="1" ht="15.75" thickBot="1">
      <c r="A206" s="108"/>
      <c r="B206" s="18"/>
      <c r="C206" s="18"/>
      <c r="D206" s="18"/>
      <c r="E206" s="95"/>
      <c r="F206" s="18"/>
      <c r="G206" s="33"/>
      <c r="H206" s="147"/>
      <c r="I206" s="87">
        <f>SUM(I202:I205)</f>
        <v>1.4120535714285714</v>
      </c>
      <c r="J206" s="130">
        <f>I206*A204</f>
        <v>67213.75</v>
      </c>
      <c r="K206" s="130">
        <v>67213.75</v>
      </c>
      <c r="L206" s="130">
        <f>K206-J206</f>
        <v>0</v>
      </c>
    </row>
    <row r="207" spans="1:12" s="1" customFormat="1">
      <c r="A207" s="109"/>
      <c r="B207" s="40"/>
      <c r="C207" s="40"/>
      <c r="D207" s="40"/>
      <c r="E207" s="123"/>
      <c r="F207" s="40"/>
      <c r="G207" s="61"/>
      <c r="H207" s="148"/>
      <c r="I207" s="75"/>
      <c r="J207" s="130"/>
      <c r="K207" s="130"/>
      <c r="L207" s="130"/>
    </row>
    <row r="208" spans="1:12" s="1" customFormat="1">
      <c r="A208" s="109"/>
      <c r="B208" s="40"/>
      <c r="C208" s="40"/>
      <c r="D208" s="40"/>
      <c r="E208" s="123"/>
      <c r="F208" s="40"/>
      <c r="G208" s="61"/>
      <c r="H208" s="148"/>
      <c r="I208" s="75"/>
      <c r="J208" s="130"/>
      <c r="K208" s="130"/>
      <c r="L208" s="130"/>
    </row>
    <row r="209" spans="1:20" s="1" customFormat="1">
      <c r="A209" s="109"/>
      <c r="B209" s="40"/>
      <c r="C209" s="40"/>
      <c r="D209" s="40"/>
      <c r="E209" s="123"/>
      <c r="F209" s="40"/>
      <c r="G209" s="61"/>
      <c r="H209" s="148"/>
      <c r="I209" s="75"/>
      <c r="J209" s="130"/>
      <c r="K209" s="130"/>
      <c r="L209" s="130"/>
    </row>
    <row r="210" spans="1:20" s="1" customFormat="1">
      <c r="A210" s="109"/>
      <c r="B210" s="40"/>
      <c r="C210" s="40"/>
      <c r="D210" s="40"/>
      <c r="E210" s="123"/>
      <c r="F210" s="40"/>
      <c r="G210" s="61"/>
      <c r="H210" s="148"/>
      <c r="I210" s="75"/>
      <c r="J210" s="130"/>
      <c r="K210" s="130"/>
      <c r="L210" s="130"/>
    </row>
    <row r="211" spans="1:20" s="1" customFormat="1">
      <c r="A211" s="109"/>
      <c r="B211" s="40"/>
      <c r="C211" s="40"/>
      <c r="D211" s="40"/>
      <c r="E211" s="123"/>
      <c r="F211" s="40"/>
      <c r="G211" s="61"/>
      <c r="H211" s="148"/>
      <c r="I211" s="75"/>
      <c r="J211" s="130"/>
      <c r="K211" s="130"/>
      <c r="L211" s="130"/>
    </row>
    <row r="212" spans="1:20" s="1" customFormat="1">
      <c r="A212" s="109"/>
      <c r="B212" s="40"/>
      <c r="C212" s="40"/>
      <c r="D212" s="40"/>
      <c r="E212" s="123"/>
      <c r="F212" s="40"/>
      <c r="G212" s="61"/>
      <c r="H212" s="148"/>
      <c r="I212" s="75"/>
      <c r="J212" s="130"/>
      <c r="K212" s="130"/>
      <c r="L212" s="130"/>
    </row>
    <row r="213" spans="1:20" s="1" customFormat="1">
      <c r="A213" s="109"/>
      <c r="B213" s="40"/>
      <c r="C213" s="41"/>
      <c r="D213" s="40"/>
      <c r="E213" s="123"/>
      <c r="F213" s="40"/>
      <c r="G213" s="39"/>
      <c r="H213" s="148"/>
      <c r="I213" s="75"/>
      <c r="J213" s="121"/>
      <c r="K213" s="121"/>
      <c r="L213" s="121"/>
    </row>
    <row r="214" spans="1:20" ht="19.5" thickBot="1">
      <c r="A214" s="100" t="s">
        <v>80</v>
      </c>
      <c r="I214" s="72"/>
      <c r="J214" s="121"/>
      <c r="K214" s="121"/>
      <c r="L214" s="121"/>
      <c r="T214" s="1"/>
    </row>
    <row r="215" spans="1:20" ht="105">
      <c r="A215" s="102" t="s">
        <v>2</v>
      </c>
      <c r="B215" s="21" t="s">
        <v>19</v>
      </c>
      <c r="C215" s="21" t="s">
        <v>14</v>
      </c>
      <c r="D215" s="21" t="s">
        <v>16</v>
      </c>
      <c r="E215" s="133" t="s">
        <v>27</v>
      </c>
      <c r="F215" s="21" t="s">
        <v>65</v>
      </c>
      <c r="G215" s="21" t="s">
        <v>29</v>
      </c>
      <c r="H215" s="133" t="s">
        <v>30</v>
      </c>
      <c r="I215" s="77" t="s">
        <v>11</v>
      </c>
      <c r="J215" s="129" t="s">
        <v>33</v>
      </c>
      <c r="K215" s="129" t="s">
        <v>34</v>
      </c>
      <c r="L215" s="129"/>
    </row>
    <row r="216" spans="1:20" ht="15.75" thickBot="1">
      <c r="A216" s="103">
        <v>1</v>
      </c>
      <c r="B216" s="23">
        <v>2</v>
      </c>
      <c r="C216" s="23">
        <v>3</v>
      </c>
      <c r="D216" s="23">
        <v>4</v>
      </c>
      <c r="E216" s="137">
        <v>5</v>
      </c>
      <c r="F216" s="23" t="s">
        <v>53</v>
      </c>
      <c r="G216" s="23" t="s">
        <v>31</v>
      </c>
      <c r="H216" s="143">
        <v>8</v>
      </c>
      <c r="I216" s="78" t="s">
        <v>32</v>
      </c>
      <c r="J216" s="121"/>
      <c r="K216" s="121"/>
      <c r="L216" s="121"/>
    </row>
    <row r="217" spans="1:20">
      <c r="A217" s="104" t="s">
        <v>64</v>
      </c>
      <c r="B217" s="11" t="s">
        <v>20</v>
      </c>
      <c r="C217" s="28" t="s">
        <v>24</v>
      </c>
      <c r="D217" s="46">
        <v>100</v>
      </c>
      <c r="E217" s="138">
        <f>247*8*(A219/1973)</f>
        <v>25.038013177901671</v>
      </c>
      <c r="F217" s="45">
        <f>E217/A219</f>
        <v>1.0015205271160668</v>
      </c>
      <c r="G217" s="32">
        <f>D217/E217*F217</f>
        <v>3.9999999999999996</v>
      </c>
      <c r="H217" s="144">
        <v>8.1377500000000005</v>
      </c>
      <c r="I217" s="88">
        <f>H217*G217</f>
        <v>32.550999999999995</v>
      </c>
      <c r="J217" s="121"/>
      <c r="K217" s="121"/>
      <c r="L217" s="121"/>
    </row>
    <row r="218" spans="1:20">
      <c r="A218" s="105" t="s">
        <v>66</v>
      </c>
      <c r="B218" s="5" t="s">
        <v>21</v>
      </c>
      <c r="C218" s="29" t="s">
        <v>25</v>
      </c>
      <c r="D218" s="8">
        <v>10</v>
      </c>
      <c r="E218" s="139">
        <f>247*8*(A219/1973)</f>
        <v>25.038013177901671</v>
      </c>
      <c r="F218" s="26">
        <f>E218/A219</f>
        <v>1.0015205271160668</v>
      </c>
      <c r="G218" s="32">
        <f>D218/E218*F218</f>
        <v>0.39999999999999997</v>
      </c>
      <c r="H218" s="145">
        <v>1849.56</v>
      </c>
      <c r="I218" s="88">
        <f t="shared" ref="I218:I219" si="72">H218*G218</f>
        <v>739.82399999999996</v>
      </c>
      <c r="J218" s="121"/>
      <c r="K218" s="121"/>
      <c r="L218" s="121"/>
    </row>
    <row r="219" spans="1:20">
      <c r="A219" s="106">
        <v>25</v>
      </c>
      <c r="B219" s="27" t="s">
        <v>22</v>
      </c>
      <c r="C219" s="30" t="s">
        <v>26</v>
      </c>
      <c r="D219" s="27">
        <v>30</v>
      </c>
      <c r="E219" s="139">
        <f>247*8*(A219/1973)</f>
        <v>25.038013177901671</v>
      </c>
      <c r="F219" s="26">
        <f>E219/A219</f>
        <v>1.0015205271160668</v>
      </c>
      <c r="G219" s="32">
        <f t="shared" ref="G219:G220" si="73">D219/E219*F219</f>
        <v>1.2</v>
      </c>
      <c r="H219" s="146">
        <v>54.38</v>
      </c>
      <c r="I219" s="88">
        <f t="shared" si="72"/>
        <v>65.256</v>
      </c>
      <c r="J219" s="121"/>
      <c r="K219" s="121"/>
      <c r="L219" s="121"/>
    </row>
    <row r="220" spans="1:20">
      <c r="A220" s="107" t="s">
        <v>108</v>
      </c>
      <c r="B220" s="27" t="s">
        <v>23</v>
      </c>
      <c r="C220" s="30" t="s">
        <v>26</v>
      </c>
      <c r="D220" s="27">
        <v>30</v>
      </c>
      <c r="E220" s="139">
        <f>247*8*(A219/1973)</f>
        <v>25.038013177901671</v>
      </c>
      <c r="F220" s="26">
        <f>E220/A219</f>
        <v>1.0015205271160668</v>
      </c>
      <c r="G220" s="32">
        <f t="shared" si="73"/>
        <v>1.2</v>
      </c>
      <c r="H220" s="146">
        <v>65.260000000000005</v>
      </c>
      <c r="I220" s="88">
        <f>H220*G220</f>
        <v>78.311999999999998</v>
      </c>
      <c r="J220" s="121"/>
      <c r="K220" s="121"/>
      <c r="L220" s="121"/>
    </row>
    <row r="221" spans="1:20" s="1" customFormat="1" ht="15.75" thickBot="1">
      <c r="A221" s="108"/>
      <c r="B221" s="18"/>
      <c r="C221" s="18"/>
      <c r="D221" s="18"/>
      <c r="E221" s="95"/>
      <c r="F221" s="18"/>
      <c r="G221" s="33"/>
      <c r="H221" s="147"/>
      <c r="I221" s="87">
        <f>SUM(I217:I220)</f>
        <v>915.94299999999998</v>
      </c>
      <c r="J221" s="149">
        <f>I221*A219</f>
        <v>22898.575000000001</v>
      </c>
      <c r="K221" s="149">
        <v>22898.575000000001</v>
      </c>
      <c r="L221" s="130">
        <f>K221-J221</f>
        <v>0</v>
      </c>
    </row>
    <row r="222" spans="1:20">
      <c r="A222" s="104" t="s">
        <v>64</v>
      </c>
      <c r="B222" s="11" t="s">
        <v>20</v>
      </c>
      <c r="C222" s="28" t="s">
        <v>24</v>
      </c>
      <c r="D222" s="46">
        <v>100</v>
      </c>
      <c r="E222" s="138">
        <f>247*8*(A224/1973)</f>
        <v>58.088190572731882</v>
      </c>
      <c r="F222" s="45">
        <f>E222/A224</f>
        <v>1.001520527116067</v>
      </c>
      <c r="G222" s="32">
        <f>D222/E222*F222</f>
        <v>1.7241379310344829</v>
      </c>
      <c r="H222" s="144">
        <v>8.1377500000000005</v>
      </c>
      <c r="I222" s="88">
        <f>H222*G222</f>
        <v>14.030603448275864</v>
      </c>
      <c r="J222" s="121"/>
      <c r="K222" s="121"/>
      <c r="L222" s="121"/>
    </row>
    <row r="223" spans="1:20">
      <c r="A223" s="105" t="s">
        <v>66</v>
      </c>
      <c r="B223" s="5" t="s">
        <v>21</v>
      </c>
      <c r="C223" s="29" t="s">
        <v>25</v>
      </c>
      <c r="D223" s="8">
        <v>10</v>
      </c>
      <c r="E223" s="139">
        <f>247*8*(A224/1973)</f>
        <v>58.088190572731882</v>
      </c>
      <c r="F223" s="26">
        <f>E223/A224</f>
        <v>1.001520527116067</v>
      </c>
      <c r="G223" s="32">
        <f>D223/E223*F223</f>
        <v>0.17241379310344829</v>
      </c>
      <c r="H223" s="145">
        <v>1849.56</v>
      </c>
      <c r="I223" s="88">
        <f t="shared" ref="I223:I224" si="74">H223*G223</f>
        <v>318.88965517241382</v>
      </c>
      <c r="J223" s="121"/>
      <c r="K223" s="121"/>
      <c r="L223" s="121"/>
    </row>
    <row r="224" spans="1:20">
      <c r="A224" s="106">
        <v>58</v>
      </c>
      <c r="B224" s="27" t="s">
        <v>22</v>
      </c>
      <c r="C224" s="30" t="s">
        <v>26</v>
      </c>
      <c r="D224" s="27">
        <v>30</v>
      </c>
      <c r="E224" s="139">
        <f>247*8*(A224/1973)</f>
        <v>58.088190572731882</v>
      </c>
      <c r="F224" s="26">
        <f>E224/A224</f>
        <v>1.001520527116067</v>
      </c>
      <c r="G224" s="32">
        <f t="shared" ref="G224:G225" si="75">D224/E224*F224</f>
        <v>0.51724137931034486</v>
      </c>
      <c r="H224" s="146">
        <v>54.38</v>
      </c>
      <c r="I224" s="88">
        <f t="shared" si="74"/>
        <v>28.127586206896556</v>
      </c>
      <c r="J224" s="121"/>
      <c r="K224" s="121"/>
      <c r="L224" s="121"/>
    </row>
    <row r="225" spans="1:12">
      <c r="A225" s="107" t="s">
        <v>109</v>
      </c>
      <c r="B225" s="27" t="s">
        <v>23</v>
      </c>
      <c r="C225" s="30" t="s">
        <v>26</v>
      </c>
      <c r="D225" s="27">
        <v>30</v>
      </c>
      <c r="E225" s="139">
        <f>247*8*(A224/1973)</f>
        <v>58.088190572731882</v>
      </c>
      <c r="F225" s="26">
        <f>E225/A224</f>
        <v>1.001520527116067</v>
      </c>
      <c r="G225" s="32">
        <f t="shared" si="75"/>
        <v>0.51724137931034486</v>
      </c>
      <c r="H225" s="146">
        <v>65.260000000000005</v>
      </c>
      <c r="I225" s="88">
        <f>H225*G225</f>
        <v>33.755172413793112</v>
      </c>
      <c r="J225" s="121"/>
      <c r="K225" s="121"/>
      <c r="L225" s="121"/>
    </row>
    <row r="226" spans="1:12" s="1" customFormat="1" ht="15.75" thickBot="1">
      <c r="A226" s="108"/>
      <c r="B226" s="18"/>
      <c r="C226" s="18"/>
      <c r="D226" s="18"/>
      <c r="E226" s="95"/>
      <c r="F226" s="18"/>
      <c r="G226" s="33"/>
      <c r="H226" s="147"/>
      <c r="I226" s="87">
        <f>SUM(I222:I225)</f>
        <v>394.80301724137939</v>
      </c>
      <c r="J226" s="130">
        <f>I226*A224</f>
        <v>22898.575000000004</v>
      </c>
      <c r="K226" s="149">
        <v>22898.575000000001</v>
      </c>
      <c r="L226" s="130">
        <f>K226-J226</f>
        <v>0</v>
      </c>
    </row>
    <row r="227" spans="1:12">
      <c r="A227" s="104" t="s">
        <v>64</v>
      </c>
      <c r="B227" s="11" t="s">
        <v>20</v>
      </c>
      <c r="C227" s="28" t="s">
        <v>24</v>
      </c>
      <c r="D227" s="46">
        <v>100</v>
      </c>
      <c r="E227" s="138">
        <f>247*8*(A229/1973)</f>
        <v>3.0045615813482009</v>
      </c>
      <c r="F227" s="45">
        <f>E227/A229</f>
        <v>1.001520527116067</v>
      </c>
      <c r="G227" s="32">
        <f>D227/E227*F227</f>
        <v>33.333333333333336</v>
      </c>
      <c r="H227" s="144">
        <v>8.1377500000000005</v>
      </c>
      <c r="I227" s="88">
        <f>H227*G227</f>
        <v>271.25833333333338</v>
      </c>
      <c r="J227" s="121"/>
      <c r="K227" s="121"/>
      <c r="L227" s="121"/>
    </row>
    <row r="228" spans="1:12">
      <c r="A228" s="105" t="s">
        <v>66</v>
      </c>
      <c r="B228" s="5" t="s">
        <v>21</v>
      </c>
      <c r="C228" s="29" t="s">
        <v>25</v>
      </c>
      <c r="D228" s="8">
        <v>10</v>
      </c>
      <c r="E228" s="139">
        <f>247*8*(A229/1973)</f>
        <v>3.0045615813482009</v>
      </c>
      <c r="F228" s="26">
        <f>E228/A229</f>
        <v>1.001520527116067</v>
      </c>
      <c r="G228" s="32">
        <f>D228/E228*F228</f>
        <v>3.333333333333333</v>
      </c>
      <c r="H228" s="145">
        <v>1849.56</v>
      </c>
      <c r="I228" s="88">
        <f t="shared" ref="I228:I229" si="76">H228*G228</f>
        <v>6165.1999999999989</v>
      </c>
      <c r="J228" s="121"/>
      <c r="K228" s="121"/>
      <c r="L228" s="121"/>
    </row>
    <row r="229" spans="1:12">
      <c r="A229" s="106">
        <v>3</v>
      </c>
      <c r="B229" s="27" t="s">
        <v>22</v>
      </c>
      <c r="C229" s="30" t="s">
        <v>26</v>
      </c>
      <c r="D229" s="27">
        <v>30</v>
      </c>
      <c r="E229" s="139">
        <f>247*8*(A229/1973)</f>
        <v>3.0045615813482009</v>
      </c>
      <c r="F229" s="26">
        <f>E229/A229</f>
        <v>1.001520527116067</v>
      </c>
      <c r="G229" s="32">
        <f t="shared" ref="G229:G230" si="77">D229/E229*F229</f>
        <v>10</v>
      </c>
      <c r="H229" s="146">
        <v>54.38</v>
      </c>
      <c r="I229" s="88">
        <f t="shared" si="76"/>
        <v>543.80000000000007</v>
      </c>
      <c r="J229" s="121"/>
      <c r="K229" s="121"/>
      <c r="L229" s="121"/>
    </row>
    <row r="230" spans="1:12">
      <c r="A230" s="107" t="s">
        <v>110</v>
      </c>
      <c r="B230" s="27" t="s">
        <v>23</v>
      </c>
      <c r="C230" s="30" t="s">
        <v>26</v>
      </c>
      <c r="D230" s="27">
        <v>30</v>
      </c>
      <c r="E230" s="139">
        <f>247*8*(A229/1973)</f>
        <v>3.0045615813482009</v>
      </c>
      <c r="F230" s="26">
        <f>E230/A229</f>
        <v>1.001520527116067</v>
      </c>
      <c r="G230" s="32">
        <f t="shared" si="77"/>
        <v>10</v>
      </c>
      <c r="H230" s="146">
        <v>65.260000000000005</v>
      </c>
      <c r="I230" s="88">
        <f>H230*G230</f>
        <v>652.6</v>
      </c>
      <c r="J230" s="121"/>
      <c r="K230" s="121"/>
      <c r="L230" s="121"/>
    </row>
    <row r="231" spans="1:12" s="1" customFormat="1" ht="15.75" thickBot="1">
      <c r="A231" s="108"/>
      <c r="B231" s="18"/>
      <c r="C231" s="18"/>
      <c r="D231" s="18"/>
      <c r="E231" s="95"/>
      <c r="F231" s="18"/>
      <c r="G231" s="33"/>
      <c r="H231" s="147"/>
      <c r="I231" s="87">
        <f>SUM(I227:I230)</f>
        <v>7632.8583333333327</v>
      </c>
      <c r="J231" s="130">
        <f>I231*A229</f>
        <v>22898.574999999997</v>
      </c>
      <c r="K231" s="149">
        <v>22898.575000000001</v>
      </c>
      <c r="L231" s="130">
        <f>K231-J231</f>
        <v>0</v>
      </c>
    </row>
    <row r="232" spans="1:12">
      <c r="A232" s="104" t="s">
        <v>67</v>
      </c>
      <c r="B232" s="11" t="s">
        <v>20</v>
      </c>
      <c r="C232" s="28" t="s">
        <v>24</v>
      </c>
      <c r="D232" s="46">
        <v>100</v>
      </c>
      <c r="E232" s="138">
        <f>247*8*(A234/1973)</f>
        <v>19.02889001520527</v>
      </c>
      <c r="F232" s="45">
        <f>E232/A234</f>
        <v>1.0015205271160668</v>
      </c>
      <c r="G232" s="32">
        <f>D232/E232*F232</f>
        <v>5.2631578947368416</v>
      </c>
      <c r="H232" s="144">
        <v>8.1377500000000005</v>
      </c>
      <c r="I232" s="88">
        <f>H232*G232</f>
        <v>42.830263157894734</v>
      </c>
      <c r="J232" s="121"/>
      <c r="K232" s="121"/>
      <c r="L232" s="121"/>
    </row>
    <row r="233" spans="1:12">
      <c r="A233" s="105" t="s">
        <v>66</v>
      </c>
      <c r="B233" s="5" t="s">
        <v>21</v>
      </c>
      <c r="C233" s="29" t="s">
        <v>25</v>
      </c>
      <c r="D233" s="8">
        <v>10</v>
      </c>
      <c r="E233" s="139">
        <f>247*8*(A234/1973)</f>
        <v>19.02889001520527</v>
      </c>
      <c r="F233" s="26">
        <f>E233/A234</f>
        <v>1.0015205271160668</v>
      </c>
      <c r="G233" s="32">
        <f>D233/E233*F233</f>
        <v>0.52631578947368418</v>
      </c>
      <c r="H233" s="145">
        <v>1849.56</v>
      </c>
      <c r="I233" s="88">
        <f t="shared" ref="I233:I235" si="78">H233*G233</f>
        <v>973.45263157894726</v>
      </c>
      <c r="J233" s="121"/>
      <c r="K233" s="121"/>
      <c r="L233" s="121"/>
    </row>
    <row r="234" spans="1:12">
      <c r="A234" s="106">
        <v>19</v>
      </c>
      <c r="B234" s="27" t="s">
        <v>22</v>
      </c>
      <c r="C234" s="30" t="s">
        <v>26</v>
      </c>
      <c r="D234" s="27">
        <v>30</v>
      </c>
      <c r="E234" s="139">
        <f>247*8*(A234/1973)</f>
        <v>19.02889001520527</v>
      </c>
      <c r="F234" s="26">
        <f>E234/A234</f>
        <v>1.0015205271160668</v>
      </c>
      <c r="G234" s="32">
        <f t="shared" ref="G234:G235" si="79">D234/E234*F234</f>
        <v>1.5789473684210524</v>
      </c>
      <c r="H234" s="146">
        <v>54.38</v>
      </c>
      <c r="I234" s="88">
        <f t="shared" si="78"/>
        <v>85.86315789473683</v>
      </c>
      <c r="J234" s="121"/>
      <c r="K234" s="121"/>
      <c r="L234" s="121"/>
    </row>
    <row r="235" spans="1:12">
      <c r="A235" s="107" t="s">
        <v>108</v>
      </c>
      <c r="B235" s="27" t="s">
        <v>23</v>
      </c>
      <c r="C235" s="30" t="s">
        <v>26</v>
      </c>
      <c r="D235" s="27">
        <v>30</v>
      </c>
      <c r="E235" s="139">
        <f>247*8*(A234/1973)</f>
        <v>19.02889001520527</v>
      </c>
      <c r="F235" s="26">
        <f>E235/A234</f>
        <v>1.0015205271160668</v>
      </c>
      <c r="G235" s="32">
        <f t="shared" si="79"/>
        <v>1.5789473684210524</v>
      </c>
      <c r="H235" s="146">
        <v>65.260000000000005</v>
      </c>
      <c r="I235" s="88">
        <f t="shared" si="78"/>
        <v>103.04210526315789</v>
      </c>
      <c r="J235" s="121"/>
      <c r="K235" s="121"/>
      <c r="L235" s="121"/>
    </row>
    <row r="236" spans="1:12" s="1" customFormat="1" ht="15.75" thickBot="1">
      <c r="A236" s="108"/>
      <c r="B236" s="18"/>
      <c r="C236" s="18"/>
      <c r="D236" s="18"/>
      <c r="E236" s="95"/>
      <c r="F236" s="18"/>
      <c r="G236" s="33"/>
      <c r="H236" s="147"/>
      <c r="I236" s="87">
        <f>SUM(I232:I235)</f>
        <v>1205.1881578947368</v>
      </c>
      <c r="J236" s="130">
        <f>I236*A234</f>
        <v>22898.575000000001</v>
      </c>
      <c r="K236" s="149">
        <v>22898.575000000001</v>
      </c>
      <c r="L236" s="130">
        <f>K236-J236</f>
        <v>0</v>
      </c>
    </row>
    <row r="237" spans="1:12">
      <c r="A237" s="104" t="s">
        <v>67</v>
      </c>
      <c r="B237" s="11" t="s">
        <v>20</v>
      </c>
      <c r="C237" s="28" t="s">
        <v>24</v>
      </c>
      <c r="D237" s="46">
        <v>100</v>
      </c>
      <c r="E237" s="138">
        <f>247*8*(A239/1973)</f>
        <v>75.114039533705011</v>
      </c>
      <c r="F237" s="45">
        <f>E237/A239</f>
        <v>1.0015205271160668</v>
      </c>
      <c r="G237" s="32">
        <f>D237/E237*F237</f>
        <v>1.3333333333333333</v>
      </c>
      <c r="H237" s="144">
        <v>8.1377500000000005</v>
      </c>
      <c r="I237" s="88">
        <f>H237*G237</f>
        <v>10.850333333333333</v>
      </c>
      <c r="J237" s="121"/>
      <c r="K237" s="130"/>
      <c r="L237" s="121"/>
    </row>
    <row r="238" spans="1:12">
      <c r="A238" s="105" t="s">
        <v>66</v>
      </c>
      <c r="B238" s="5" t="s">
        <v>21</v>
      </c>
      <c r="C238" s="29" t="s">
        <v>25</v>
      </c>
      <c r="D238" s="8">
        <v>10</v>
      </c>
      <c r="E238" s="139">
        <f>247*8*(A239/1973)</f>
        <v>75.114039533705011</v>
      </c>
      <c r="F238" s="26">
        <f>E238/A239</f>
        <v>1.0015205271160668</v>
      </c>
      <c r="G238" s="32">
        <f>D238/E238*F238</f>
        <v>0.1333333333333333</v>
      </c>
      <c r="H238" s="145">
        <v>1849.56</v>
      </c>
      <c r="I238" s="88">
        <f t="shared" ref="I238:I240" si="80">H238*G238</f>
        <v>246.60799999999995</v>
      </c>
      <c r="J238" s="121"/>
      <c r="K238" s="130"/>
      <c r="L238" s="121"/>
    </row>
    <row r="239" spans="1:12">
      <c r="A239" s="106">
        <v>75</v>
      </c>
      <c r="B239" s="27" t="s">
        <v>22</v>
      </c>
      <c r="C239" s="30" t="s">
        <v>26</v>
      </c>
      <c r="D239" s="27">
        <v>30</v>
      </c>
      <c r="E239" s="139">
        <f>247*8*(A239/1973)</f>
        <v>75.114039533705011</v>
      </c>
      <c r="F239" s="26">
        <f>E239/A239</f>
        <v>1.0015205271160668</v>
      </c>
      <c r="G239" s="32">
        <f t="shared" ref="G239:G240" si="81">D239/E239*F239</f>
        <v>0.39999999999999997</v>
      </c>
      <c r="H239" s="146">
        <v>54.38</v>
      </c>
      <c r="I239" s="88">
        <f t="shared" si="80"/>
        <v>21.751999999999999</v>
      </c>
      <c r="J239" s="121"/>
      <c r="K239" s="130"/>
      <c r="L239" s="121"/>
    </row>
    <row r="240" spans="1:12">
      <c r="A240" s="107" t="s">
        <v>109</v>
      </c>
      <c r="B240" s="27" t="s">
        <v>23</v>
      </c>
      <c r="C240" s="30" t="s">
        <v>26</v>
      </c>
      <c r="D240" s="27">
        <v>30</v>
      </c>
      <c r="E240" s="139">
        <f>247*8*(A239/1973)</f>
        <v>75.114039533705011</v>
      </c>
      <c r="F240" s="26">
        <f>E240/A239</f>
        <v>1.0015205271160668</v>
      </c>
      <c r="G240" s="32">
        <f t="shared" si="81"/>
        <v>0.39999999999999997</v>
      </c>
      <c r="H240" s="146">
        <v>65.260000000000005</v>
      </c>
      <c r="I240" s="88">
        <f t="shared" si="80"/>
        <v>26.103999999999999</v>
      </c>
      <c r="J240" s="121"/>
      <c r="K240" s="130"/>
      <c r="L240" s="121"/>
    </row>
    <row r="241" spans="1:12" s="1" customFormat="1" ht="15.75" thickBot="1">
      <c r="A241" s="108"/>
      <c r="B241" s="18"/>
      <c r="C241" s="18"/>
      <c r="D241" s="18"/>
      <c r="E241" s="95"/>
      <c r="F241" s="18"/>
      <c r="G241" s="33"/>
      <c r="H241" s="147"/>
      <c r="I241" s="87">
        <f>SUM(I237:I240)</f>
        <v>305.31433333333325</v>
      </c>
      <c r="J241" s="130">
        <f>I241*A239</f>
        <v>22898.574999999993</v>
      </c>
      <c r="K241" s="149">
        <v>22898.575000000001</v>
      </c>
      <c r="L241" s="130">
        <f>K241-J241</f>
        <v>0</v>
      </c>
    </row>
    <row r="242" spans="1:12">
      <c r="A242" s="104" t="s">
        <v>67</v>
      </c>
      <c r="B242" s="11" t="s">
        <v>20</v>
      </c>
      <c r="C242" s="28" t="s">
        <v>24</v>
      </c>
      <c r="D242" s="46">
        <v>100</v>
      </c>
      <c r="E242" s="138">
        <f>247*8*(A244/1973)</f>
        <v>7.0106436898124684</v>
      </c>
      <c r="F242" s="45">
        <f>E242/A244</f>
        <v>1.001520527116067</v>
      </c>
      <c r="G242" s="32">
        <f>D242/E242*F242</f>
        <v>14.285714285714286</v>
      </c>
      <c r="H242" s="144">
        <v>8.1377500000000005</v>
      </c>
      <c r="I242" s="88">
        <f>H242*G242</f>
        <v>116.25357142857145</v>
      </c>
      <c r="J242" s="121"/>
      <c r="K242" s="130"/>
      <c r="L242" s="121"/>
    </row>
    <row r="243" spans="1:12">
      <c r="A243" s="105" t="s">
        <v>66</v>
      </c>
      <c r="B243" s="5" t="s">
        <v>21</v>
      </c>
      <c r="C243" s="29" t="s">
        <v>25</v>
      </c>
      <c r="D243" s="8">
        <v>10</v>
      </c>
      <c r="E243" s="139">
        <f>247*8*(A244/1973)</f>
        <v>7.0106436898124684</v>
      </c>
      <c r="F243" s="26">
        <f>E243/A244</f>
        <v>1.001520527116067</v>
      </c>
      <c r="G243" s="32">
        <f>D243/E243*F243</f>
        <v>1.4285714285714288</v>
      </c>
      <c r="H243" s="145">
        <v>1849.56</v>
      </c>
      <c r="I243" s="88">
        <f t="shared" ref="I243:I245" si="82">H243*G243</f>
        <v>2642.2285714285717</v>
      </c>
      <c r="J243" s="121"/>
      <c r="K243" s="130"/>
      <c r="L243" s="121"/>
    </row>
    <row r="244" spans="1:12">
      <c r="A244" s="106">
        <v>7</v>
      </c>
      <c r="B244" s="27" t="s">
        <v>22</v>
      </c>
      <c r="C244" s="30" t="s">
        <v>26</v>
      </c>
      <c r="D244" s="27">
        <v>30</v>
      </c>
      <c r="E244" s="139">
        <f>247*8*(A244/1973)</f>
        <v>7.0106436898124684</v>
      </c>
      <c r="F244" s="26">
        <f>E244/A244</f>
        <v>1.001520527116067</v>
      </c>
      <c r="G244" s="32">
        <f t="shared" ref="G244:G245" si="83">D244/E244*F244</f>
        <v>4.2857142857142856</v>
      </c>
      <c r="H244" s="146">
        <v>54.38</v>
      </c>
      <c r="I244" s="88">
        <f t="shared" si="82"/>
        <v>233.05714285714285</v>
      </c>
      <c r="J244" s="121"/>
      <c r="K244" s="130"/>
      <c r="L244" s="121"/>
    </row>
    <row r="245" spans="1:12">
      <c r="A245" s="107" t="s">
        <v>110</v>
      </c>
      <c r="B245" s="27" t="s">
        <v>23</v>
      </c>
      <c r="C245" s="30" t="s">
        <v>26</v>
      </c>
      <c r="D245" s="27">
        <v>30</v>
      </c>
      <c r="E245" s="139">
        <f>247*8*(A244/1973)</f>
        <v>7.0106436898124684</v>
      </c>
      <c r="F245" s="26">
        <f>E245/A244</f>
        <v>1.001520527116067</v>
      </c>
      <c r="G245" s="32">
        <f t="shared" si="83"/>
        <v>4.2857142857142856</v>
      </c>
      <c r="H245" s="146">
        <v>65.260000000000005</v>
      </c>
      <c r="I245" s="88">
        <f t="shared" si="82"/>
        <v>279.68571428571431</v>
      </c>
      <c r="J245" s="121"/>
      <c r="K245" s="130"/>
      <c r="L245" s="121"/>
    </row>
    <row r="246" spans="1:12" s="1" customFormat="1" ht="15.75" thickBot="1">
      <c r="A246" s="108"/>
      <c r="B246" s="18"/>
      <c r="C246" s="18"/>
      <c r="D246" s="18"/>
      <c r="E246" s="95"/>
      <c r="F246" s="18"/>
      <c r="G246" s="33"/>
      <c r="H246" s="147"/>
      <c r="I246" s="87">
        <f>SUM(I242:I245)</f>
        <v>3271.2250000000004</v>
      </c>
      <c r="J246" s="130">
        <f>I246*A244</f>
        <v>22898.575000000004</v>
      </c>
      <c r="K246" s="149">
        <v>22898.575000000001</v>
      </c>
      <c r="L246" s="130">
        <f>K246-J246</f>
        <v>0</v>
      </c>
    </row>
    <row r="247" spans="1:12">
      <c r="A247" s="104" t="s">
        <v>68</v>
      </c>
      <c r="B247" s="11" t="s">
        <v>20</v>
      </c>
      <c r="C247" s="28" t="s">
        <v>24</v>
      </c>
      <c r="D247" s="46">
        <v>100</v>
      </c>
      <c r="E247" s="138">
        <f>247*8*(A249/1973)</f>
        <v>30.045615813482005</v>
      </c>
      <c r="F247" s="45">
        <f>E247/A249</f>
        <v>1.0015205271160668</v>
      </c>
      <c r="G247" s="32">
        <f>D247/E247*F247</f>
        <v>3.333333333333333</v>
      </c>
      <c r="H247" s="144">
        <v>8.1377500000000005</v>
      </c>
      <c r="I247" s="88">
        <f>H247*G247</f>
        <v>27.125833333333333</v>
      </c>
      <c r="J247" s="121"/>
      <c r="K247" s="130"/>
      <c r="L247" s="121"/>
    </row>
    <row r="248" spans="1:12">
      <c r="A248" s="105" t="s">
        <v>66</v>
      </c>
      <c r="B248" s="5" t="s">
        <v>21</v>
      </c>
      <c r="C248" s="29" t="s">
        <v>25</v>
      </c>
      <c r="D248" s="8">
        <v>10</v>
      </c>
      <c r="E248" s="139">
        <f>247*8*(A249/1973)</f>
        <v>30.045615813482005</v>
      </c>
      <c r="F248" s="26">
        <f>E248/A249</f>
        <v>1.0015205271160668</v>
      </c>
      <c r="G248" s="32">
        <f>D248/E248*F248</f>
        <v>0.33333333333333331</v>
      </c>
      <c r="H248" s="145">
        <v>1849.56</v>
      </c>
      <c r="I248" s="88">
        <f t="shared" ref="I248:I250" si="84">H248*G248</f>
        <v>616.52</v>
      </c>
      <c r="J248" s="121"/>
      <c r="K248" s="130"/>
      <c r="L248" s="121"/>
    </row>
    <row r="249" spans="1:12">
      <c r="A249" s="106">
        <v>30</v>
      </c>
      <c r="B249" s="27" t="s">
        <v>22</v>
      </c>
      <c r="C249" s="30" t="s">
        <v>26</v>
      </c>
      <c r="D249" s="27">
        <v>30</v>
      </c>
      <c r="E249" s="139">
        <f>247*8*(A249/1973)</f>
        <v>30.045615813482005</v>
      </c>
      <c r="F249" s="26">
        <f>E249/A249</f>
        <v>1.0015205271160668</v>
      </c>
      <c r="G249" s="32">
        <f t="shared" ref="G249:G250" si="85">D249/E249*F249</f>
        <v>1</v>
      </c>
      <c r="H249" s="146">
        <v>54.38</v>
      </c>
      <c r="I249" s="88">
        <f t="shared" si="84"/>
        <v>54.38</v>
      </c>
      <c r="J249" s="121"/>
      <c r="K249" s="130"/>
      <c r="L249" s="121"/>
    </row>
    <row r="250" spans="1:12">
      <c r="A250" s="107" t="s">
        <v>108</v>
      </c>
      <c r="B250" s="27" t="s">
        <v>23</v>
      </c>
      <c r="C250" s="30" t="s">
        <v>26</v>
      </c>
      <c r="D250" s="27">
        <v>30</v>
      </c>
      <c r="E250" s="139">
        <f>247*8*(A249/1973)</f>
        <v>30.045615813482005</v>
      </c>
      <c r="F250" s="26">
        <f>E250/A249</f>
        <v>1.0015205271160668</v>
      </c>
      <c r="G250" s="32">
        <f t="shared" si="85"/>
        <v>1</v>
      </c>
      <c r="H250" s="146">
        <v>65.260000000000005</v>
      </c>
      <c r="I250" s="88">
        <f t="shared" si="84"/>
        <v>65.260000000000005</v>
      </c>
      <c r="J250" s="121"/>
      <c r="K250" s="130"/>
      <c r="L250" s="121"/>
    </row>
    <row r="251" spans="1:12" s="1" customFormat="1" ht="15.75" thickBot="1">
      <c r="A251" s="108"/>
      <c r="B251" s="18"/>
      <c r="C251" s="18"/>
      <c r="D251" s="18"/>
      <c r="E251" s="95"/>
      <c r="F251" s="18"/>
      <c r="G251" s="33"/>
      <c r="H251" s="147"/>
      <c r="I251" s="87">
        <f>SUM(I247:I250)</f>
        <v>763.28583333333324</v>
      </c>
      <c r="J251" s="130">
        <f>I251*A249</f>
        <v>22898.574999999997</v>
      </c>
      <c r="K251" s="149">
        <v>22898.575000000001</v>
      </c>
      <c r="L251" s="130">
        <f>K251-J251</f>
        <v>0</v>
      </c>
    </row>
    <row r="252" spans="1:12">
      <c r="A252" s="104" t="s">
        <v>68</v>
      </c>
      <c r="B252" s="11" t="s">
        <v>20</v>
      </c>
      <c r="C252" s="28" t="s">
        <v>24</v>
      </c>
      <c r="D252" s="46">
        <v>100</v>
      </c>
      <c r="E252" s="138">
        <f>247*8*(A254/1973)</f>
        <v>116.17638114546376</v>
      </c>
      <c r="F252" s="45">
        <f>E252/A254</f>
        <v>1.001520527116067</v>
      </c>
      <c r="G252" s="32">
        <f>D252/E252*F252</f>
        <v>0.86206896551724144</v>
      </c>
      <c r="H252" s="144">
        <v>8.1377500000000005</v>
      </c>
      <c r="I252" s="88">
        <f>H252*G252</f>
        <v>7.0153017241379318</v>
      </c>
      <c r="J252" s="121"/>
      <c r="K252" s="130"/>
      <c r="L252" s="121"/>
    </row>
    <row r="253" spans="1:12">
      <c r="A253" s="105" t="s">
        <v>66</v>
      </c>
      <c r="B253" s="5" t="s">
        <v>21</v>
      </c>
      <c r="C253" s="29" t="s">
        <v>25</v>
      </c>
      <c r="D253" s="8">
        <v>10</v>
      </c>
      <c r="E253" s="139">
        <f>247*8*(A254/1973)</f>
        <v>116.17638114546376</v>
      </c>
      <c r="F253" s="26">
        <f>E253/A254</f>
        <v>1.001520527116067</v>
      </c>
      <c r="G253" s="32">
        <f>D253/E253*F253</f>
        <v>8.6206896551724144E-2</v>
      </c>
      <c r="H253" s="145">
        <v>1849.56</v>
      </c>
      <c r="I253" s="88">
        <f t="shared" ref="I253:I255" si="86">H253*G253</f>
        <v>159.44482758620691</v>
      </c>
      <c r="J253" s="121"/>
      <c r="K253" s="130"/>
      <c r="L253" s="121"/>
    </row>
    <row r="254" spans="1:12">
      <c r="A254" s="106">
        <v>116</v>
      </c>
      <c r="B254" s="27" t="s">
        <v>22</v>
      </c>
      <c r="C254" s="30" t="s">
        <v>26</v>
      </c>
      <c r="D254" s="27">
        <v>30</v>
      </c>
      <c r="E254" s="139">
        <f>247*8*(A254/1973)</f>
        <v>116.17638114546376</v>
      </c>
      <c r="F254" s="26">
        <f>E254/A254</f>
        <v>1.001520527116067</v>
      </c>
      <c r="G254" s="32">
        <f t="shared" ref="G254:G255" si="87">D254/E254*F254</f>
        <v>0.25862068965517243</v>
      </c>
      <c r="H254" s="146">
        <v>54.38</v>
      </c>
      <c r="I254" s="88">
        <f t="shared" si="86"/>
        <v>14.063793103448278</v>
      </c>
      <c r="J254" s="121"/>
      <c r="K254" s="130"/>
      <c r="L254" s="121"/>
    </row>
    <row r="255" spans="1:12">
      <c r="A255" s="107" t="s">
        <v>109</v>
      </c>
      <c r="B255" s="27" t="s">
        <v>23</v>
      </c>
      <c r="C255" s="30" t="s">
        <v>26</v>
      </c>
      <c r="D255" s="27">
        <v>30</v>
      </c>
      <c r="E255" s="139">
        <f>247*8*(A254/1973)</f>
        <v>116.17638114546376</v>
      </c>
      <c r="F255" s="26">
        <f>E255/A254</f>
        <v>1.001520527116067</v>
      </c>
      <c r="G255" s="32">
        <f t="shared" si="87"/>
        <v>0.25862068965517243</v>
      </c>
      <c r="H255" s="146">
        <v>65.260000000000005</v>
      </c>
      <c r="I255" s="88">
        <f t="shared" si="86"/>
        <v>16.877586206896556</v>
      </c>
      <c r="J255" s="121"/>
      <c r="K255" s="130"/>
      <c r="L255" s="121"/>
    </row>
    <row r="256" spans="1:12" s="1" customFormat="1" ht="15.75" thickBot="1">
      <c r="A256" s="108"/>
      <c r="B256" s="18"/>
      <c r="C256" s="18"/>
      <c r="D256" s="18"/>
      <c r="E256" s="95"/>
      <c r="F256" s="18"/>
      <c r="G256" s="33"/>
      <c r="H256" s="147"/>
      <c r="I256" s="87">
        <f>SUM(I252:I255)</f>
        <v>197.4015086206897</v>
      </c>
      <c r="J256" s="130">
        <f>I256*A254</f>
        <v>22898.575000000004</v>
      </c>
      <c r="K256" s="149">
        <v>22898.575000000001</v>
      </c>
      <c r="L256" s="130">
        <f>K256-J256</f>
        <v>0</v>
      </c>
    </row>
    <row r="257" spans="1:12">
      <c r="A257" s="104" t="s">
        <v>68</v>
      </c>
      <c r="B257" s="11" t="s">
        <v>20</v>
      </c>
      <c r="C257" s="28" t="s">
        <v>24</v>
      </c>
      <c r="D257" s="46">
        <v>100</v>
      </c>
      <c r="E257" s="138">
        <f>247*8*(A259/1973)</f>
        <v>2.003041054232134</v>
      </c>
      <c r="F257" s="45">
        <f>E257/A259</f>
        <v>1.001520527116067</v>
      </c>
      <c r="G257" s="32">
        <f>D257/E257*F257</f>
        <v>50</v>
      </c>
      <c r="H257" s="144">
        <v>8.1377500000000005</v>
      </c>
      <c r="I257" s="88">
        <f>H257*G257</f>
        <v>406.88750000000005</v>
      </c>
      <c r="J257" s="121"/>
      <c r="K257" s="130"/>
      <c r="L257" s="121"/>
    </row>
    <row r="258" spans="1:12">
      <c r="A258" s="105" t="s">
        <v>66</v>
      </c>
      <c r="B258" s="5" t="s">
        <v>21</v>
      </c>
      <c r="C258" s="29" t="s">
        <v>25</v>
      </c>
      <c r="D258" s="8">
        <v>10</v>
      </c>
      <c r="E258" s="139">
        <f>247*8*(A259/1973)</f>
        <v>2.003041054232134</v>
      </c>
      <c r="F258" s="26">
        <f>E258/A259</f>
        <v>1.001520527116067</v>
      </c>
      <c r="G258" s="32">
        <f>D258/E258*F258</f>
        <v>5</v>
      </c>
      <c r="H258" s="145">
        <v>1849.56</v>
      </c>
      <c r="I258" s="88">
        <f t="shared" ref="I258:I260" si="88">H258*G258</f>
        <v>9247.7999999999993</v>
      </c>
      <c r="J258" s="121"/>
      <c r="K258" s="130"/>
      <c r="L258" s="121"/>
    </row>
    <row r="259" spans="1:12">
      <c r="A259" s="106">
        <v>2</v>
      </c>
      <c r="B259" s="27" t="s">
        <v>22</v>
      </c>
      <c r="C259" s="30" t="s">
        <v>26</v>
      </c>
      <c r="D259" s="27">
        <v>30</v>
      </c>
      <c r="E259" s="139">
        <f>247*8*(A259/1973)</f>
        <v>2.003041054232134</v>
      </c>
      <c r="F259" s="26">
        <f>E259/A259</f>
        <v>1.001520527116067</v>
      </c>
      <c r="G259" s="32">
        <f t="shared" ref="G259:G260" si="89">D259/E259*F259</f>
        <v>15</v>
      </c>
      <c r="H259" s="146">
        <v>54.38</v>
      </c>
      <c r="I259" s="88">
        <f t="shared" si="88"/>
        <v>815.7</v>
      </c>
      <c r="J259" s="121"/>
      <c r="K259" s="130"/>
      <c r="L259" s="121"/>
    </row>
    <row r="260" spans="1:12">
      <c r="A260" s="107" t="s">
        <v>110</v>
      </c>
      <c r="B260" s="27" t="s">
        <v>23</v>
      </c>
      <c r="C260" s="30" t="s">
        <v>26</v>
      </c>
      <c r="D260" s="27">
        <v>30</v>
      </c>
      <c r="E260" s="139">
        <f>247*8*(A259/1973)</f>
        <v>2.003041054232134</v>
      </c>
      <c r="F260" s="26">
        <f>E260/A259</f>
        <v>1.001520527116067</v>
      </c>
      <c r="G260" s="32">
        <f t="shared" si="89"/>
        <v>15</v>
      </c>
      <c r="H260" s="146">
        <v>65.260000000000005</v>
      </c>
      <c r="I260" s="88">
        <f t="shared" si="88"/>
        <v>978.90000000000009</v>
      </c>
      <c r="J260" s="121"/>
      <c r="K260" s="130"/>
      <c r="L260" s="121"/>
    </row>
    <row r="261" spans="1:12" s="1" customFormat="1" ht="15.75" thickBot="1">
      <c r="A261" s="108"/>
      <c r="B261" s="18"/>
      <c r="C261" s="18"/>
      <c r="D261" s="18"/>
      <c r="E261" s="95"/>
      <c r="F261" s="18"/>
      <c r="G261" s="33"/>
      <c r="H261" s="147"/>
      <c r="I261" s="87">
        <f>SUM(I257:I260)</f>
        <v>11449.2875</v>
      </c>
      <c r="J261" s="130">
        <f>I261*A259</f>
        <v>22898.575000000001</v>
      </c>
      <c r="K261" s="149">
        <v>22898.575000000001</v>
      </c>
      <c r="L261" s="130">
        <f>K261-J261</f>
        <v>0</v>
      </c>
    </row>
    <row r="262" spans="1:12">
      <c r="A262" s="104" t="s">
        <v>69</v>
      </c>
      <c r="B262" s="11" t="s">
        <v>20</v>
      </c>
      <c r="C262" s="28" t="s">
        <v>24</v>
      </c>
      <c r="D262" s="46">
        <v>100</v>
      </c>
      <c r="E262" s="138">
        <f>247*8*(A264/1973)</f>
        <v>21.031931069437405</v>
      </c>
      <c r="F262" s="45">
        <f>E262/A264</f>
        <v>1.001520527116067</v>
      </c>
      <c r="G262" s="32">
        <f>D262/E262*F262</f>
        <v>4.7619047619047628</v>
      </c>
      <c r="H262" s="144">
        <v>8.1377500000000005</v>
      </c>
      <c r="I262" s="88">
        <f>H262*G262</f>
        <v>38.751190476190487</v>
      </c>
      <c r="J262" s="121"/>
      <c r="K262" s="130"/>
      <c r="L262" s="121"/>
    </row>
    <row r="263" spans="1:12">
      <c r="A263" s="105" t="s">
        <v>66</v>
      </c>
      <c r="B263" s="5" t="s">
        <v>21</v>
      </c>
      <c r="C263" s="29" t="s">
        <v>25</v>
      </c>
      <c r="D263" s="8">
        <v>10</v>
      </c>
      <c r="E263" s="139">
        <f>247*8*(A264/1973)</f>
        <v>21.031931069437405</v>
      </c>
      <c r="F263" s="26">
        <f>E263/A264</f>
        <v>1.001520527116067</v>
      </c>
      <c r="G263" s="32">
        <f>D263/E263*F263</f>
        <v>0.47619047619047622</v>
      </c>
      <c r="H263" s="145">
        <v>1849.56</v>
      </c>
      <c r="I263" s="88">
        <f t="shared" ref="I263:I265" si="90">H263*G263</f>
        <v>880.74285714285713</v>
      </c>
      <c r="J263" s="121"/>
      <c r="K263" s="130"/>
      <c r="L263" s="121"/>
    </row>
    <row r="264" spans="1:12">
      <c r="A264" s="106">
        <v>21</v>
      </c>
      <c r="B264" s="27" t="s">
        <v>22</v>
      </c>
      <c r="C264" s="30" t="s">
        <v>26</v>
      </c>
      <c r="D264" s="27">
        <v>30</v>
      </c>
      <c r="E264" s="139">
        <f>247*8*(A264/1973)</f>
        <v>21.031931069437405</v>
      </c>
      <c r="F264" s="26">
        <f>E264/A264</f>
        <v>1.001520527116067</v>
      </c>
      <c r="G264" s="32">
        <f t="shared" ref="G264:G265" si="91">D264/E264*F264</f>
        <v>1.4285714285714288</v>
      </c>
      <c r="H264" s="146">
        <v>54.38</v>
      </c>
      <c r="I264" s="88">
        <f t="shared" si="90"/>
        <v>77.685714285714297</v>
      </c>
      <c r="J264" s="121"/>
      <c r="K264" s="130"/>
      <c r="L264" s="121"/>
    </row>
    <row r="265" spans="1:12">
      <c r="A265" s="107" t="s">
        <v>108</v>
      </c>
      <c r="B265" s="27" t="s">
        <v>23</v>
      </c>
      <c r="C265" s="30" t="s">
        <v>26</v>
      </c>
      <c r="D265" s="27">
        <v>30</v>
      </c>
      <c r="E265" s="139">
        <f>247*8*(A264/1973)</f>
        <v>21.031931069437405</v>
      </c>
      <c r="F265" s="26">
        <f>E265/A264</f>
        <v>1.001520527116067</v>
      </c>
      <c r="G265" s="32">
        <f t="shared" si="91"/>
        <v>1.4285714285714288</v>
      </c>
      <c r="H265" s="146">
        <v>65.260000000000005</v>
      </c>
      <c r="I265" s="88">
        <f t="shared" si="90"/>
        <v>93.228571428571456</v>
      </c>
      <c r="J265" s="121"/>
      <c r="K265" s="130"/>
      <c r="L265" s="121"/>
    </row>
    <row r="266" spans="1:12" s="1" customFormat="1" ht="15.75" thickBot="1">
      <c r="A266" s="108"/>
      <c r="B266" s="18"/>
      <c r="C266" s="18"/>
      <c r="D266" s="18"/>
      <c r="E266" s="95"/>
      <c r="F266" s="18"/>
      <c r="G266" s="33"/>
      <c r="H266" s="147"/>
      <c r="I266" s="87">
        <f>SUM(I262:I265)</f>
        <v>1090.4083333333333</v>
      </c>
      <c r="J266" s="130">
        <f>I266*A264</f>
        <v>22898.575000000001</v>
      </c>
      <c r="K266" s="149">
        <v>22898.575000000001</v>
      </c>
      <c r="L266" s="130">
        <f>K266-J266</f>
        <v>0</v>
      </c>
    </row>
    <row r="267" spans="1:12">
      <c r="A267" s="104" t="s">
        <v>69</v>
      </c>
      <c r="B267" s="11" t="s">
        <v>20</v>
      </c>
      <c r="C267" s="28" t="s">
        <v>24</v>
      </c>
      <c r="D267" s="46">
        <v>100</v>
      </c>
      <c r="E267" s="138">
        <f>247*8*(A269/1973)</f>
        <v>86.130765331981749</v>
      </c>
      <c r="F267" s="45">
        <f>E267/A269</f>
        <v>1.0015205271160668</v>
      </c>
      <c r="G267" s="32">
        <f>D267/E267*F267</f>
        <v>1.1627906976744184</v>
      </c>
      <c r="H267" s="144">
        <v>8.1377500000000005</v>
      </c>
      <c r="I267" s="88">
        <f>H267*G267</f>
        <v>9.4624999999999986</v>
      </c>
      <c r="J267" s="121"/>
      <c r="K267" s="130"/>
      <c r="L267" s="121"/>
    </row>
    <row r="268" spans="1:12">
      <c r="A268" s="105" t="s">
        <v>66</v>
      </c>
      <c r="B268" s="5" t="s">
        <v>21</v>
      </c>
      <c r="C268" s="29" t="s">
        <v>25</v>
      </c>
      <c r="D268" s="8">
        <v>10</v>
      </c>
      <c r="E268" s="139">
        <f>247*8*(A269/1973)</f>
        <v>86.130765331981749</v>
      </c>
      <c r="F268" s="26">
        <f>E268/A269</f>
        <v>1.0015205271160668</v>
      </c>
      <c r="G268" s="32">
        <f>D268/E268*F268</f>
        <v>0.11627906976744184</v>
      </c>
      <c r="H268" s="145">
        <v>1849.56</v>
      </c>
      <c r="I268" s="88">
        <f t="shared" ref="I268:I270" si="92">H268*G268</f>
        <v>215.06511627906974</v>
      </c>
      <c r="J268" s="121"/>
      <c r="K268" s="130"/>
      <c r="L268" s="121"/>
    </row>
    <row r="269" spans="1:12">
      <c r="A269" s="106">
        <v>86</v>
      </c>
      <c r="B269" s="27" t="s">
        <v>22</v>
      </c>
      <c r="C269" s="30" t="s">
        <v>26</v>
      </c>
      <c r="D269" s="27">
        <v>30</v>
      </c>
      <c r="E269" s="139">
        <f>247*8*(A269/1973)</f>
        <v>86.130765331981749</v>
      </c>
      <c r="F269" s="26">
        <f>E269/A269</f>
        <v>1.0015205271160668</v>
      </c>
      <c r="G269" s="32">
        <f t="shared" ref="G269:G270" si="93">D269/E269*F269</f>
        <v>0.34883720930232553</v>
      </c>
      <c r="H269" s="146">
        <v>54.38</v>
      </c>
      <c r="I269" s="88">
        <f t="shared" si="92"/>
        <v>18.969767441860462</v>
      </c>
      <c r="J269" s="121"/>
      <c r="K269" s="130"/>
      <c r="L269" s="121"/>
    </row>
    <row r="270" spans="1:12">
      <c r="A270" s="107" t="s">
        <v>109</v>
      </c>
      <c r="B270" s="27" t="s">
        <v>23</v>
      </c>
      <c r="C270" s="30" t="s">
        <v>26</v>
      </c>
      <c r="D270" s="27">
        <v>30</v>
      </c>
      <c r="E270" s="139">
        <f>247*8*(A269/1973)</f>
        <v>86.130765331981749</v>
      </c>
      <c r="F270" s="26">
        <f>E270/A269</f>
        <v>1.0015205271160668</v>
      </c>
      <c r="G270" s="32">
        <f t="shared" si="93"/>
        <v>0.34883720930232553</v>
      </c>
      <c r="H270" s="146">
        <v>65.260000000000005</v>
      </c>
      <c r="I270" s="88">
        <f t="shared" si="92"/>
        <v>22.765116279069765</v>
      </c>
      <c r="J270" s="121"/>
      <c r="K270" s="130"/>
      <c r="L270" s="121"/>
    </row>
    <row r="271" spans="1:12" s="1" customFormat="1" ht="15.75" thickBot="1">
      <c r="A271" s="108"/>
      <c r="B271" s="18"/>
      <c r="C271" s="18"/>
      <c r="D271" s="18"/>
      <c r="E271" s="95"/>
      <c r="F271" s="18"/>
      <c r="G271" s="33"/>
      <c r="H271" s="147"/>
      <c r="I271" s="87">
        <f>SUM(I267:I270)</f>
        <v>266.26249999999999</v>
      </c>
      <c r="J271" s="130">
        <f>I271*A269</f>
        <v>22898.575000000001</v>
      </c>
      <c r="K271" s="149">
        <v>22898.575000000001</v>
      </c>
      <c r="L271" s="130">
        <f>K271-J271</f>
        <v>0</v>
      </c>
    </row>
    <row r="272" spans="1:12">
      <c r="A272" s="104" t="s">
        <v>69</v>
      </c>
      <c r="B272" s="11" t="s">
        <v>20</v>
      </c>
      <c r="C272" s="28" t="s">
        <v>24</v>
      </c>
      <c r="D272" s="46">
        <v>100</v>
      </c>
      <c r="E272" s="138">
        <f>247*8*(A274/1973)</f>
        <v>5.0076026355803345</v>
      </c>
      <c r="F272" s="45">
        <f>E272/A274</f>
        <v>1.001520527116067</v>
      </c>
      <c r="G272" s="32">
        <f>D272/E272*F272</f>
        <v>20.000000000000004</v>
      </c>
      <c r="H272" s="144">
        <v>8.1377500000000005</v>
      </c>
      <c r="I272" s="88">
        <f>H272*G272</f>
        <v>162.75500000000005</v>
      </c>
      <c r="J272" s="121"/>
      <c r="K272" s="130"/>
      <c r="L272" s="121"/>
    </row>
    <row r="273" spans="1:12">
      <c r="A273" s="105" t="s">
        <v>66</v>
      </c>
      <c r="B273" s="5" t="s">
        <v>21</v>
      </c>
      <c r="C273" s="29" t="s">
        <v>25</v>
      </c>
      <c r="D273" s="8">
        <v>10</v>
      </c>
      <c r="E273" s="139">
        <f>247*8*(A274/1973)</f>
        <v>5.0076026355803345</v>
      </c>
      <c r="F273" s="26">
        <f>E273/A274</f>
        <v>1.001520527116067</v>
      </c>
      <c r="G273" s="32">
        <f>D273/E273*F273</f>
        <v>2</v>
      </c>
      <c r="H273" s="145">
        <v>1849.56</v>
      </c>
      <c r="I273" s="88">
        <f t="shared" ref="I273:I275" si="94">H273*G273</f>
        <v>3699.12</v>
      </c>
      <c r="J273" s="121"/>
      <c r="K273" s="130"/>
      <c r="L273" s="121"/>
    </row>
    <row r="274" spans="1:12">
      <c r="A274" s="106">
        <v>5</v>
      </c>
      <c r="B274" s="27" t="s">
        <v>22</v>
      </c>
      <c r="C274" s="30" t="s">
        <v>26</v>
      </c>
      <c r="D274" s="27">
        <v>30</v>
      </c>
      <c r="E274" s="139">
        <f>247*8*(A274/1973)</f>
        <v>5.0076026355803345</v>
      </c>
      <c r="F274" s="26">
        <f>E274/A274</f>
        <v>1.001520527116067</v>
      </c>
      <c r="G274" s="32">
        <f t="shared" ref="G274:G275" si="95">D274/E274*F274</f>
        <v>6.0000000000000009</v>
      </c>
      <c r="H274" s="146">
        <v>54.38</v>
      </c>
      <c r="I274" s="88">
        <f t="shared" si="94"/>
        <v>326.28000000000009</v>
      </c>
      <c r="J274" s="121"/>
      <c r="K274" s="130"/>
      <c r="L274" s="121"/>
    </row>
    <row r="275" spans="1:12">
      <c r="A275" s="107" t="s">
        <v>110</v>
      </c>
      <c r="B275" s="27" t="s">
        <v>23</v>
      </c>
      <c r="C275" s="30" t="s">
        <v>26</v>
      </c>
      <c r="D275" s="27">
        <v>30</v>
      </c>
      <c r="E275" s="139">
        <f>247*8*(A274/1973)</f>
        <v>5.0076026355803345</v>
      </c>
      <c r="F275" s="26">
        <f>E275/A274</f>
        <v>1.001520527116067</v>
      </c>
      <c r="G275" s="32">
        <f t="shared" si="95"/>
        <v>6.0000000000000009</v>
      </c>
      <c r="H275" s="146">
        <v>65.260000000000005</v>
      </c>
      <c r="I275" s="88">
        <f t="shared" si="94"/>
        <v>391.56000000000012</v>
      </c>
      <c r="J275" s="121"/>
      <c r="K275" s="130"/>
      <c r="L275" s="121"/>
    </row>
    <row r="276" spans="1:12" s="1" customFormat="1" ht="15.75" thickBot="1">
      <c r="A276" s="108"/>
      <c r="B276" s="18"/>
      <c r="C276" s="18"/>
      <c r="D276" s="18"/>
      <c r="E276" s="95"/>
      <c r="F276" s="18"/>
      <c r="G276" s="33"/>
      <c r="H276" s="147"/>
      <c r="I276" s="87">
        <f>SUM(I272:I275)</f>
        <v>4579.7150000000001</v>
      </c>
      <c r="J276" s="130">
        <f>I276*A274</f>
        <v>22898.575000000001</v>
      </c>
      <c r="K276" s="149">
        <v>22898.575000000001</v>
      </c>
      <c r="L276" s="130">
        <f>K276-J276</f>
        <v>0</v>
      </c>
    </row>
    <row r="277" spans="1:12">
      <c r="A277" s="104" t="s">
        <v>70</v>
      </c>
      <c r="B277" s="11" t="s">
        <v>20</v>
      </c>
      <c r="C277" s="28" t="s">
        <v>24</v>
      </c>
      <c r="D277" s="46">
        <v>100</v>
      </c>
      <c r="E277" s="138">
        <f>247*8*(A279/1973)</f>
        <v>5.0076026355803345</v>
      </c>
      <c r="F277" s="45">
        <f>E277/A279</f>
        <v>1.001520527116067</v>
      </c>
      <c r="G277" s="32">
        <f>D277/E277*F277</f>
        <v>20.000000000000004</v>
      </c>
      <c r="H277" s="144">
        <v>8.1377500000000005</v>
      </c>
      <c r="I277" s="88">
        <f>H277*G277</f>
        <v>162.75500000000005</v>
      </c>
      <c r="J277" s="121"/>
      <c r="K277" s="130"/>
      <c r="L277" s="121"/>
    </row>
    <row r="278" spans="1:12">
      <c r="A278" s="105" t="s">
        <v>66</v>
      </c>
      <c r="B278" s="5" t="s">
        <v>21</v>
      </c>
      <c r="C278" s="29" t="s">
        <v>25</v>
      </c>
      <c r="D278" s="8">
        <v>10</v>
      </c>
      <c r="E278" s="139">
        <f>247*8*(A279/1973)</f>
        <v>5.0076026355803345</v>
      </c>
      <c r="F278" s="26">
        <f>E278/A279</f>
        <v>1.001520527116067</v>
      </c>
      <c r="G278" s="32">
        <f>D278/E278*F278</f>
        <v>2</v>
      </c>
      <c r="H278" s="145">
        <v>1849.56</v>
      </c>
      <c r="I278" s="88">
        <f t="shared" ref="I278:I280" si="96">H278*G278</f>
        <v>3699.12</v>
      </c>
      <c r="J278" s="121"/>
      <c r="K278" s="130"/>
      <c r="L278" s="121"/>
    </row>
    <row r="279" spans="1:12">
      <c r="A279" s="106">
        <v>5</v>
      </c>
      <c r="B279" s="27" t="s">
        <v>22</v>
      </c>
      <c r="C279" s="30" t="s">
        <v>26</v>
      </c>
      <c r="D279" s="27">
        <v>30</v>
      </c>
      <c r="E279" s="139">
        <f>247*8*(A279/1973)</f>
        <v>5.0076026355803345</v>
      </c>
      <c r="F279" s="26">
        <f>E279/A279</f>
        <v>1.001520527116067</v>
      </c>
      <c r="G279" s="32">
        <f t="shared" ref="G279:G280" si="97">D279/E279*F279</f>
        <v>6.0000000000000009</v>
      </c>
      <c r="H279" s="146">
        <v>54.38</v>
      </c>
      <c r="I279" s="88">
        <f t="shared" si="96"/>
        <v>326.28000000000009</v>
      </c>
      <c r="J279" s="121"/>
      <c r="K279" s="130"/>
      <c r="L279" s="121"/>
    </row>
    <row r="280" spans="1:12">
      <c r="A280" s="107" t="s">
        <v>108</v>
      </c>
      <c r="B280" s="27" t="s">
        <v>23</v>
      </c>
      <c r="C280" s="30" t="s">
        <v>26</v>
      </c>
      <c r="D280" s="27">
        <v>30</v>
      </c>
      <c r="E280" s="139">
        <f>247*8*(A279/1973)</f>
        <v>5.0076026355803345</v>
      </c>
      <c r="F280" s="26">
        <f>E280/A279</f>
        <v>1.001520527116067</v>
      </c>
      <c r="G280" s="32">
        <f t="shared" si="97"/>
        <v>6.0000000000000009</v>
      </c>
      <c r="H280" s="146">
        <v>65.260000000000005</v>
      </c>
      <c r="I280" s="88">
        <f t="shared" si="96"/>
        <v>391.56000000000012</v>
      </c>
      <c r="J280" s="121"/>
      <c r="K280" s="130"/>
      <c r="L280" s="121"/>
    </row>
    <row r="281" spans="1:12" s="1" customFormat="1" ht="15.75" thickBot="1">
      <c r="A281" s="108"/>
      <c r="B281" s="18"/>
      <c r="C281" s="18"/>
      <c r="D281" s="18"/>
      <c r="E281" s="95"/>
      <c r="F281" s="18"/>
      <c r="G281" s="33"/>
      <c r="H281" s="147"/>
      <c r="I281" s="87">
        <f>SUM(I277:I280)</f>
        <v>4579.7150000000001</v>
      </c>
      <c r="J281" s="130">
        <f>I281*A279</f>
        <v>22898.575000000001</v>
      </c>
      <c r="K281" s="149">
        <v>22898.575000000001</v>
      </c>
      <c r="L281" s="130">
        <f>K281-J281</f>
        <v>0</v>
      </c>
    </row>
    <row r="282" spans="1:12">
      <c r="A282" s="104" t="s">
        <v>70</v>
      </c>
      <c r="B282" s="11" t="s">
        <v>20</v>
      </c>
      <c r="C282" s="28" t="s">
        <v>24</v>
      </c>
      <c r="D282" s="46">
        <v>100</v>
      </c>
      <c r="E282" s="138">
        <f>247*8*(A284/1973)</f>
        <v>86.130765331981749</v>
      </c>
      <c r="F282" s="45">
        <f>E282/A284</f>
        <v>1.0015205271160668</v>
      </c>
      <c r="G282" s="32">
        <f>D282/E282*F282</f>
        <v>1.1627906976744184</v>
      </c>
      <c r="H282" s="144">
        <v>8.1377500000000005</v>
      </c>
      <c r="I282" s="88">
        <f>H282*G282</f>
        <v>9.4624999999999986</v>
      </c>
      <c r="J282" s="121"/>
      <c r="K282" s="130"/>
      <c r="L282" s="121"/>
    </row>
    <row r="283" spans="1:12">
      <c r="A283" s="105" t="s">
        <v>66</v>
      </c>
      <c r="B283" s="5" t="s">
        <v>21</v>
      </c>
      <c r="C283" s="29" t="s">
        <v>25</v>
      </c>
      <c r="D283" s="8">
        <v>10</v>
      </c>
      <c r="E283" s="139">
        <f>247*8*(A284/1973)</f>
        <v>86.130765331981749</v>
      </c>
      <c r="F283" s="26">
        <f>E283/A284</f>
        <v>1.0015205271160668</v>
      </c>
      <c r="G283" s="32">
        <f>D283/E283*F283</f>
        <v>0.11627906976744184</v>
      </c>
      <c r="H283" s="145">
        <v>1849.56</v>
      </c>
      <c r="I283" s="88">
        <f t="shared" ref="I283:I285" si="98">H283*G283</f>
        <v>215.06511627906974</v>
      </c>
      <c r="J283" s="121"/>
      <c r="K283" s="130"/>
      <c r="L283" s="121"/>
    </row>
    <row r="284" spans="1:12">
      <c r="A284" s="106">
        <v>86</v>
      </c>
      <c r="B284" s="27" t="s">
        <v>22</v>
      </c>
      <c r="C284" s="30" t="s">
        <v>26</v>
      </c>
      <c r="D284" s="27">
        <v>30</v>
      </c>
      <c r="E284" s="139">
        <f>247*8*(A284/1973)</f>
        <v>86.130765331981749</v>
      </c>
      <c r="F284" s="26">
        <f>E284/A284</f>
        <v>1.0015205271160668</v>
      </c>
      <c r="G284" s="32">
        <f t="shared" ref="G284:G285" si="99">D284/E284*F284</f>
        <v>0.34883720930232553</v>
      </c>
      <c r="H284" s="146">
        <v>54.38</v>
      </c>
      <c r="I284" s="88">
        <f t="shared" si="98"/>
        <v>18.969767441860462</v>
      </c>
      <c r="J284" s="121"/>
      <c r="K284" s="130"/>
      <c r="L284" s="121"/>
    </row>
    <row r="285" spans="1:12">
      <c r="A285" s="107" t="s">
        <v>109</v>
      </c>
      <c r="B285" s="27" t="s">
        <v>23</v>
      </c>
      <c r="C285" s="30" t="s">
        <v>26</v>
      </c>
      <c r="D285" s="27">
        <v>30</v>
      </c>
      <c r="E285" s="139">
        <f>247*8*(A284/1973)</f>
        <v>86.130765331981749</v>
      </c>
      <c r="F285" s="26">
        <f>E285/A284</f>
        <v>1.0015205271160668</v>
      </c>
      <c r="G285" s="32">
        <f t="shared" si="99"/>
        <v>0.34883720930232553</v>
      </c>
      <c r="H285" s="146">
        <v>65.260000000000005</v>
      </c>
      <c r="I285" s="88">
        <f t="shared" si="98"/>
        <v>22.765116279069765</v>
      </c>
      <c r="J285" s="121"/>
      <c r="K285" s="130"/>
      <c r="L285" s="121"/>
    </row>
    <row r="286" spans="1:12" s="1" customFormat="1" ht="15.75" thickBot="1">
      <c r="A286" s="108"/>
      <c r="B286" s="18"/>
      <c r="C286" s="18"/>
      <c r="D286" s="18"/>
      <c r="E286" s="95"/>
      <c r="F286" s="18"/>
      <c r="G286" s="33"/>
      <c r="H286" s="147"/>
      <c r="I286" s="87">
        <f>SUM(I282:I285)</f>
        <v>266.26249999999999</v>
      </c>
      <c r="J286" s="130">
        <f>I286*A284</f>
        <v>22898.575000000001</v>
      </c>
      <c r="K286" s="149">
        <v>22898.575000000001</v>
      </c>
      <c r="L286" s="130">
        <f>K286-J286</f>
        <v>0</v>
      </c>
    </row>
    <row r="287" spans="1:12">
      <c r="A287" s="104" t="s">
        <v>70</v>
      </c>
      <c r="B287" s="11" t="s">
        <v>20</v>
      </c>
      <c r="C287" s="28" t="s">
        <v>24</v>
      </c>
      <c r="D287" s="46">
        <v>100</v>
      </c>
      <c r="E287" s="138">
        <f>247*8*(A289/1973)</f>
        <v>14.021287379624937</v>
      </c>
      <c r="F287" s="45">
        <f>E287/A289</f>
        <v>1.001520527116067</v>
      </c>
      <c r="G287" s="32">
        <f>D287/E287*F287</f>
        <v>7.1428571428571432</v>
      </c>
      <c r="H287" s="144">
        <v>8.1377500000000005</v>
      </c>
      <c r="I287" s="88">
        <f>H287*G287</f>
        <v>58.126785714285724</v>
      </c>
      <c r="J287" s="121"/>
      <c r="K287" s="130"/>
      <c r="L287" s="121"/>
    </row>
    <row r="288" spans="1:12">
      <c r="A288" s="105" t="s">
        <v>66</v>
      </c>
      <c r="B288" s="5" t="s">
        <v>21</v>
      </c>
      <c r="C288" s="29" t="s">
        <v>25</v>
      </c>
      <c r="D288" s="8">
        <v>10</v>
      </c>
      <c r="E288" s="139">
        <f>247*8*(A289/1973)</f>
        <v>14.021287379624937</v>
      </c>
      <c r="F288" s="26">
        <f>E288/A289</f>
        <v>1.001520527116067</v>
      </c>
      <c r="G288" s="32">
        <f>D288/E288*F288</f>
        <v>0.71428571428571441</v>
      </c>
      <c r="H288" s="145">
        <v>1849.56</v>
      </c>
      <c r="I288" s="88">
        <f t="shared" ref="I288:I290" si="100">H288*G288</f>
        <v>1321.1142857142859</v>
      </c>
      <c r="J288" s="121"/>
      <c r="K288" s="130"/>
      <c r="L288" s="121"/>
    </row>
    <row r="289" spans="1:12">
      <c r="A289" s="106">
        <v>14</v>
      </c>
      <c r="B289" s="27" t="s">
        <v>22</v>
      </c>
      <c r="C289" s="30" t="s">
        <v>26</v>
      </c>
      <c r="D289" s="27">
        <v>30</v>
      </c>
      <c r="E289" s="139">
        <f>247*8*(A289/1973)</f>
        <v>14.021287379624937</v>
      </c>
      <c r="F289" s="26">
        <f>E289/A289</f>
        <v>1.001520527116067</v>
      </c>
      <c r="G289" s="32">
        <f t="shared" ref="G289:G290" si="101">D289/E289*F289</f>
        <v>2.1428571428571428</v>
      </c>
      <c r="H289" s="146">
        <v>54.38</v>
      </c>
      <c r="I289" s="88">
        <f t="shared" si="100"/>
        <v>116.52857142857142</v>
      </c>
      <c r="J289" s="121"/>
      <c r="K289" s="130"/>
      <c r="L289" s="121"/>
    </row>
    <row r="290" spans="1:12">
      <c r="A290" s="107" t="s">
        <v>110</v>
      </c>
      <c r="B290" s="27" t="s">
        <v>23</v>
      </c>
      <c r="C290" s="30" t="s">
        <v>26</v>
      </c>
      <c r="D290" s="27">
        <v>30</v>
      </c>
      <c r="E290" s="139">
        <f>247*8*(A289/1973)</f>
        <v>14.021287379624937</v>
      </c>
      <c r="F290" s="26">
        <f>E290/A289</f>
        <v>1.001520527116067</v>
      </c>
      <c r="G290" s="32">
        <f t="shared" si="101"/>
        <v>2.1428571428571428</v>
      </c>
      <c r="H290" s="146">
        <v>65.260000000000005</v>
      </c>
      <c r="I290" s="88">
        <f t="shared" si="100"/>
        <v>139.84285714285716</v>
      </c>
      <c r="J290" s="121"/>
      <c r="K290" s="130"/>
      <c r="L290" s="121"/>
    </row>
    <row r="291" spans="1:12" s="1" customFormat="1" ht="15.75" thickBot="1">
      <c r="A291" s="108"/>
      <c r="B291" s="18"/>
      <c r="C291" s="18"/>
      <c r="D291" s="18"/>
      <c r="E291" s="95"/>
      <c r="F291" s="18"/>
      <c r="G291" s="33"/>
      <c r="H291" s="147"/>
      <c r="I291" s="87">
        <f>SUM(I287:I290)</f>
        <v>1635.6125000000002</v>
      </c>
      <c r="J291" s="130">
        <f>I291*A289</f>
        <v>22898.575000000004</v>
      </c>
      <c r="K291" s="149">
        <v>22898.575000000001</v>
      </c>
      <c r="L291" s="130">
        <f>K291-J291</f>
        <v>0</v>
      </c>
    </row>
    <row r="292" spans="1:12">
      <c r="A292" s="104" t="s">
        <v>71</v>
      </c>
      <c r="B292" s="11" t="s">
        <v>20</v>
      </c>
      <c r="C292" s="28" t="s">
        <v>24</v>
      </c>
      <c r="D292" s="46">
        <v>100</v>
      </c>
      <c r="E292" s="138">
        <f>247*8*(A294/1973)</f>
        <v>11.016725798276736</v>
      </c>
      <c r="F292" s="45">
        <f>E292/A294</f>
        <v>1.001520527116067</v>
      </c>
      <c r="G292" s="32">
        <f>D292/E292*F292</f>
        <v>9.0909090909090917</v>
      </c>
      <c r="H292" s="144">
        <v>8.1377500000000005</v>
      </c>
      <c r="I292" s="88">
        <f>H292*G292</f>
        <v>73.979545454545459</v>
      </c>
      <c r="J292" s="121"/>
      <c r="K292" s="130"/>
      <c r="L292" s="121"/>
    </row>
    <row r="293" spans="1:12">
      <c r="A293" s="105" t="s">
        <v>66</v>
      </c>
      <c r="B293" s="5" t="s">
        <v>21</v>
      </c>
      <c r="C293" s="29" t="s">
        <v>25</v>
      </c>
      <c r="D293" s="8">
        <v>10</v>
      </c>
      <c r="E293" s="139">
        <f>247*8*(A294/1973)</f>
        <v>11.016725798276736</v>
      </c>
      <c r="F293" s="26">
        <f>E293/A294</f>
        <v>1.001520527116067</v>
      </c>
      <c r="G293" s="32">
        <f>D293/E293*F293</f>
        <v>0.90909090909090906</v>
      </c>
      <c r="H293" s="145">
        <v>1849.56</v>
      </c>
      <c r="I293" s="88">
        <f t="shared" ref="I293:I295" si="102">H293*G293</f>
        <v>1681.4181818181817</v>
      </c>
      <c r="J293" s="121"/>
      <c r="K293" s="130"/>
      <c r="L293" s="121"/>
    </row>
    <row r="294" spans="1:12">
      <c r="A294" s="106">
        <v>11</v>
      </c>
      <c r="B294" s="27" t="s">
        <v>22</v>
      </c>
      <c r="C294" s="30" t="s">
        <v>26</v>
      </c>
      <c r="D294" s="27">
        <v>30</v>
      </c>
      <c r="E294" s="139">
        <f>247*8*(A294/1973)</f>
        <v>11.016725798276736</v>
      </c>
      <c r="F294" s="26">
        <f>E294/A294</f>
        <v>1.001520527116067</v>
      </c>
      <c r="G294" s="32">
        <f t="shared" ref="G294:G295" si="103">D294/E294*F294</f>
        <v>2.7272727272727275</v>
      </c>
      <c r="H294" s="146">
        <v>54.38</v>
      </c>
      <c r="I294" s="88">
        <f t="shared" si="102"/>
        <v>148.30909090909094</v>
      </c>
      <c r="J294" s="121"/>
      <c r="K294" s="130"/>
      <c r="L294" s="121"/>
    </row>
    <row r="295" spans="1:12">
      <c r="A295" s="107" t="s">
        <v>108</v>
      </c>
      <c r="B295" s="27" t="s">
        <v>23</v>
      </c>
      <c r="C295" s="30" t="s">
        <v>26</v>
      </c>
      <c r="D295" s="27">
        <v>30</v>
      </c>
      <c r="E295" s="139">
        <f>247*8*(A294/1973)</f>
        <v>11.016725798276736</v>
      </c>
      <c r="F295" s="26">
        <f>E295/A294</f>
        <v>1.001520527116067</v>
      </c>
      <c r="G295" s="32">
        <f t="shared" si="103"/>
        <v>2.7272727272727275</v>
      </c>
      <c r="H295" s="146">
        <v>65.260000000000005</v>
      </c>
      <c r="I295" s="88">
        <f t="shared" si="102"/>
        <v>177.9818181818182</v>
      </c>
      <c r="J295" s="121"/>
      <c r="K295" s="130"/>
      <c r="L295" s="121"/>
    </row>
    <row r="296" spans="1:12" s="1" customFormat="1" ht="15.75" thickBot="1">
      <c r="A296" s="108"/>
      <c r="B296" s="18"/>
      <c r="C296" s="18"/>
      <c r="D296" s="18"/>
      <c r="E296" s="95"/>
      <c r="F296" s="18"/>
      <c r="G296" s="33"/>
      <c r="H296" s="147"/>
      <c r="I296" s="87">
        <f>SUM(I292:I295)</f>
        <v>2081.6886363636359</v>
      </c>
      <c r="J296" s="130">
        <f>I296*A294</f>
        <v>22898.574999999993</v>
      </c>
      <c r="K296" s="149">
        <v>22898.575000000001</v>
      </c>
      <c r="L296" s="130">
        <f>K296-J296</f>
        <v>0</v>
      </c>
    </row>
    <row r="297" spans="1:12">
      <c r="A297" s="104" t="s">
        <v>71</v>
      </c>
      <c r="B297" s="11" t="s">
        <v>20</v>
      </c>
      <c r="C297" s="28" t="s">
        <v>24</v>
      </c>
      <c r="D297" s="46">
        <v>100</v>
      </c>
      <c r="E297" s="138">
        <f>247*8*(A299/1973)</f>
        <v>83.12620375063355</v>
      </c>
      <c r="F297" s="45">
        <f>E297/A299</f>
        <v>1.0015205271160668</v>
      </c>
      <c r="G297" s="32">
        <f>D297/E297*F297</f>
        <v>1.2048192771084336</v>
      </c>
      <c r="H297" s="144">
        <v>8.1377500000000005</v>
      </c>
      <c r="I297" s="88">
        <f>H297*G297</f>
        <v>9.8045180722891558</v>
      </c>
      <c r="J297" s="121"/>
      <c r="K297" s="130"/>
      <c r="L297" s="121"/>
    </row>
    <row r="298" spans="1:12">
      <c r="A298" s="105" t="s">
        <v>66</v>
      </c>
      <c r="B298" s="5" t="s">
        <v>21</v>
      </c>
      <c r="C298" s="29" t="s">
        <v>25</v>
      </c>
      <c r="D298" s="8">
        <v>10</v>
      </c>
      <c r="E298" s="139">
        <f>247*8*(A299/1973)</f>
        <v>83.12620375063355</v>
      </c>
      <c r="F298" s="26">
        <f>E298/A299</f>
        <v>1.0015205271160668</v>
      </c>
      <c r="G298" s="32">
        <f>D298/E298*F298</f>
        <v>0.12048192771084337</v>
      </c>
      <c r="H298" s="145">
        <v>1849.56</v>
      </c>
      <c r="I298" s="88">
        <f t="shared" ref="I298:I300" si="104">H298*G298</f>
        <v>222.83855421686746</v>
      </c>
      <c r="J298" s="121"/>
      <c r="K298" s="130"/>
      <c r="L298" s="121"/>
    </row>
    <row r="299" spans="1:12">
      <c r="A299" s="106">
        <v>83</v>
      </c>
      <c r="B299" s="27" t="s">
        <v>22</v>
      </c>
      <c r="C299" s="30" t="s">
        <v>26</v>
      </c>
      <c r="D299" s="27">
        <v>30</v>
      </c>
      <c r="E299" s="139">
        <f>247*8*(A299/1973)</f>
        <v>83.12620375063355</v>
      </c>
      <c r="F299" s="26">
        <f>E299/A299</f>
        <v>1.0015205271160668</v>
      </c>
      <c r="G299" s="32">
        <f t="shared" ref="G299:G300" si="105">D299/E299*F299</f>
        <v>0.36144578313253006</v>
      </c>
      <c r="H299" s="146">
        <v>54.38</v>
      </c>
      <c r="I299" s="88">
        <f t="shared" si="104"/>
        <v>19.655421686746987</v>
      </c>
      <c r="J299" s="121"/>
      <c r="K299" s="130"/>
      <c r="L299" s="121"/>
    </row>
    <row r="300" spans="1:12">
      <c r="A300" s="107" t="s">
        <v>109</v>
      </c>
      <c r="B300" s="27" t="s">
        <v>23</v>
      </c>
      <c r="C300" s="30" t="s">
        <v>26</v>
      </c>
      <c r="D300" s="27">
        <v>30</v>
      </c>
      <c r="E300" s="139">
        <f>247*8*(A299/1973)</f>
        <v>83.12620375063355</v>
      </c>
      <c r="F300" s="26">
        <f>E300/A299</f>
        <v>1.0015205271160668</v>
      </c>
      <c r="G300" s="32">
        <f t="shared" si="105"/>
        <v>0.36144578313253006</v>
      </c>
      <c r="H300" s="146">
        <v>65.260000000000005</v>
      </c>
      <c r="I300" s="88">
        <f t="shared" si="104"/>
        <v>23.587951807228915</v>
      </c>
      <c r="J300" s="121"/>
      <c r="K300" s="130"/>
      <c r="L300" s="121"/>
    </row>
    <row r="301" spans="1:12" s="1" customFormat="1" ht="15.75" thickBot="1">
      <c r="A301" s="108"/>
      <c r="B301" s="18"/>
      <c r="C301" s="18"/>
      <c r="D301" s="18"/>
      <c r="E301" s="95"/>
      <c r="F301" s="18"/>
      <c r="G301" s="33"/>
      <c r="H301" s="147"/>
      <c r="I301" s="87">
        <f>SUM(I297:I300)</f>
        <v>275.88644578313256</v>
      </c>
      <c r="J301" s="130">
        <f>I301*A299</f>
        <v>22898.575000000001</v>
      </c>
      <c r="K301" s="149">
        <v>22898.575000000001</v>
      </c>
      <c r="L301" s="130">
        <f>K301-J301</f>
        <v>0</v>
      </c>
    </row>
    <row r="302" spans="1:12">
      <c r="A302" s="104" t="s">
        <v>71</v>
      </c>
      <c r="B302" s="11" t="s">
        <v>20</v>
      </c>
      <c r="C302" s="28" t="s">
        <v>24</v>
      </c>
      <c r="D302" s="46">
        <v>100</v>
      </c>
      <c r="E302" s="138">
        <f>247*8*(A304/1973)</f>
        <v>2.003041054232134</v>
      </c>
      <c r="F302" s="45">
        <f>E302/A304</f>
        <v>1.001520527116067</v>
      </c>
      <c r="G302" s="32">
        <f>D302/E302*F302</f>
        <v>50</v>
      </c>
      <c r="H302" s="144">
        <v>8.1377500000000005</v>
      </c>
      <c r="I302" s="88">
        <f>H302*G302</f>
        <v>406.88750000000005</v>
      </c>
      <c r="J302" s="121"/>
      <c r="K302" s="130"/>
      <c r="L302" s="121"/>
    </row>
    <row r="303" spans="1:12">
      <c r="A303" s="105" t="s">
        <v>66</v>
      </c>
      <c r="B303" s="5" t="s">
        <v>21</v>
      </c>
      <c r="C303" s="29" t="s">
        <v>25</v>
      </c>
      <c r="D303" s="8">
        <v>10</v>
      </c>
      <c r="E303" s="139">
        <f>247*8*(A304/1973)</f>
        <v>2.003041054232134</v>
      </c>
      <c r="F303" s="26">
        <f>E303/A304</f>
        <v>1.001520527116067</v>
      </c>
      <c r="G303" s="32">
        <f>D303/E303*F303</f>
        <v>5</v>
      </c>
      <c r="H303" s="145">
        <v>1849.56</v>
      </c>
      <c r="I303" s="88">
        <f t="shared" ref="I303:I305" si="106">H303*G303</f>
        <v>9247.7999999999993</v>
      </c>
      <c r="J303" s="121"/>
      <c r="K303" s="130"/>
      <c r="L303" s="121"/>
    </row>
    <row r="304" spans="1:12">
      <c r="A304" s="106">
        <v>2</v>
      </c>
      <c r="B304" s="27" t="s">
        <v>22</v>
      </c>
      <c r="C304" s="30" t="s">
        <v>26</v>
      </c>
      <c r="D304" s="27">
        <v>30</v>
      </c>
      <c r="E304" s="139">
        <f>247*8*(A304/1973)</f>
        <v>2.003041054232134</v>
      </c>
      <c r="F304" s="26">
        <f>E304/A304</f>
        <v>1.001520527116067</v>
      </c>
      <c r="G304" s="32">
        <f t="shared" ref="G304:G305" si="107">D304/E304*F304</f>
        <v>15</v>
      </c>
      <c r="H304" s="146">
        <v>54.38</v>
      </c>
      <c r="I304" s="88">
        <f t="shared" si="106"/>
        <v>815.7</v>
      </c>
      <c r="J304" s="121"/>
      <c r="K304" s="130"/>
      <c r="L304" s="121"/>
    </row>
    <row r="305" spans="1:12">
      <c r="A305" s="107" t="s">
        <v>110</v>
      </c>
      <c r="B305" s="27" t="s">
        <v>23</v>
      </c>
      <c r="C305" s="30" t="s">
        <v>26</v>
      </c>
      <c r="D305" s="27">
        <v>30</v>
      </c>
      <c r="E305" s="139">
        <f>247*8*(A304/1973)</f>
        <v>2.003041054232134</v>
      </c>
      <c r="F305" s="26">
        <f>E305/A304</f>
        <v>1.001520527116067</v>
      </c>
      <c r="G305" s="32">
        <f t="shared" si="107"/>
        <v>15</v>
      </c>
      <c r="H305" s="146">
        <v>65.260000000000005</v>
      </c>
      <c r="I305" s="88">
        <f t="shared" si="106"/>
        <v>978.90000000000009</v>
      </c>
      <c r="J305" s="121"/>
      <c r="K305" s="130"/>
      <c r="L305" s="121"/>
    </row>
    <row r="306" spans="1:12" s="1" customFormat="1" ht="15.75" thickBot="1">
      <c r="A306" s="108"/>
      <c r="B306" s="18"/>
      <c r="C306" s="18"/>
      <c r="D306" s="18"/>
      <c r="E306" s="95"/>
      <c r="F306" s="18"/>
      <c r="G306" s="33"/>
      <c r="H306" s="147"/>
      <c r="I306" s="87">
        <f>SUM(I302:I305)</f>
        <v>11449.2875</v>
      </c>
      <c r="J306" s="130">
        <f>I306*A304</f>
        <v>22898.575000000001</v>
      </c>
      <c r="K306" s="149">
        <v>22898.575000000001</v>
      </c>
      <c r="L306" s="130">
        <f>K306-J306</f>
        <v>0</v>
      </c>
    </row>
    <row r="307" spans="1:12">
      <c r="A307" s="104" t="s">
        <v>94</v>
      </c>
      <c r="B307" s="13" t="s">
        <v>20</v>
      </c>
      <c r="C307" s="44" t="s">
        <v>24</v>
      </c>
      <c r="D307" s="46">
        <v>100</v>
      </c>
      <c r="E307" s="138">
        <f>247*8*(A309/1973)</f>
        <v>3.0045615813482009</v>
      </c>
      <c r="F307" s="45">
        <f>E307/A309</f>
        <v>1.001520527116067</v>
      </c>
      <c r="G307" s="32">
        <f>D307/E307*F307</f>
        <v>33.333333333333336</v>
      </c>
      <c r="H307" s="144">
        <v>8.1377500000000005</v>
      </c>
      <c r="I307" s="88">
        <f>H307*G307</f>
        <v>271.25833333333338</v>
      </c>
      <c r="J307" s="121"/>
      <c r="K307" s="130"/>
      <c r="L307" s="121"/>
    </row>
    <row r="308" spans="1:12">
      <c r="A308" s="105" t="s">
        <v>66</v>
      </c>
      <c r="B308" s="5" t="s">
        <v>21</v>
      </c>
      <c r="C308" s="29" t="s">
        <v>25</v>
      </c>
      <c r="D308" s="8">
        <v>10</v>
      </c>
      <c r="E308" s="139">
        <f>247*8*(A309/1973)</f>
        <v>3.0045615813482009</v>
      </c>
      <c r="F308" s="26">
        <f>E308/A309</f>
        <v>1.001520527116067</v>
      </c>
      <c r="G308" s="32">
        <f>D308/E308*F308</f>
        <v>3.333333333333333</v>
      </c>
      <c r="H308" s="145">
        <v>1849.56</v>
      </c>
      <c r="I308" s="88">
        <f t="shared" ref="I308:I310" si="108">H308*G308</f>
        <v>6165.1999999999989</v>
      </c>
      <c r="J308" s="121"/>
      <c r="K308" s="130"/>
      <c r="L308" s="121"/>
    </row>
    <row r="309" spans="1:12">
      <c r="A309" s="106">
        <v>3</v>
      </c>
      <c r="B309" s="27" t="s">
        <v>22</v>
      </c>
      <c r="C309" s="30" t="s">
        <v>26</v>
      </c>
      <c r="D309" s="27">
        <v>30</v>
      </c>
      <c r="E309" s="139">
        <f>247*8*(A309/1973)</f>
        <v>3.0045615813482009</v>
      </c>
      <c r="F309" s="26">
        <f>E309/A309</f>
        <v>1.001520527116067</v>
      </c>
      <c r="G309" s="32">
        <f t="shared" ref="G309:G310" si="109">D309/E309*F309</f>
        <v>10</v>
      </c>
      <c r="H309" s="146">
        <v>54.38</v>
      </c>
      <c r="I309" s="88">
        <f t="shared" si="108"/>
        <v>543.80000000000007</v>
      </c>
      <c r="J309" s="121"/>
      <c r="K309" s="130"/>
      <c r="L309" s="121"/>
    </row>
    <row r="310" spans="1:12">
      <c r="A310" s="107" t="s">
        <v>108</v>
      </c>
      <c r="B310" s="27" t="s">
        <v>23</v>
      </c>
      <c r="C310" s="30" t="s">
        <v>26</v>
      </c>
      <c r="D310" s="27">
        <v>30</v>
      </c>
      <c r="E310" s="139">
        <f>247*8*(A309/1973)</f>
        <v>3.0045615813482009</v>
      </c>
      <c r="F310" s="26">
        <f>E310/A309</f>
        <v>1.001520527116067</v>
      </c>
      <c r="G310" s="32">
        <f t="shared" si="109"/>
        <v>10</v>
      </c>
      <c r="H310" s="146">
        <v>65.260000000000005</v>
      </c>
      <c r="I310" s="88">
        <f t="shared" si="108"/>
        <v>652.6</v>
      </c>
      <c r="J310" s="121"/>
      <c r="K310" s="130"/>
      <c r="L310" s="121"/>
    </row>
    <row r="311" spans="1:12" s="1" customFormat="1" ht="15.75" thickBot="1">
      <c r="A311" s="108"/>
      <c r="B311" s="18"/>
      <c r="C311" s="18"/>
      <c r="D311" s="18"/>
      <c r="E311" s="95"/>
      <c r="F311" s="18"/>
      <c r="G311" s="33"/>
      <c r="H311" s="147"/>
      <c r="I311" s="87">
        <f>SUM(I307:I310)</f>
        <v>7632.8583333333327</v>
      </c>
      <c r="J311" s="130">
        <f>I311*A309</f>
        <v>22898.574999999997</v>
      </c>
      <c r="K311" s="149">
        <v>22898.575000000001</v>
      </c>
      <c r="L311" s="130">
        <f>K311-J311</f>
        <v>0</v>
      </c>
    </row>
    <row r="312" spans="1:12">
      <c r="A312" s="104" t="s">
        <v>94</v>
      </c>
      <c r="B312" s="13" t="s">
        <v>20</v>
      </c>
      <c r="C312" s="44" t="s">
        <v>24</v>
      </c>
      <c r="D312" s="46">
        <v>100</v>
      </c>
      <c r="E312" s="138">
        <f>247*8*(A314/1973)</f>
        <v>84.127724277749621</v>
      </c>
      <c r="F312" s="45">
        <f>E312/A314</f>
        <v>1.001520527116067</v>
      </c>
      <c r="G312" s="32">
        <f>D312/E312*F312</f>
        <v>1.1904761904761907</v>
      </c>
      <c r="H312" s="144">
        <v>8.1377500000000005</v>
      </c>
      <c r="I312" s="88">
        <f>H312*G312</f>
        <v>9.6877976190476218</v>
      </c>
      <c r="J312" s="121"/>
      <c r="K312" s="130"/>
      <c r="L312" s="121"/>
    </row>
    <row r="313" spans="1:12">
      <c r="A313" s="105" t="s">
        <v>66</v>
      </c>
      <c r="B313" s="5" t="s">
        <v>21</v>
      </c>
      <c r="C313" s="29" t="s">
        <v>25</v>
      </c>
      <c r="D313" s="8">
        <v>10</v>
      </c>
      <c r="E313" s="139">
        <f>247*8*(A314/1973)</f>
        <v>84.127724277749621</v>
      </c>
      <c r="F313" s="26">
        <f>E313/A314</f>
        <v>1.001520527116067</v>
      </c>
      <c r="G313" s="32">
        <f>D313/E313*F313</f>
        <v>0.11904761904761905</v>
      </c>
      <c r="H313" s="145">
        <v>1849.56</v>
      </c>
      <c r="I313" s="88">
        <f t="shared" ref="I313:I315" si="110">H313*G313</f>
        <v>220.18571428571428</v>
      </c>
      <c r="J313" s="121"/>
      <c r="K313" s="130"/>
      <c r="L313" s="121"/>
    </row>
    <row r="314" spans="1:12">
      <c r="A314" s="106">
        <v>84</v>
      </c>
      <c r="B314" s="27" t="s">
        <v>22</v>
      </c>
      <c r="C314" s="30" t="s">
        <v>26</v>
      </c>
      <c r="D314" s="27">
        <v>30</v>
      </c>
      <c r="E314" s="139">
        <f>247*8*(A314/1973)</f>
        <v>84.127724277749621</v>
      </c>
      <c r="F314" s="26">
        <f>E314/A314</f>
        <v>1.001520527116067</v>
      </c>
      <c r="G314" s="32">
        <f t="shared" ref="G314:G315" si="111">D314/E314*F314</f>
        <v>0.35714285714285721</v>
      </c>
      <c r="H314" s="146">
        <v>54.38</v>
      </c>
      <c r="I314" s="88">
        <f t="shared" si="110"/>
        <v>19.421428571428574</v>
      </c>
      <c r="J314" s="121"/>
      <c r="K314" s="130"/>
      <c r="L314" s="121"/>
    </row>
    <row r="315" spans="1:12">
      <c r="A315" s="107" t="s">
        <v>109</v>
      </c>
      <c r="B315" s="27" t="s">
        <v>23</v>
      </c>
      <c r="C315" s="30" t="s">
        <v>26</v>
      </c>
      <c r="D315" s="27">
        <v>30</v>
      </c>
      <c r="E315" s="139">
        <f>247*8*(A314/1973)</f>
        <v>84.127724277749621</v>
      </c>
      <c r="F315" s="26">
        <f>E315/A314</f>
        <v>1.001520527116067</v>
      </c>
      <c r="G315" s="32">
        <f t="shared" si="111"/>
        <v>0.35714285714285721</v>
      </c>
      <c r="H315" s="146">
        <v>65.260000000000005</v>
      </c>
      <c r="I315" s="88">
        <f t="shared" si="110"/>
        <v>23.307142857142864</v>
      </c>
      <c r="J315" s="121"/>
      <c r="K315" s="130"/>
      <c r="L315" s="121"/>
    </row>
    <row r="316" spans="1:12" s="1" customFormat="1" ht="15.75" thickBot="1">
      <c r="A316" s="108"/>
      <c r="B316" s="18"/>
      <c r="C316" s="18"/>
      <c r="D316" s="18"/>
      <c r="E316" s="95"/>
      <c r="F316" s="18"/>
      <c r="G316" s="33"/>
      <c r="H316" s="147"/>
      <c r="I316" s="87">
        <f>SUM(I312:I315)</f>
        <v>272.60208333333333</v>
      </c>
      <c r="J316" s="130">
        <f>I316*A314</f>
        <v>22898.575000000001</v>
      </c>
      <c r="K316" s="149">
        <v>22898.575000000001</v>
      </c>
      <c r="L316" s="130">
        <f>K316-J316</f>
        <v>0</v>
      </c>
    </row>
    <row r="317" spans="1:12">
      <c r="A317" s="104" t="s">
        <v>94</v>
      </c>
      <c r="B317" s="13" t="s">
        <v>20</v>
      </c>
      <c r="C317" s="44" t="s">
        <v>24</v>
      </c>
      <c r="D317" s="46">
        <v>100</v>
      </c>
      <c r="E317" s="138">
        <f>247*8*(A319/1973)</f>
        <v>17.025848960973136</v>
      </c>
      <c r="F317" s="45">
        <f>E317/A319</f>
        <v>1.0015205271160668</v>
      </c>
      <c r="G317" s="32">
        <f>D317/E317*F317</f>
        <v>5.882352941176471</v>
      </c>
      <c r="H317" s="144">
        <v>8.1377500000000005</v>
      </c>
      <c r="I317" s="88">
        <f>H317*G317</f>
        <v>47.869117647058829</v>
      </c>
      <c r="J317" s="121"/>
      <c r="K317" s="130"/>
      <c r="L317" s="121"/>
    </row>
    <row r="318" spans="1:12">
      <c r="A318" s="105" t="s">
        <v>66</v>
      </c>
      <c r="B318" s="5" t="s">
        <v>21</v>
      </c>
      <c r="C318" s="29" t="s">
        <v>25</v>
      </c>
      <c r="D318" s="8">
        <v>10</v>
      </c>
      <c r="E318" s="139">
        <f>247*8*(A319/1973)</f>
        <v>17.025848960973136</v>
      </c>
      <c r="F318" s="26">
        <f>E318/A319</f>
        <v>1.0015205271160668</v>
      </c>
      <c r="G318" s="32">
        <f>D318/E318*F318</f>
        <v>0.58823529411764708</v>
      </c>
      <c r="H318" s="145">
        <v>1849.56</v>
      </c>
      <c r="I318" s="88">
        <f t="shared" ref="I318:I320" si="112">H318*G318</f>
        <v>1087.9764705882353</v>
      </c>
      <c r="J318" s="121"/>
      <c r="K318" s="130"/>
      <c r="L318" s="121"/>
    </row>
    <row r="319" spans="1:12">
      <c r="A319" s="106">
        <v>17</v>
      </c>
      <c r="B319" s="27" t="s">
        <v>22</v>
      </c>
      <c r="C319" s="30" t="s">
        <v>26</v>
      </c>
      <c r="D319" s="27">
        <v>30</v>
      </c>
      <c r="E319" s="139">
        <f>247*8*(A319/1973)</f>
        <v>17.025848960973136</v>
      </c>
      <c r="F319" s="26">
        <f>E319/A319</f>
        <v>1.0015205271160668</v>
      </c>
      <c r="G319" s="32">
        <f t="shared" ref="G319:G320" si="113">D319/E319*F319</f>
        <v>1.7647058823529411</v>
      </c>
      <c r="H319" s="146">
        <v>54.38</v>
      </c>
      <c r="I319" s="88">
        <f t="shared" si="112"/>
        <v>95.964705882352945</v>
      </c>
      <c r="J319" s="121"/>
      <c r="K319" s="130"/>
      <c r="L319" s="121"/>
    </row>
    <row r="320" spans="1:12">
      <c r="A320" s="107" t="s">
        <v>110</v>
      </c>
      <c r="B320" s="27" t="s">
        <v>23</v>
      </c>
      <c r="C320" s="30" t="s">
        <v>26</v>
      </c>
      <c r="D320" s="27">
        <v>30</v>
      </c>
      <c r="E320" s="139">
        <f>247*8*(A319/1973)</f>
        <v>17.025848960973136</v>
      </c>
      <c r="F320" s="26">
        <f>E320/A319</f>
        <v>1.0015205271160668</v>
      </c>
      <c r="G320" s="32">
        <f t="shared" si="113"/>
        <v>1.7647058823529411</v>
      </c>
      <c r="H320" s="146">
        <v>65.260000000000005</v>
      </c>
      <c r="I320" s="88">
        <f t="shared" si="112"/>
        <v>115.16470588235295</v>
      </c>
      <c r="J320" s="121"/>
      <c r="K320" s="130"/>
      <c r="L320" s="121"/>
    </row>
    <row r="321" spans="1:12" s="1" customFormat="1" ht="15.75" thickBot="1">
      <c r="A321" s="108"/>
      <c r="B321" s="18"/>
      <c r="C321" s="18"/>
      <c r="D321" s="18"/>
      <c r="E321" s="95"/>
      <c r="F321" s="18"/>
      <c r="G321" s="33"/>
      <c r="H321" s="147"/>
      <c r="I321" s="87">
        <f>SUM(I317:I320)</f>
        <v>1346.9750000000001</v>
      </c>
      <c r="J321" s="130">
        <f>I321*A319</f>
        <v>22898.575000000001</v>
      </c>
      <c r="K321" s="149">
        <v>22898.575000000001</v>
      </c>
      <c r="L321" s="130">
        <f>K321-J321</f>
        <v>0</v>
      </c>
    </row>
    <row r="322" spans="1:12" s="1" customFormat="1" ht="15.75" thickBot="1">
      <c r="A322" s="109"/>
      <c r="B322" s="40"/>
      <c r="C322" s="41"/>
      <c r="D322" s="40"/>
      <c r="E322" s="140"/>
      <c r="F322" s="40"/>
      <c r="G322" s="39"/>
      <c r="H322" s="148"/>
      <c r="I322" s="89"/>
      <c r="J322" s="121"/>
      <c r="K322" s="121"/>
      <c r="L322" s="121"/>
    </row>
    <row r="323" spans="1:12">
      <c r="A323" s="104" t="s">
        <v>73</v>
      </c>
      <c r="B323" s="13" t="s">
        <v>20</v>
      </c>
      <c r="C323" s="44" t="s">
        <v>24</v>
      </c>
      <c r="D323" s="46">
        <v>100</v>
      </c>
      <c r="E323" s="138">
        <f>247*8*(A325/1973)</f>
        <v>8.0121642169285359</v>
      </c>
      <c r="F323" s="45">
        <f>E323/A325</f>
        <v>1.001520527116067</v>
      </c>
      <c r="G323" s="32">
        <f>D323/E323*F323</f>
        <v>12.5</v>
      </c>
      <c r="H323" s="144">
        <v>8.1377500000000005</v>
      </c>
      <c r="I323" s="88">
        <f>H323*G323</f>
        <v>101.72187500000001</v>
      </c>
      <c r="J323" s="121"/>
      <c r="K323" s="121"/>
      <c r="L323" s="121"/>
    </row>
    <row r="324" spans="1:12">
      <c r="A324" s="105" t="s">
        <v>66</v>
      </c>
      <c r="B324" s="5" t="s">
        <v>21</v>
      </c>
      <c r="C324" s="29" t="s">
        <v>25</v>
      </c>
      <c r="D324" s="8">
        <v>10</v>
      </c>
      <c r="E324" s="139">
        <f>247*8*(A325/1973)</f>
        <v>8.0121642169285359</v>
      </c>
      <c r="F324" s="26">
        <f>E324/A325</f>
        <v>1.001520527116067</v>
      </c>
      <c r="G324" s="32">
        <f>D324/E324*F324</f>
        <v>1.25</v>
      </c>
      <c r="H324" s="145">
        <v>1849.56</v>
      </c>
      <c r="I324" s="88">
        <f t="shared" ref="I324:I326" si="114">H324*G324</f>
        <v>2311.9499999999998</v>
      </c>
      <c r="J324" s="121"/>
      <c r="K324" s="121"/>
      <c r="L324" s="121"/>
    </row>
    <row r="325" spans="1:12">
      <c r="A325" s="106">
        <v>8</v>
      </c>
      <c r="B325" s="27" t="s">
        <v>22</v>
      </c>
      <c r="C325" s="30" t="s">
        <v>26</v>
      </c>
      <c r="D325" s="27">
        <v>30</v>
      </c>
      <c r="E325" s="139">
        <f>247*8*(A325/1973)</f>
        <v>8.0121642169285359</v>
      </c>
      <c r="F325" s="26">
        <f>E325/A325</f>
        <v>1.001520527116067</v>
      </c>
      <c r="G325" s="32">
        <f t="shared" ref="G325:G326" si="115">D325/E325*F325</f>
        <v>3.75</v>
      </c>
      <c r="H325" s="146">
        <v>54.38</v>
      </c>
      <c r="I325" s="88">
        <f t="shared" si="114"/>
        <v>203.92500000000001</v>
      </c>
      <c r="J325" s="121"/>
      <c r="K325" s="121"/>
      <c r="L325" s="121"/>
    </row>
    <row r="326" spans="1:12">
      <c r="A326" s="107" t="s">
        <v>108</v>
      </c>
      <c r="B326" s="27" t="s">
        <v>23</v>
      </c>
      <c r="C326" s="30" t="s">
        <v>26</v>
      </c>
      <c r="D326" s="27">
        <v>30</v>
      </c>
      <c r="E326" s="139">
        <f>247*8*(A325/1973)</f>
        <v>8.0121642169285359</v>
      </c>
      <c r="F326" s="26">
        <f>E326/A325</f>
        <v>1.001520527116067</v>
      </c>
      <c r="G326" s="32">
        <f t="shared" si="115"/>
        <v>3.75</v>
      </c>
      <c r="H326" s="146">
        <v>65.260000000000005</v>
      </c>
      <c r="I326" s="88">
        <f t="shared" si="114"/>
        <v>244.72500000000002</v>
      </c>
      <c r="J326" s="121"/>
      <c r="K326" s="121"/>
      <c r="L326" s="121"/>
    </row>
    <row r="327" spans="1:12" s="1" customFormat="1" ht="15.75" thickBot="1">
      <c r="A327" s="108"/>
      <c r="B327" s="18"/>
      <c r="C327" s="18"/>
      <c r="D327" s="18"/>
      <c r="E327" s="95"/>
      <c r="F327" s="18"/>
      <c r="G327" s="33"/>
      <c r="H327" s="147"/>
      <c r="I327" s="87">
        <f>SUM(I323:I326)</f>
        <v>2862.3218750000001</v>
      </c>
      <c r="J327" s="130">
        <f>I327*A325</f>
        <v>22898.575000000001</v>
      </c>
      <c r="K327" s="149">
        <v>22898.575000000001</v>
      </c>
      <c r="L327" s="130">
        <f>K327-J327</f>
        <v>0</v>
      </c>
    </row>
    <row r="328" spans="1:12">
      <c r="A328" s="104" t="s">
        <v>73</v>
      </c>
      <c r="B328" s="13" t="s">
        <v>20</v>
      </c>
      <c r="C328" s="44" t="s">
        <v>24</v>
      </c>
      <c r="D328" s="46">
        <v>100</v>
      </c>
      <c r="E328" s="138">
        <f>247*8*(A330/1973)</f>
        <v>23.034972123669537</v>
      </c>
      <c r="F328" s="45">
        <f>E328/A330</f>
        <v>1.0015205271160668</v>
      </c>
      <c r="G328" s="32">
        <f>D328/E328*F328</f>
        <v>4.3478260869565215</v>
      </c>
      <c r="H328" s="144">
        <v>8.1377500000000005</v>
      </c>
      <c r="I328" s="88">
        <f>H328*G328</f>
        <v>35.381521739130434</v>
      </c>
      <c r="J328" s="121"/>
      <c r="K328" s="130"/>
      <c r="L328" s="121"/>
    </row>
    <row r="329" spans="1:12">
      <c r="A329" s="105" t="s">
        <v>66</v>
      </c>
      <c r="B329" s="5" t="s">
        <v>21</v>
      </c>
      <c r="C329" s="29" t="s">
        <v>25</v>
      </c>
      <c r="D329" s="8">
        <v>10</v>
      </c>
      <c r="E329" s="139">
        <f>247*8*(A330/1973)</f>
        <v>23.034972123669537</v>
      </c>
      <c r="F329" s="26">
        <f>E329/A330</f>
        <v>1.0015205271160668</v>
      </c>
      <c r="G329" s="32">
        <f>D329/E329*F329</f>
        <v>0.43478260869565216</v>
      </c>
      <c r="H329" s="145">
        <v>1849.56</v>
      </c>
      <c r="I329" s="88">
        <f t="shared" ref="I329:I331" si="116">H329*G329</f>
        <v>804.15652173913043</v>
      </c>
      <c r="J329" s="121"/>
      <c r="K329" s="130"/>
      <c r="L329" s="121"/>
    </row>
    <row r="330" spans="1:12">
      <c r="A330" s="106">
        <v>23</v>
      </c>
      <c r="B330" s="27" t="s">
        <v>22</v>
      </c>
      <c r="C330" s="30" t="s">
        <v>26</v>
      </c>
      <c r="D330" s="27">
        <v>30</v>
      </c>
      <c r="E330" s="139">
        <f>247*8*(A330/1973)</f>
        <v>23.034972123669537</v>
      </c>
      <c r="F330" s="26">
        <f>E330/A330</f>
        <v>1.0015205271160668</v>
      </c>
      <c r="G330" s="32">
        <f t="shared" ref="G330:G331" si="117">D330/E330*F330</f>
        <v>1.3043478260869565</v>
      </c>
      <c r="H330" s="146">
        <v>54.38</v>
      </c>
      <c r="I330" s="88">
        <f t="shared" si="116"/>
        <v>70.9304347826087</v>
      </c>
      <c r="J330" s="121"/>
      <c r="K330" s="130"/>
      <c r="L330" s="121"/>
    </row>
    <row r="331" spans="1:12">
      <c r="A331" s="107" t="s">
        <v>109</v>
      </c>
      <c r="B331" s="27" t="s">
        <v>23</v>
      </c>
      <c r="C331" s="30" t="s">
        <v>26</v>
      </c>
      <c r="D331" s="27">
        <v>30</v>
      </c>
      <c r="E331" s="139">
        <f>247*8*(A330/1973)</f>
        <v>23.034972123669537</v>
      </c>
      <c r="F331" s="26">
        <f>E331/A330</f>
        <v>1.0015205271160668</v>
      </c>
      <c r="G331" s="32">
        <f t="shared" si="117"/>
        <v>1.3043478260869565</v>
      </c>
      <c r="H331" s="146">
        <v>65.260000000000005</v>
      </c>
      <c r="I331" s="88">
        <f t="shared" si="116"/>
        <v>85.12173913043479</v>
      </c>
      <c r="J331" s="121"/>
      <c r="K331" s="130"/>
      <c r="L331" s="121"/>
    </row>
    <row r="332" spans="1:12" s="1" customFormat="1" ht="15.75" thickBot="1">
      <c r="A332" s="108"/>
      <c r="B332" s="18"/>
      <c r="C332" s="18"/>
      <c r="D332" s="18"/>
      <c r="E332" s="95"/>
      <c r="F332" s="18"/>
      <c r="G332" s="33"/>
      <c r="H332" s="147"/>
      <c r="I332" s="87">
        <f>SUM(I328:I331)</f>
        <v>995.59021739130435</v>
      </c>
      <c r="J332" s="130">
        <f>I332*A330</f>
        <v>22898.575000000001</v>
      </c>
      <c r="K332" s="149">
        <v>22898.575000000001</v>
      </c>
      <c r="L332" s="130">
        <f>K332-J332</f>
        <v>0</v>
      </c>
    </row>
    <row r="333" spans="1:12">
      <c r="A333" s="104" t="s">
        <v>73</v>
      </c>
      <c r="B333" s="13" t="s">
        <v>20</v>
      </c>
      <c r="C333" s="44" t="s">
        <v>24</v>
      </c>
      <c r="D333" s="46">
        <v>100</v>
      </c>
      <c r="E333" s="138">
        <f>247*8*(A335/1973)</f>
        <v>4.0060821084642679</v>
      </c>
      <c r="F333" s="45">
        <f>E333/A335</f>
        <v>1.001520527116067</v>
      </c>
      <c r="G333" s="32">
        <f>D333/E333*F333</f>
        <v>25</v>
      </c>
      <c r="H333" s="144">
        <v>8.1377500000000005</v>
      </c>
      <c r="I333" s="88">
        <f>H333*G333</f>
        <v>203.44375000000002</v>
      </c>
      <c r="J333" s="121"/>
      <c r="K333" s="130"/>
      <c r="L333" s="121"/>
    </row>
    <row r="334" spans="1:12">
      <c r="A334" s="105" t="s">
        <v>66</v>
      </c>
      <c r="B334" s="5" t="s">
        <v>21</v>
      </c>
      <c r="C334" s="29" t="s">
        <v>25</v>
      </c>
      <c r="D334" s="8">
        <v>10</v>
      </c>
      <c r="E334" s="139">
        <f>247*8*(A335/1973)</f>
        <v>4.0060821084642679</v>
      </c>
      <c r="F334" s="26">
        <f>E334/A335</f>
        <v>1.001520527116067</v>
      </c>
      <c r="G334" s="32">
        <f>D334/E334*F334</f>
        <v>2.5</v>
      </c>
      <c r="H334" s="145">
        <v>1849.56</v>
      </c>
      <c r="I334" s="88">
        <f t="shared" ref="I334:I336" si="118">H334*G334</f>
        <v>4623.8999999999996</v>
      </c>
      <c r="J334" s="121"/>
      <c r="K334" s="130"/>
      <c r="L334" s="121"/>
    </row>
    <row r="335" spans="1:12">
      <c r="A335" s="106">
        <v>4</v>
      </c>
      <c r="B335" s="27" t="s">
        <v>22</v>
      </c>
      <c r="C335" s="30" t="s">
        <v>26</v>
      </c>
      <c r="D335" s="27">
        <v>30</v>
      </c>
      <c r="E335" s="139">
        <f>247*8*(A335/1973)</f>
        <v>4.0060821084642679</v>
      </c>
      <c r="F335" s="26">
        <f>E335/A335</f>
        <v>1.001520527116067</v>
      </c>
      <c r="G335" s="32">
        <f t="shared" ref="G335:G336" si="119">D335/E335*F335</f>
        <v>7.5</v>
      </c>
      <c r="H335" s="146">
        <v>54.38</v>
      </c>
      <c r="I335" s="88">
        <f t="shared" si="118"/>
        <v>407.85</v>
      </c>
      <c r="J335" s="121"/>
      <c r="K335" s="130"/>
      <c r="L335" s="121"/>
    </row>
    <row r="336" spans="1:12">
      <c r="A336" s="107" t="s">
        <v>110</v>
      </c>
      <c r="B336" s="27" t="s">
        <v>23</v>
      </c>
      <c r="C336" s="30" t="s">
        <v>26</v>
      </c>
      <c r="D336" s="27">
        <v>30</v>
      </c>
      <c r="E336" s="139">
        <f>247*8*(A335/1973)</f>
        <v>4.0060821084642679</v>
      </c>
      <c r="F336" s="26">
        <f>E336/A335</f>
        <v>1.001520527116067</v>
      </c>
      <c r="G336" s="32">
        <f t="shared" si="119"/>
        <v>7.5</v>
      </c>
      <c r="H336" s="146">
        <v>65.260000000000005</v>
      </c>
      <c r="I336" s="88">
        <f t="shared" si="118"/>
        <v>489.45000000000005</v>
      </c>
      <c r="J336" s="121"/>
      <c r="K336" s="130"/>
      <c r="L336" s="121"/>
    </row>
    <row r="337" spans="1:20" s="1" customFormat="1" ht="15.75" thickBot="1">
      <c r="A337" s="108"/>
      <c r="B337" s="18"/>
      <c r="C337" s="18"/>
      <c r="D337" s="18"/>
      <c r="E337" s="95"/>
      <c r="F337" s="18"/>
      <c r="G337" s="33"/>
      <c r="H337" s="147"/>
      <c r="I337" s="87">
        <f>SUM(I333:I336)</f>
        <v>5724.6437500000002</v>
      </c>
      <c r="J337" s="130">
        <f>I337*A335</f>
        <v>22898.575000000001</v>
      </c>
      <c r="K337" s="149">
        <v>22898.575000000001</v>
      </c>
      <c r="L337" s="130">
        <f>K337-J337</f>
        <v>0</v>
      </c>
    </row>
    <row r="338" spans="1:20">
      <c r="A338" s="104" t="s">
        <v>74</v>
      </c>
      <c r="B338" s="13" t="s">
        <v>20</v>
      </c>
      <c r="C338" s="44" t="s">
        <v>24</v>
      </c>
      <c r="D338" s="46">
        <v>100</v>
      </c>
      <c r="E338" s="138">
        <f>247*8*(A340/1973)</f>
        <v>5.0076026355803345</v>
      </c>
      <c r="F338" s="45">
        <f>E338/A340</f>
        <v>1.001520527116067</v>
      </c>
      <c r="G338" s="32">
        <f>D338/E338*F338</f>
        <v>20.000000000000004</v>
      </c>
      <c r="H338" s="144">
        <v>8.1377500000000005</v>
      </c>
      <c r="I338" s="88">
        <f>H338*G338</f>
        <v>162.75500000000005</v>
      </c>
      <c r="J338" s="121"/>
      <c r="K338" s="130"/>
      <c r="L338" s="121"/>
    </row>
    <row r="339" spans="1:20">
      <c r="A339" s="105" t="s">
        <v>66</v>
      </c>
      <c r="B339" s="5" t="s">
        <v>21</v>
      </c>
      <c r="C339" s="29" t="s">
        <v>25</v>
      </c>
      <c r="D339" s="8">
        <v>10</v>
      </c>
      <c r="E339" s="139">
        <f>247*8*(A340/1973)</f>
        <v>5.0076026355803345</v>
      </c>
      <c r="F339" s="26">
        <f>E339/A340</f>
        <v>1.001520527116067</v>
      </c>
      <c r="G339" s="32">
        <f>D339/E339*F339</f>
        <v>2</v>
      </c>
      <c r="H339" s="145">
        <v>1849.56</v>
      </c>
      <c r="I339" s="88">
        <f t="shared" ref="I339:I341" si="120">H339*G339</f>
        <v>3699.12</v>
      </c>
      <c r="J339" s="121"/>
      <c r="K339" s="130"/>
      <c r="L339" s="121"/>
    </row>
    <row r="340" spans="1:20">
      <c r="A340" s="106">
        <v>5</v>
      </c>
      <c r="B340" s="27" t="s">
        <v>22</v>
      </c>
      <c r="C340" s="30" t="s">
        <v>26</v>
      </c>
      <c r="D340" s="27">
        <v>30</v>
      </c>
      <c r="E340" s="139">
        <f>247*8*(A340/1973)</f>
        <v>5.0076026355803345</v>
      </c>
      <c r="F340" s="26">
        <f>E340/A340</f>
        <v>1.001520527116067</v>
      </c>
      <c r="G340" s="32">
        <f t="shared" ref="G340:G341" si="121">D340/E340*F340</f>
        <v>6.0000000000000009</v>
      </c>
      <c r="H340" s="146">
        <v>54.38</v>
      </c>
      <c r="I340" s="88">
        <f t="shared" si="120"/>
        <v>326.28000000000009</v>
      </c>
      <c r="J340" s="121"/>
      <c r="K340" s="130"/>
      <c r="L340" s="121"/>
    </row>
    <row r="341" spans="1:20">
      <c r="A341" s="107" t="s">
        <v>108</v>
      </c>
      <c r="B341" s="27" t="s">
        <v>23</v>
      </c>
      <c r="C341" s="30" t="s">
        <v>26</v>
      </c>
      <c r="D341" s="27">
        <v>30</v>
      </c>
      <c r="E341" s="139">
        <f>247*8*(A340/1973)</f>
        <v>5.0076026355803345</v>
      </c>
      <c r="F341" s="26">
        <f>E341/A340</f>
        <v>1.001520527116067</v>
      </c>
      <c r="G341" s="32">
        <f t="shared" si="121"/>
        <v>6.0000000000000009</v>
      </c>
      <c r="H341" s="146">
        <v>65.260000000000005</v>
      </c>
      <c r="I341" s="88">
        <f t="shared" si="120"/>
        <v>391.56000000000012</v>
      </c>
      <c r="J341" s="121"/>
      <c r="K341" s="130"/>
      <c r="L341" s="121"/>
    </row>
    <row r="342" spans="1:20" s="1" customFormat="1" ht="15.75" thickBot="1">
      <c r="A342" s="108"/>
      <c r="B342" s="18"/>
      <c r="C342" s="18"/>
      <c r="D342" s="18"/>
      <c r="E342" s="95"/>
      <c r="F342" s="18"/>
      <c r="G342" s="33"/>
      <c r="H342" s="147"/>
      <c r="I342" s="87">
        <f>SUM(I338:I341)</f>
        <v>4579.7150000000001</v>
      </c>
      <c r="J342" s="130">
        <f>I342*A340</f>
        <v>22898.575000000001</v>
      </c>
      <c r="K342" s="149">
        <v>22898.575000000001</v>
      </c>
      <c r="L342" s="130">
        <f>K342-J342</f>
        <v>0</v>
      </c>
    </row>
    <row r="343" spans="1:20">
      <c r="A343" s="104" t="s">
        <v>74</v>
      </c>
      <c r="B343" s="13" t="s">
        <v>20</v>
      </c>
      <c r="C343" s="44" t="s">
        <v>24</v>
      </c>
      <c r="D343" s="46">
        <v>100</v>
      </c>
      <c r="E343" s="138">
        <f>247*8*(A345/1973)</f>
        <v>34.051697921946271</v>
      </c>
      <c r="F343" s="45">
        <f>E343/A345</f>
        <v>1.0015205271160668</v>
      </c>
      <c r="G343" s="32">
        <f>D343/E343*F343</f>
        <v>2.9411764705882355</v>
      </c>
      <c r="H343" s="144">
        <v>8.1377500000000005</v>
      </c>
      <c r="I343" s="88">
        <f>H343*G343</f>
        <v>23.934558823529414</v>
      </c>
      <c r="J343" s="121"/>
      <c r="K343" s="130"/>
      <c r="L343" s="121"/>
    </row>
    <row r="344" spans="1:20">
      <c r="A344" s="105" t="s">
        <v>66</v>
      </c>
      <c r="B344" s="5" t="s">
        <v>21</v>
      </c>
      <c r="C344" s="29" t="s">
        <v>25</v>
      </c>
      <c r="D344" s="8">
        <v>10</v>
      </c>
      <c r="E344" s="139">
        <f>247*8*(A345/1973)</f>
        <v>34.051697921946271</v>
      </c>
      <c r="F344" s="26">
        <f>E344/A345</f>
        <v>1.0015205271160668</v>
      </c>
      <c r="G344" s="32">
        <f>D344/E344*F344</f>
        <v>0.29411764705882354</v>
      </c>
      <c r="H344" s="145">
        <v>1849.56</v>
      </c>
      <c r="I344" s="88">
        <f t="shared" ref="I344:I346" si="122">H344*G344</f>
        <v>543.98823529411766</v>
      </c>
      <c r="J344" s="121"/>
      <c r="K344" s="130"/>
      <c r="L344" s="121"/>
    </row>
    <row r="345" spans="1:20">
      <c r="A345" s="106">
        <v>34</v>
      </c>
      <c r="B345" s="27" t="s">
        <v>22</v>
      </c>
      <c r="C345" s="30" t="s">
        <v>26</v>
      </c>
      <c r="D345" s="27">
        <v>30</v>
      </c>
      <c r="E345" s="139">
        <f>247*8*(A345/1973)</f>
        <v>34.051697921946271</v>
      </c>
      <c r="F345" s="26">
        <f>E345/A345</f>
        <v>1.0015205271160668</v>
      </c>
      <c r="G345" s="32">
        <f t="shared" ref="G345:G346" si="123">D345/E345*F345</f>
        <v>0.88235294117647056</v>
      </c>
      <c r="H345" s="146">
        <v>54.38</v>
      </c>
      <c r="I345" s="88">
        <f t="shared" si="122"/>
        <v>47.982352941176472</v>
      </c>
      <c r="J345" s="121"/>
      <c r="K345" s="130"/>
      <c r="L345" s="121"/>
    </row>
    <row r="346" spans="1:20">
      <c r="A346" s="107" t="s">
        <v>109</v>
      </c>
      <c r="B346" s="27" t="s">
        <v>23</v>
      </c>
      <c r="C346" s="30" t="s">
        <v>26</v>
      </c>
      <c r="D346" s="27">
        <v>30</v>
      </c>
      <c r="E346" s="139">
        <f>247*8*(A345/1973)</f>
        <v>34.051697921946271</v>
      </c>
      <c r="F346" s="26">
        <f>E346/A345</f>
        <v>1.0015205271160668</v>
      </c>
      <c r="G346" s="32">
        <f t="shared" si="123"/>
        <v>0.88235294117647056</v>
      </c>
      <c r="H346" s="146">
        <v>65.260000000000005</v>
      </c>
      <c r="I346" s="88">
        <f t="shared" si="122"/>
        <v>57.582352941176474</v>
      </c>
      <c r="J346" s="121"/>
      <c r="K346" s="130"/>
      <c r="L346" s="121"/>
    </row>
    <row r="347" spans="1:20" s="1" customFormat="1" ht="15.75" thickBot="1">
      <c r="A347" s="108"/>
      <c r="B347" s="18"/>
      <c r="C347" s="18"/>
      <c r="D347" s="18"/>
      <c r="E347" s="95"/>
      <c r="F347" s="18"/>
      <c r="G347" s="33"/>
      <c r="H347" s="147"/>
      <c r="I347" s="87">
        <f>SUM(I343:I346)</f>
        <v>673.48750000000007</v>
      </c>
      <c r="J347" s="130">
        <f>I347*A345</f>
        <v>22898.575000000001</v>
      </c>
      <c r="K347" s="149">
        <v>22898.575000000001</v>
      </c>
      <c r="L347" s="130">
        <f>K347-J347</f>
        <v>0</v>
      </c>
    </row>
    <row r="348" spans="1:20" s="1" customFormat="1">
      <c r="A348" s="109"/>
      <c r="B348" s="40"/>
      <c r="C348" s="40"/>
      <c r="D348" s="40"/>
      <c r="E348" s="123"/>
      <c r="F348" s="40"/>
      <c r="G348" s="61"/>
      <c r="H348" s="148"/>
      <c r="I348" s="75"/>
      <c r="J348" s="130"/>
      <c r="K348" s="130"/>
      <c r="L348" s="130"/>
    </row>
    <row r="349" spans="1:20">
      <c r="I349" s="72"/>
      <c r="J349" s="121"/>
      <c r="K349" s="121"/>
      <c r="L349" s="121"/>
    </row>
    <row r="350" spans="1:20" ht="19.5" thickBot="1">
      <c r="A350" s="100" t="s">
        <v>81</v>
      </c>
      <c r="I350" s="72"/>
      <c r="J350" s="121"/>
      <c r="K350" s="121"/>
      <c r="L350" s="121"/>
      <c r="T350" s="1"/>
    </row>
    <row r="351" spans="1:20" ht="90" customHeight="1">
      <c r="A351" s="102" t="s">
        <v>2</v>
      </c>
      <c r="B351" s="21" t="s">
        <v>19</v>
      </c>
      <c r="C351" s="21" t="s">
        <v>14</v>
      </c>
      <c r="D351" s="21" t="s">
        <v>16</v>
      </c>
      <c r="E351" s="133" t="s">
        <v>27</v>
      </c>
      <c r="F351" s="21" t="s">
        <v>65</v>
      </c>
      <c r="G351" s="21" t="s">
        <v>29</v>
      </c>
      <c r="H351" s="133" t="s">
        <v>30</v>
      </c>
      <c r="I351" s="77" t="s">
        <v>11</v>
      </c>
      <c r="J351" s="129" t="s">
        <v>33</v>
      </c>
      <c r="K351" s="129" t="s">
        <v>34</v>
      </c>
      <c r="L351" s="129"/>
    </row>
    <row r="352" spans="1:20" ht="15.75" thickBot="1">
      <c r="A352" s="103">
        <v>1</v>
      </c>
      <c r="B352" s="23">
        <v>2</v>
      </c>
      <c r="C352" s="23">
        <v>3</v>
      </c>
      <c r="D352" s="23">
        <v>4</v>
      </c>
      <c r="E352" s="137">
        <v>5</v>
      </c>
      <c r="F352" s="23" t="s">
        <v>53</v>
      </c>
      <c r="G352" s="23" t="s">
        <v>31</v>
      </c>
      <c r="H352" s="143">
        <v>8</v>
      </c>
      <c r="I352" s="78" t="s">
        <v>32</v>
      </c>
      <c r="J352" s="121"/>
      <c r="K352" s="121"/>
      <c r="L352" s="121"/>
    </row>
    <row r="353" spans="1:12">
      <c r="A353" s="104" t="s">
        <v>64</v>
      </c>
      <c r="B353" s="11" t="s">
        <v>20</v>
      </c>
      <c r="C353" s="28" t="s">
        <v>24</v>
      </c>
      <c r="D353" s="46">
        <v>100</v>
      </c>
      <c r="E353" s="138">
        <f>247*8*(A355/1973)</f>
        <v>25.038013177901671</v>
      </c>
      <c r="F353" s="45">
        <f>E353/A355</f>
        <v>1.0015205271160668</v>
      </c>
      <c r="G353" s="32">
        <f>D353/E353*F353</f>
        <v>3.9999999999999996</v>
      </c>
      <c r="H353" s="144">
        <v>8.1377500000000005</v>
      </c>
      <c r="I353" s="88">
        <f>H353*G353</f>
        <v>32.550999999999995</v>
      </c>
      <c r="J353" s="121"/>
      <c r="K353" s="121"/>
      <c r="L353" s="121"/>
    </row>
    <row r="354" spans="1:12">
      <c r="A354" s="105" t="s">
        <v>66</v>
      </c>
      <c r="B354" s="5" t="s">
        <v>21</v>
      </c>
      <c r="C354" s="29" t="s">
        <v>25</v>
      </c>
      <c r="D354" s="8">
        <v>10</v>
      </c>
      <c r="E354" s="139">
        <f>247*8*(A355/1973)</f>
        <v>25.038013177901671</v>
      </c>
      <c r="F354" s="26">
        <f>E354/A355</f>
        <v>1.0015205271160668</v>
      </c>
      <c r="G354" s="32">
        <f>D354/E354*F354</f>
        <v>0.39999999999999997</v>
      </c>
      <c r="H354" s="145">
        <v>1849.56</v>
      </c>
      <c r="I354" s="88">
        <f t="shared" ref="I354:I356" si="124">H354*G354</f>
        <v>739.82399999999996</v>
      </c>
      <c r="J354" s="121"/>
      <c r="K354" s="121"/>
      <c r="L354" s="121"/>
    </row>
    <row r="355" spans="1:12">
      <c r="A355" s="106">
        <v>25</v>
      </c>
      <c r="B355" s="27" t="s">
        <v>22</v>
      </c>
      <c r="C355" s="30" t="s">
        <v>26</v>
      </c>
      <c r="D355" s="27">
        <v>30</v>
      </c>
      <c r="E355" s="139">
        <f>247*8*(A355/1973)</f>
        <v>25.038013177901671</v>
      </c>
      <c r="F355" s="26">
        <f>E355/A355</f>
        <v>1.0015205271160668</v>
      </c>
      <c r="G355" s="32">
        <f t="shared" ref="G355:G356" si="125">D355/E355*F355</f>
        <v>1.2</v>
      </c>
      <c r="H355" s="146">
        <v>54.38</v>
      </c>
      <c r="I355" s="88">
        <f t="shared" si="124"/>
        <v>65.256</v>
      </c>
      <c r="J355" s="121"/>
      <c r="K355" s="121"/>
      <c r="L355" s="121"/>
    </row>
    <row r="356" spans="1:12">
      <c r="A356" s="107"/>
      <c r="B356" s="27" t="s">
        <v>23</v>
      </c>
      <c r="C356" s="30" t="s">
        <v>26</v>
      </c>
      <c r="D356" s="27">
        <v>30</v>
      </c>
      <c r="E356" s="139">
        <f>247*8*(A355/1973)</f>
        <v>25.038013177901671</v>
      </c>
      <c r="F356" s="26">
        <f>E356/A355</f>
        <v>1.0015205271160668</v>
      </c>
      <c r="G356" s="32">
        <f t="shared" si="125"/>
        <v>1.2</v>
      </c>
      <c r="H356" s="146">
        <v>65.260000000000005</v>
      </c>
      <c r="I356" s="88">
        <f t="shared" si="124"/>
        <v>78.311999999999998</v>
      </c>
      <c r="J356" s="121"/>
      <c r="K356" s="121"/>
      <c r="L356" s="121"/>
    </row>
    <row r="357" spans="1:12" s="1" customFormat="1" ht="15.75" thickBot="1">
      <c r="A357" s="108"/>
      <c r="B357" s="18"/>
      <c r="C357" s="18"/>
      <c r="D357" s="18"/>
      <c r="E357" s="95"/>
      <c r="F357" s="18"/>
      <c r="G357" s="33"/>
      <c r="H357" s="147"/>
      <c r="I357" s="87">
        <f>SUM(I353:I356)</f>
        <v>915.94299999999998</v>
      </c>
      <c r="J357" s="130">
        <f>I357*A355</f>
        <v>22898.575000000001</v>
      </c>
      <c r="K357" s="149">
        <v>22898.575000000001</v>
      </c>
      <c r="L357" s="130">
        <f>K357-J357</f>
        <v>0</v>
      </c>
    </row>
    <row r="358" spans="1:12">
      <c r="A358" s="104" t="s">
        <v>67</v>
      </c>
      <c r="B358" s="11" t="s">
        <v>20</v>
      </c>
      <c r="C358" s="28" t="s">
        <v>24</v>
      </c>
      <c r="D358" s="46">
        <v>100</v>
      </c>
      <c r="E358" s="138">
        <f>247*8*(A360/1973)</f>
        <v>25.038013177901671</v>
      </c>
      <c r="F358" s="45">
        <f>E358/A360</f>
        <v>1.0015205271160668</v>
      </c>
      <c r="G358" s="32">
        <f>D358/E358*F358</f>
        <v>3.9999999999999996</v>
      </c>
      <c r="H358" s="144">
        <v>8.1377500000000005</v>
      </c>
      <c r="I358" s="88">
        <f>H358*G358</f>
        <v>32.550999999999995</v>
      </c>
      <c r="J358" s="121"/>
      <c r="K358" s="130"/>
      <c r="L358" s="121"/>
    </row>
    <row r="359" spans="1:12">
      <c r="A359" s="105" t="s">
        <v>66</v>
      </c>
      <c r="B359" s="5" t="s">
        <v>21</v>
      </c>
      <c r="C359" s="29" t="s">
        <v>25</v>
      </c>
      <c r="D359" s="8">
        <v>10</v>
      </c>
      <c r="E359" s="139">
        <f>247*8*(A360/1973)</f>
        <v>25.038013177901671</v>
      </c>
      <c r="F359" s="26">
        <f>E359/A360</f>
        <v>1.0015205271160668</v>
      </c>
      <c r="G359" s="32">
        <f>D359/E359*F359</f>
        <v>0.39999999999999997</v>
      </c>
      <c r="H359" s="145">
        <v>1849.56</v>
      </c>
      <c r="I359" s="88">
        <f t="shared" ref="I359:I361" si="126">H359*G359</f>
        <v>739.82399999999996</v>
      </c>
      <c r="J359" s="121"/>
      <c r="K359" s="130"/>
      <c r="L359" s="121"/>
    </row>
    <row r="360" spans="1:12">
      <c r="A360" s="106">
        <v>25</v>
      </c>
      <c r="B360" s="27" t="s">
        <v>22</v>
      </c>
      <c r="C360" s="30" t="s">
        <v>26</v>
      </c>
      <c r="D360" s="27">
        <v>30</v>
      </c>
      <c r="E360" s="139">
        <f>247*8*(A360/1973)</f>
        <v>25.038013177901671</v>
      </c>
      <c r="F360" s="26">
        <f>E360/A360</f>
        <v>1.0015205271160668</v>
      </c>
      <c r="G360" s="32">
        <f t="shared" ref="G360:G361" si="127">D360/E360*F360</f>
        <v>1.2</v>
      </c>
      <c r="H360" s="146">
        <v>54.38</v>
      </c>
      <c r="I360" s="88">
        <f t="shared" si="126"/>
        <v>65.256</v>
      </c>
      <c r="J360" s="121"/>
      <c r="K360" s="130"/>
      <c r="L360" s="121"/>
    </row>
    <row r="361" spans="1:12">
      <c r="A361" s="107"/>
      <c r="B361" s="27" t="s">
        <v>23</v>
      </c>
      <c r="C361" s="30" t="s">
        <v>26</v>
      </c>
      <c r="D361" s="27">
        <v>30</v>
      </c>
      <c r="E361" s="139">
        <f>247*8*(A360/1973)</f>
        <v>25.038013177901671</v>
      </c>
      <c r="F361" s="26">
        <f>E361/A360</f>
        <v>1.0015205271160668</v>
      </c>
      <c r="G361" s="32">
        <f t="shared" si="127"/>
        <v>1.2</v>
      </c>
      <c r="H361" s="146">
        <v>65.260000000000005</v>
      </c>
      <c r="I361" s="88">
        <f t="shared" si="126"/>
        <v>78.311999999999998</v>
      </c>
      <c r="J361" s="121"/>
      <c r="K361" s="130"/>
      <c r="L361" s="121"/>
    </row>
    <row r="362" spans="1:12" s="1" customFormat="1" ht="15.75" thickBot="1">
      <c r="A362" s="108"/>
      <c r="B362" s="18"/>
      <c r="C362" s="18"/>
      <c r="D362" s="18"/>
      <c r="E362" s="95"/>
      <c r="F362" s="18"/>
      <c r="G362" s="33"/>
      <c r="H362" s="147"/>
      <c r="I362" s="87">
        <f>SUM(I358:I361)</f>
        <v>915.94299999999998</v>
      </c>
      <c r="J362" s="130">
        <f>I362*A360</f>
        <v>22898.575000000001</v>
      </c>
      <c r="K362" s="149">
        <v>22898.575000000001</v>
      </c>
      <c r="L362" s="130">
        <f>K362-J362</f>
        <v>0</v>
      </c>
    </row>
    <row r="363" spans="1:12">
      <c r="A363" s="104" t="s">
        <v>68</v>
      </c>
      <c r="B363" s="11" t="s">
        <v>20</v>
      </c>
      <c r="C363" s="28" t="s">
        <v>24</v>
      </c>
      <c r="D363" s="46">
        <v>100</v>
      </c>
      <c r="E363" s="138">
        <f>247*8*(A365/1973)</f>
        <v>55.083628991383677</v>
      </c>
      <c r="F363" s="45">
        <f>E363/A365</f>
        <v>1.0015205271160668</v>
      </c>
      <c r="G363" s="32">
        <f>D363/E363*F363</f>
        <v>1.8181818181818181</v>
      </c>
      <c r="H363" s="144">
        <v>8.1377500000000005</v>
      </c>
      <c r="I363" s="88">
        <f>H363*G363</f>
        <v>14.795909090909092</v>
      </c>
      <c r="J363" s="121"/>
      <c r="K363" s="130"/>
      <c r="L363" s="121"/>
    </row>
    <row r="364" spans="1:12">
      <c r="A364" s="105" t="s">
        <v>66</v>
      </c>
      <c r="B364" s="5" t="s">
        <v>21</v>
      </c>
      <c r="C364" s="29" t="s">
        <v>25</v>
      </c>
      <c r="D364" s="8">
        <v>10</v>
      </c>
      <c r="E364" s="139">
        <f>247*8*(A365/1973)</f>
        <v>55.083628991383677</v>
      </c>
      <c r="F364" s="26">
        <f>E364/A365</f>
        <v>1.0015205271160668</v>
      </c>
      <c r="G364" s="32">
        <f>D364/E364*F364</f>
        <v>0.1818181818181818</v>
      </c>
      <c r="H364" s="145">
        <v>1849.56</v>
      </c>
      <c r="I364" s="88">
        <f t="shared" ref="I364:I366" si="128">H364*G364</f>
        <v>336.28363636363633</v>
      </c>
      <c r="J364" s="121"/>
      <c r="K364" s="130"/>
      <c r="L364" s="121"/>
    </row>
    <row r="365" spans="1:12">
      <c r="A365" s="106">
        <v>55</v>
      </c>
      <c r="B365" s="27" t="s">
        <v>22</v>
      </c>
      <c r="C365" s="30" t="s">
        <v>26</v>
      </c>
      <c r="D365" s="27">
        <v>30</v>
      </c>
      <c r="E365" s="139">
        <f>247*8*(A365/1973)</f>
        <v>55.083628991383677</v>
      </c>
      <c r="F365" s="26">
        <f>E365/A365</f>
        <v>1.0015205271160668</v>
      </c>
      <c r="G365" s="32">
        <f t="shared" ref="G365:G366" si="129">D365/E365*F365</f>
        <v>0.54545454545454541</v>
      </c>
      <c r="H365" s="146">
        <v>54.38</v>
      </c>
      <c r="I365" s="88">
        <f t="shared" si="128"/>
        <v>29.66181818181818</v>
      </c>
      <c r="J365" s="121"/>
      <c r="K365" s="130"/>
      <c r="L365" s="121"/>
    </row>
    <row r="366" spans="1:12">
      <c r="A366" s="107"/>
      <c r="B366" s="27" t="s">
        <v>23</v>
      </c>
      <c r="C366" s="30" t="s">
        <v>26</v>
      </c>
      <c r="D366" s="27">
        <v>30</v>
      </c>
      <c r="E366" s="139">
        <f>247*8*(A365/1973)</f>
        <v>55.083628991383677</v>
      </c>
      <c r="F366" s="26">
        <f>E366/A365</f>
        <v>1.0015205271160668</v>
      </c>
      <c r="G366" s="32">
        <f t="shared" si="129"/>
        <v>0.54545454545454541</v>
      </c>
      <c r="H366" s="146">
        <v>65.260000000000005</v>
      </c>
      <c r="I366" s="88">
        <f t="shared" si="128"/>
        <v>35.596363636363634</v>
      </c>
      <c r="J366" s="121"/>
      <c r="K366" s="130"/>
      <c r="L366" s="121"/>
    </row>
    <row r="367" spans="1:12" s="1" customFormat="1" ht="15.75" thickBot="1">
      <c r="A367" s="108"/>
      <c r="B367" s="18"/>
      <c r="C367" s="18"/>
      <c r="D367" s="18"/>
      <c r="E367" s="95"/>
      <c r="F367" s="18"/>
      <c r="G367" s="33"/>
      <c r="H367" s="147"/>
      <c r="I367" s="87">
        <f>SUM(I363:I366)</f>
        <v>416.33772727272731</v>
      </c>
      <c r="J367" s="130">
        <f>I367*A365</f>
        <v>22898.575000000001</v>
      </c>
      <c r="K367" s="149">
        <v>22898.575000000001</v>
      </c>
      <c r="L367" s="130">
        <f>K367-J367</f>
        <v>0</v>
      </c>
    </row>
    <row r="368" spans="1:12">
      <c r="A368" s="104" t="s">
        <v>69</v>
      </c>
      <c r="B368" s="11" t="s">
        <v>20</v>
      </c>
      <c r="C368" s="28" t="s">
        <v>24</v>
      </c>
      <c r="D368" s="46">
        <v>100</v>
      </c>
      <c r="E368" s="138">
        <f>247*8*(A370/1973)</f>
        <v>25.038013177901671</v>
      </c>
      <c r="F368" s="45">
        <f>E368/A370</f>
        <v>1.0015205271160668</v>
      </c>
      <c r="G368" s="32">
        <f>D368/E368*F368</f>
        <v>3.9999999999999996</v>
      </c>
      <c r="H368" s="144">
        <v>8.1377500000000005</v>
      </c>
      <c r="I368" s="88">
        <f>H368*G368</f>
        <v>32.550999999999995</v>
      </c>
      <c r="J368" s="121"/>
      <c r="K368" s="130"/>
      <c r="L368" s="121"/>
    </row>
    <row r="369" spans="1:12">
      <c r="A369" s="105" t="s">
        <v>66</v>
      </c>
      <c r="B369" s="5" t="s">
        <v>21</v>
      </c>
      <c r="C369" s="29" t="s">
        <v>25</v>
      </c>
      <c r="D369" s="8">
        <v>10</v>
      </c>
      <c r="E369" s="139">
        <f>247*8*(A370/1973)</f>
        <v>25.038013177901671</v>
      </c>
      <c r="F369" s="26">
        <f>E369/A370</f>
        <v>1.0015205271160668</v>
      </c>
      <c r="G369" s="32">
        <f>D369/E369*F369</f>
        <v>0.39999999999999997</v>
      </c>
      <c r="H369" s="145">
        <v>1849.56</v>
      </c>
      <c r="I369" s="88">
        <f t="shared" ref="I369:I371" si="130">H369*G369</f>
        <v>739.82399999999996</v>
      </c>
      <c r="J369" s="121"/>
      <c r="K369" s="130"/>
      <c r="L369" s="121"/>
    </row>
    <row r="370" spans="1:12">
      <c r="A370" s="106">
        <v>25</v>
      </c>
      <c r="B370" s="27" t="s">
        <v>22</v>
      </c>
      <c r="C370" s="30" t="s">
        <v>26</v>
      </c>
      <c r="D370" s="27">
        <v>30</v>
      </c>
      <c r="E370" s="139">
        <f>247*8*(A370/1973)</f>
        <v>25.038013177901671</v>
      </c>
      <c r="F370" s="26">
        <f>E370/A370</f>
        <v>1.0015205271160668</v>
      </c>
      <c r="G370" s="32">
        <f t="shared" ref="G370:G371" si="131">D370/E370*F370</f>
        <v>1.2</v>
      </c>
      <c r="H370" s="146">
        <v>54.38</v>
      </c>
      <c r="I370" s="88">
        <f t="shared" si="130"/>
        <v>65.256</v>
      </c>
      <c r="J370" s="121"/>
      <c r="K370" s="130"/>
      <c r="L370" s="121"/>
    </row>
    <row r="371" spans="1:12">
      <c r="A371" s="107"/>
      <c r="B371" s="27" t="s">
        <v>23</v>
      </c>
      <c r="C371" s="30" t="s">
        <v>26</v>
      </c>
      <c r="D371" s="27">
        <v>30</v>
      </c>
      <c r="E371" s="139">
        <f>247*8*(A370/1973)</f>
        <v>25.038013177901671</v>
      </c>
      <c r="F371" s="26">
        <f>E371/A370</f>
        <v>1.0015205271160668</v>
      </c>
      <c r="G371" s="32">
        <f t="shared" si="131"/>
        <v>1.2</v>
      </c>
      <c r="H371" s="146">
        <v>65.260000000000005</v>
      </c>
      <c r="I371" s="88">
        <f t="shared" si="130"/>
        <v>78.311999999999998</v>
      </c>
      <c r="J371" s="121"/>
      <c r="K371" s="130"/>
      <c r="L371" s="121"/>
    </row>
    <row r="372" spans="1:12" s="1" customFormat="1" ht="15.75" thickBot="1">
      <c r="A372" s="108"/>
      <c r="B372" s="18"/>
      <c r="C372" s="18"/>
      <c r="D372" s="18"/>
      <c r="E372" s="95"/>
      <c r="F372" s="18"/>
      <c r="G372" s="33"/>
      <c r="H372" s="147"/>
      <c r="I372" s="87">
        <f>SUM(I368:I371)</f>
        <v>915.94299999999998</v>
      </c>
      <c r="J372" s="130">
        <f>I372*A370</f>
        <v>22898.575000000001</v>
      </c>
      <c r="K372" s="149">
        <v>22898.575000000001</v>
      </c>
      <c r="L372" s="130">
        <f>K372-J372</f>
        <v>0</v>
      </c>
    </row>
    <row r="373" spans="1:12">
      <c r="A373" s="104" t="s">
        <v>70</v>
      </c>
      <c r="B373" s="11" t="s">
        <v>20</v>
      </c>
      <c r="C373" s="28" t="s">
        <v>24</v>
      </c>
      <c r="D373" s="46">
        <v>100</v>
      </c>
      <c r="E373" s="138">
        <f>247*8*(A375/1973)</f>
        <v>25.038013177901671</v>
      </c>
      <c r="F373" s="45">
        <f>E373/A375</f>
        <v>1.0015205271160668</v>
      </c>
      <c r="G373" s="32">
        <f>D373/E373*F373</f>
        <v>3.9999999999999996</v>
      </c>
      <c r="H373" s="144">
        <v>8.1377500000000005</v>
      </c>
      <c r="I373" s="88">
        <f>H373*G373</f>
        <v>32.550999999999995</v>
      </c>
      <c r="J373" s="121"/>
      <c r="K373" s="130"/>
      <c r="L373" s="121"/>
    </row>
    <row r="374" spans="1:12">
      <c r="A374" s="105" t="s">
        <v>66</v>
      </c>
      <c r="B374" s="5" t="s">
        <v>21</v>
      </c>
      <c r="C374" s="29" t="s">
        <v>25</v>
      </c>
      <c r="D374" s="8">
        <v>10</v>
      </c>
      <c r="E374" s="139">
        <f>247*8*(A375/1973)</f>
        <v>25.038013177901671</v>
      </c>
      <c r="F374" s="26">
        <f>E374/A375</f>
        <v>1.0015205271160668</v>
      </c>
      <c r="G374" s="32">
        <f>D374/E374*F374</f>
        <v>0.39999999999999997</v>
      </c>
      <c r="H374" s="145">
        <v>1849.56</v>
      </c>
      <c r="I374" s="88">
        <f t="shared" ref="I374:I376" si="132">H374*G374</f>
        <v>739.82399999999996</v>
      </c>
      <c r="J374" s="121"/>
      <c r="K374" s="130"/>
      <c r="L374" s="121"/>
    </row>
    <row r="375" spans="1:12">
      <c r="A375" s="106">
        <v>25</v>
      </c>
      <c r="B375" s="27" t="s">
        <v>22</v>
      </c>
      <c r="C375" s="30" t="s">
        <v>26</v>
      </c>
      <c r="D375" s="27">
        <v>30</v>
      </c>
      <c r="E375" s="139">
        <f>247*8*(A375/1973)</f>
        <v>25.038013177901671</v>
      </c>
      <c r="F375" s="26">
        <f>E375/A375</f>
        <v>1.0015205271160668</v>
      </c>
      <c r="G375" s="32">
        <f t="shared" ref="G375:G376" si="133">D375/E375*F375</f>
        <v>1.2</v>
      </c>
      <c r="H375" s="146">
        <v>54.38</v>
      </c>
      <c r="I375" s="88">
        <f t="shared" si="132"/>
        <v>65.256</v>
      </c>
      <c r="J375" s="121"/>
      <c r="K375" s="130"/>
      <c r="L375" s="121"/>
    </row>
    <row r="376" spans="1:12">
      <c r="A376" s="107"/>
      <c r="B376" s="27" t="s">
        <v>23</v>
      </c>
      <c r="C376" s="30" t="s">
        <v>26</v>
      </c>
      <c r="D376" s="27">
        <v>30</v>
      </c>
      <c r="E376" s="139">
        <f>247*8*(A375/1973)</f>
        <v>25.038013177901671</v>
      </c>
      <c r="F376" s="26">
        <f>E376/A375</f>
        <v>1.0015205271160668</v>
      </c>
      <c r="G376" s="32">
        <f t="shared" si="133"/>
        <v>1.2</v>
      </c>
      <c r="H376" s="146">
        <v>65.260000000000005</v>
      </c>
      <c r="I376" s="88">
        <f t="shared" si="132"/>
        <v>78.311999999999998</v>
      </c>
      <c r="J376" s="121"/>
      <c r="K376" s="130"/>
      <c r="L376" s="121"/>
    </row>
    <row r="377" spans="1:12" s="1" customFormat="1" ht="15.75" thickBot="1">
      <c r="A377" s="108"/>
      <c r="B377" s="18"/>
      <c r="C377" s="18"/>
      <c r="D377" s="18"/>
      <c r="E377" s="95"/>
      <c r="F377" s="18"/>
      <c r="G377" s="33"/>
      <c r="H377" s="147"/>
      <c r="I377" s="87">
        <f>SUM(I373:I376)</f>
        <v>915.94299999999998</v>
      </c>
      <c r="J377" s="130">
        <f>I377*A375</f>
        <v>22898.575000000001</v>
      </c>
      <c r="K377" s="149">
        <v>22898.575000000001</v>
      </c>
      <c r="L377" s="130">
        <f>K377-J377</f>
        <v>0</v>
      </c>
    </row>
    <row r="378" spans="1:12">
      <c r="A378" s="104" t="s">
        <v>71</v>
      </c>
      <c r="B378" s="11" t="s">
        <v>20</v>
      </c>
      <c r="C378" s="28" t="s">
        <v>24</v>
      </c>
      <c r="D378" s="46">
        <v>100</v>
      </c>
      <c r="E378" s="138">
        <f>247*8*(A380/1973)</f>
        <v>25.038013177901671</v>
      </c>
      <c r="F378" s="45">
        <f>E378/A380</f>
        <v>1.0015205271160668</v>
      </c>
      <c r="G378" s="32">
        <f>D378/E378*F378</f>
        <v>3.9999999999999996</v>
      </c>
      <c r="H378" s="144">
        <v>8.1377500000000005</v>
      </c>
      <c r="I378" s="88">
        <f>H378*G378</f>
        <v>32.550999999999995</v>
      </c>
      <c r="J378" s="121"/>
      <c r="K378" s="130"/>
      <c r="L378" s="121"/>
    </row>
    <row r="379" spans="1:12">
      <c r="A379" s="105" t="s">
        <v>66</v>
      </c>
      <c r="B379" s="5" t="s">
        <v>21</v>
      </c>
      <c r="C379" s="29" t="s">
        <v>25</v>
      </c>
      <c r="D379" s="8">
        <v>10</v>
      </c>
      <c r="E379" s="139">
        <f>247*8*(A380/1973)</f>
        <v>25.038013177901671</v>
      </c>
      <c r="F379" s="26">
        <f>E379/A380</f>
        <v>1.0015205271160668</v>
      </c>
      <c r="G379" s="32">
        <f>D379/E379*F379</f>
        <v>0.39999999999999997</v>
      </c>
      <c r="H379" s="145">
        <v>1849.56</v>
      </c>
      <c r="I379" s="88">
        <f t="shared" ref="I379:I381" si="134">H379*G379</f>
        <v>739.82399999999996</v>
      </c>
      <c r="J379" s="121"/>
      <c r="K379" s="130"/>
      <c r="L379" s="121"/>
    </row>
    <row r="380" spans="1:12">
      <c r="A380" s="106">
        <v>25</v>
      </c>
      <c r="B380" s="27" t="s">
        <v>22</v>
      </c>
      <c r="C380" s="30" t="s">
        <v>26</v>
      </c>
      <c r="D380" s="27">
        <v>30</v>
      </c>
      <c r="E380" s="139">
        <f>247*8*(A380/1973)</f>
        <v>25.038013177901671</v>
      </c>
      <c r="F380" s="26">
        <f>E380/A380</f>
        <v>1.0015205271160668</v>
      </c>
      <c r="G380" s="32">
        <f t="shared" ref="G380:G381" si="135">D380/E380*F380</f>
        <v>1.2</v>
      </c>
      <c r="H380" s="146">
        <v>54.38</v>
      </c>
      <c r="I380" s="88">
        <f t="shared" si="134"/>
        <v>65.256</v>
      </c>
      <c r="J380" s="121"/>
      <c r="K380" s="130"/>
      <c r="L380" s="121"/>
    </row>
    <row r="381" spans="1:12">
      <c r="A381" s="107"/>
      <c r="B381" s="27" t="s">
        <v>23</v>
      </c>
      <c r="C381" s="30" t="s">
        <v>26</v>
      </c>
      <c r="D381" s="27">
        <v>30</v>
      </c>
      <c r="E381" s="139">
        <f>247*8*(A380/1973)</f>
        <v>25.038013177901671</v>
      </c>
      <c r="F381" s="26">
        <f>E381/A380</f>
        <v>1.0015205271160668</v>
      </c>
      <c r="G381" s="32">
        <f t="shared" si="135"/>
        <v>1.2</v>
      </c>
      <c r="H381" s="146">
        <v>65.260000000000005</v>
      </c>
      <c r="I381" s="88">
        <f t="shared" si="134"/>
        <v>78.311999999999998</v>
      </c>
      <c r="J381" s="121"/>
      <c r="K381" s="130"/>
      <c r="L381" s="121"/>
    </row>
    <row r="382" spans="1:12" s="1" customFormat="1" ht="15.75" thickBot="1">
      <c r="A382" s="108"/>
      <c r="B382" s="18"/>
      <c r="C382" s="18"/>
      <c r="D382" s="18"/>
      <c r="E382" s="95"/>
      <c r="F382" s="18"/>
      <c r="G382" s="33"/>
      <c r="H382" s="147"/>
      <c r="I382" s="87">
        <f>SUM(I378:I381)</f>
        <v>915.94299999999998</v>
      </c>
      <c r="J382" s="130">
        <f>I382*A380</f>
        <v>22898.575000000001</v>
      </c>
      <c r="K382" s="149">
        <v>22898.575000000001</v>
      </c>
      <c r="L382" s="130">
        <f>K382-J382</f>
        <v>0</v>
      </c>
    </row>
    <row r="383" spans="1:12" s="1" customFormat="1" ht="15.75" thickBot="1">
      <c r="A383" s="109"/>
      <c r="B383" s="40"/>
      <c r="C383" s="41"/>
      <c r="D383" s="40"/>
      <c r="E383" s="142"/>
      <c r="F383" s="40"/>
      <c r="G383" s="39"/>
      <c r="H383" s="148"/>
      <c r="I383" s="89"/>
      <c r="J383" s="121"/>
      <c r="K383" s="149"/>
      <c r="L383" s="121"/>
    </row>
    <row r="384" spans="1:12">
      <c r="A384" s="104" t="s">
        <v>72</v>
      </c>
      <c r="B384" s="13" t="s">
        <v>20</v>
      </c>
      <c r="C384" s="44" t="s">
        <v>24</v>
      </c>
      <c r="D384" s="46">
        <v>100</v>
      </c>
      <c r="E384" s="138">
        <f>247*8*(A386/1973)</f>
        <v>25.038013177901671</v>
      </c>
      <c r="F384" s="45">
        <f>E384/A386</f>
        <v>1.0015205271160668</v>
      </c>
      <c r="G384" s="32">
        <f>D384/E384*F384</f>
        <v>3.9999999999999996</v>
      </c>
      <c r="H384" s="144">
        <v>8.1377500000000005</v>
      </c>
      <c r="I384" s="88">
        <f>H384*G384</f>
        <v>32.550999999999995</v>
      </c>
      <c r="J384" s="121"/>
      <c r="K384" s="130"/>
      <c r="L384" s="121"/>
    </row>
    <row r="385" spans="1:12">
      <c r="A385" s="105" t="s">
        <v>66</v>
      </c>
      <c r="B385" s="5" t="s">
        <v>21</v>
      </c>
      <c r="C385" s="29" t="s">
        <v>25</v>
      </c>
      <c r="D385" s="8">
        <v>10</v>
      </c>
      <c r="E385" s="139">
        <f>247*8*(A386/1973)</f>
        <v>25.038013177901671</v>
      </c>
      <c r="F385" s="26">
        <f>E385/A386</f>
        <v>1.0015205271160668</v>
      </c>
      <c r="G385" s="32">
        <f>D385/E385*F385</f>
        <v>0.39999999999999997</v>
      </c>
      <c r="H385" s="145">
        <v>1849.56</v>
      </c>
      <c r="I385" s="88">
        <f t="shared" ref="I385:I387" si="136">H385*G385</f>
        <v>739.82399999999996</v>
      </c>
      <c r="J385" s="121"/>
      <c r="K385" s="130"/>
      <c r="L385" s="121"/>
    </row>
    <row r="386" spans="1:12">
      <c r="A386" s="106">
        <v>25</v>
      </c>
      <c r="B386" s="27" t="s">
        <v>22</v>
      </c>
      <c r="C386" s="30" t="s">
        <v>26</v>
      </c>
      <c r="D386" s="27">
        <v>30</v>
      </c>
      <c r="E386" s="139">
        <f>247*8*(A386/1973)</f>
        <v>25.038013177901671</v>
      </c>
      <c r="F386" s="26">
        <f>E386/A386</f>
        <v>1.0015205271160668</v>
      </c>
      <c r="G386" s="32">
        <f t="shared" ref="G386:G387" si="137">D386/E386*F386</f>
        <v>1.2</v>
      </c>
      <c r="H386" s="146">
        <v>54.38</v>
      </c>
      <c r="I386" s="88">
        <f t="shared" si="136"/>
        <v>65.256</v>
      </c>
      <c r="J386" s="121"/>
      <c r="K386" s="130"/>
      <c r="L386" s="121"/>
    </row>
    <row r="387" spans="1:12">
      <c r="A387" s="107"/>
      <c r="B387" s="27" t="s">
        <v>23</v>
      </c>
      <c r="C387" s="30" t="s">
        <v>26</v>
      </c>
      <c r="D387" s="27">
        <v>30</v>
      </c>
      <c r="E387" s="139">
        <f>247*8*(A386/1973)</f>
        <v>25.038013177901671</v>
      </c>
      <c r="F387" s="26">
        <f>E387/A386</f>
        <v>1.0015205271160668</v>
      </c>
      <c r="G387" s="32">
        <f t="shared" si="137"/>
        <v>1.2</v>
      </c>
      <c r="H387" s="146">
        <v>65.260000000000005</v>
      </c>
      <c r="I387" s="88">
        <f t="shared" si="136"/>
        <v>78.311999999999998</v>
      </c>
      <c r="J387" s="121"/>
      <c r="K387" s="130"/>
      <c r="L387" s="121"/>
    </row>
    <row r="388" spans="1:12" s="1" customFormat="1" ht="15.75" thickBot="1">
      <c r="A388" s="108"/>
      <c r="B388" s="18"/>
      <c r="C388" s="18"/>
      <c r="D388" s="18"/>
      <c r="E388" s="95"/>
      <c r="F388" s="18"/>
      <c r="G388" s="33"/>
      <c r="H388" s="147"/>
      <c r="I388" s="87">
        <f>SUM(I384:I387)</f>
        <v>915.94299999999998</v>
      </c>
      <c r="J388" s="130">
        <f>I388*A386</f>
        <v>22898.575000000001</v>
      </c>
      <c r="K388" s="149">
        <v>22898.575000000001</v>
      </c>
      <c r="L388" s="130">
        <f>K388-J388</f>
        <v>0</v>
      </c>
    </row>
    <row r="389" spans="1:12" s="1" customFormat="1" ht="15.75" thickBot="1">
      <c r="A389" s="109"/>
      <c r="B389" s="40"/>
      <c r="C389" s="41"/>
      <c r="D389" s="40"/>
      <c r="E389" s="140"/>
      <c r="F389" s="40"/>
      <c r="G389" s="39"/>
      <c r="H389" s="148"/>
      <c r="I389" s="89"/>
      <c r="J389" s="121"/>
      <c r="K389" s="130"/>
      <c r="L389" s="121"/>
    </row>
    <row r="390" spans="1:12">
      <c r="A390" s="104" t="s">
        <v>73</v>
      </c>
      <c r="B390" s="13" t="s">
        <v>20</v>
      </c>
      <c r="C390" s="44" t="s">
        <v>24</v>
      </c>
      <c r="D390" s="46">
        <v>100</v>
      </c>
      <c r="E390" s="138">
        <f>247*8*(A392/1973)</f>
        <v>25.038013177901671</v>
      </c>
      <c r="F390" s="45">
        <f>E390/A392</f>
        <v>1.0015205271160668</v>
      </c>
      <c r="G390" s="32">
        <f>D390/E390*F390</f>
        <v>3.9999999999999996</v>
      </c>
      <c r="H390" s="144">
        <v>8.1377500000000005</v>
      </c>
      <c r="I390" s="88">
        <f>H390*G390</f>
        <v>32.550999999999995</v>
      </c>
      <c r="J390" s="121"/>
      <c r="K390" s="130"/>
      <c r="L390" s="121"/>
    </row>
    <row r="391" spans="1:12">
      <c r="A391" s="105" t="s">
        <v>66</v>
      </c>
      <c r="B391" s="5" t="s">
        <v>21</v>
      </c>
      <c r="C391" s="29" t="s">
        <v>25</v>
      </c>
      <c r="D391" s="8">
        <v>10</v>
      </c>
      <c r="E391" s="139">
        <f>247*8*(A392/1973)</f>
        <v>25.038013177901671</v>
      </c>
      <c r="F391" s="26">
        <f>E391/A392</f>
        <v>1.0015205271160668</v>
      </c>
      <c r="G391" s="32">
        <f>D391/E391*F391</f>
        <v>0.39999999999999997</v>
      </c>
      <c r="H391" s="145">
        <v>1849.56</v>
      </c>
      <c r="I391" s="88">
        <f t="shared" ref="I391:I393" si="138">H391*G391</f>
        <v>739.82399999999996</v>
      </c>
      <c r="J391" s="121"/>
      <c r="K391" s="130"/>
      <c r="L391" s="121"/>
    </row>
    <row r="392" spans="1:12">
      <c r="A392" s="106">
        <v>25</v>
      </c>
      <c r="B392" s="27" t="s">
        <v>22</v>
      </c>
      <c r="C392" s="30" t="s">
        <v>26</v>
      </c>
      <c r="D392" s="27">
        <v>30</v>
      </c>
      <c r="E392" s="139">
        <f>247*8*(A392/1973)</f>
        <v>25.038013177901671</v>
      </c>
      <c r="F392" s="26">
        <f>E392/A392</f>
        <v>1.0015205271160668</v>
      </c>
      <c r="G392" s="32">
        <f t="shared" ref="G392:G393" si="139">D392/E392*F392</f>
        <v>1.2</v>
      </c>
      <c r="H392" s="146">
        <v>54.38</v>
      </c>
      <c r="I392" s="88">
        <f t="shared" si="138"/>
        <v>65.256</v>
      </c>
      <c r="J392" s="121"/>
      <c r="K392" s="130"/>
      <c r="L392" s="121"/>
    </row>
    <row r="393" spans="1:12">
      <c r="A393" s="107"/>
      <c r="B393" s="27" t="s">
        <v>23</v>
      </c>
      <c r="C393" s="30" t="s">
        <v>26</v>
      </c>
      <c r="D393" s="27">
        <v>30</v>
      </c>
      <c r="E393" s="139">
        <f>247*8*(A392/1973)</f>
        <v>25.038013177901671</v>
      </c>
      <c r="F393" s="26">
        <f>E393/A392</f>
        <v>1.0015205271160668</v>
      </c>
      <c r="G393" s="32">
        <f t="shared" si="139"/>
        <v>1.2</v>
      </c>
      <c r="H393" s="146">
        <v>65.260000000000005</v>
      </c>
      <c r="I393" s="88">
        <f t="shared" si="138"/>
        <v>78.311999999999998</v>
      </c>
      <c r="J393" s="121"/>
      <c r="K393" s="130"/>
      <c r="L393" s="121"/>
    </row>
    <row r="394" spans="1:12" s="1" customFormat="1" ht="15.75" thickBot="1">
      <c r="A394" s="108"/>
      <c r="B394" s="18"/>
      <c r="C394" s="18"/>
      <c r="D394" s="18"/>
      <c r="E394" s="95"/>
      <c r="F394" s="18"/>
      <c r="G394" s="33"/>
      <c r="H394" s="147"/>
      <c r="I394" s="87">
        <f>SUM(I390:I393)</f>
        <v>915.94299999999998</v>
      </c>
      <c r="J394" s="130">
        <f>I394*A392</f>
        <v>22898.575000000001</v>
      </c>
      <c r="K394" s="149">
        <v>22898.575000000001</v>
      </c>
      <c r="L394" s="130">
        <f>K394-J394</f>
        <v>0</v>
      </c>
    </row>
    <row r="395" spans="1:12">
      <c r="A395" s="104" t="s">
        <v>74</v>
      </c>
      <c r="B395" s="13" t="s">
        <v>20</v>
      </c>
      <c r="C395" s="44" t="s">
        <v>24</v>
      </c>
      <c r="D395" s="46">
        <v>100</v>
      </c>
      <c r="E395" s="138">
        <f>247*8*(A397/1973)</f>
        <v>20.030410542321338</v>
      </c>
      <c r="F395" s="45">
        <f>E395/A397</f>
        <v>1.001520527116067</v>
      </c>
      <c r="G395" s="32">
        <f>D395/E395*F395</f>
        <v>5.0000000000000009</v>
      </c>
      <c r="H395" s="144">
        <v>8.1377500000000005</v>
      </c>
      <c r="I395" s="88">
        <f>H395*G395</f>
        <v>40.688750000000013</v>
      </c>
      <c r="J395" s="121"/>
      <c r="K395" s="130"/>
      <c r="L395" s="121"/>
    </row>
    <row r="396" spans="1:12">
      <c r="A396" s="105" t="s">
        <v>66</v>
      </c>
      <c r="B396" s="5" t="s">
        <v>21</v>
      </c>
      <c r="C396" s="29" t="s">
        <v>25</v>
      </c>
      <c r="D396" s="8">
        <v>10</v>
      </c>
      <c r="E396" s="139">
        <f>247*8*(A397/1973)</f>
        <v>20.030410542321338</v>
      </c>
      <c r="F396" s="26">
        <f>E396/A397</f>
        <v>1.001520527116067</v>
      </c>
      <c r="G396" s="32">
        <f>D396/E396*F396</f>
        <v>0.5</v>
      </c>
      <c r="H396" s="145">
        <v>1849.56</v>
      </c>
      <c r="I396" s="88">
        <f t="shared" ref="I396:I398" si="140">H396*G396</f>
        <v>924.78</v>
      </c>
      <c r="J396" s="121"/>
      <c r="K396" s="130"/>
      <c r="L396" s="121"/>
    </row>
    <row r="397" spans="1:12">
      <c r="A397" s="106">
        <v>20</v>
      </c>
      <c r="B397" s="27" t="s">
        <v>22</v>
      </c>
      <c r="C397" s="30" t="s">
        <v>26</v>
      </c>
      <c r="D397" s="27">
        <v>30</v>
      </c>
      <c r="E397" s="139">
        <f>247*8*(A397/1973)</f>
        <v>20.030410542321338</v>
      </c>
      <c r="F397" s="26">
        <f>E397/A397</f>
        <v>1.001520527116067</v>
      </c>
      <c r="G397" s="32">
        <f t="shared" ref="G397:G398" si="141">D397/E397*F397</f>
        <v>1.5000000000000002</v>
      </c>
      <c r="H397" s="146">
        <v>54.38</v>
      </c>
      <c r="I397" s="88">
        <f t="shared" si="140"/>
        <v>81.570000000000022</v>
      </c>
      <c r="J397" s="121"/>
      <c r="K397" s="130"/>
      <c r="L397" s="121"/>
    </row>
    <row r="398" spans="1:12">
      <c r="A398" s="107"/>
      <c r="B398" s="27" t="s">
        <v>23</v>
      </c>
      <c r="C398" s="30" t="s">
        <v>26</v>
      </c>
      <c r="D398" s="27">
        <v>30</v>
      </c>
      <c r="E398" s="139">
        <f>247*8*(A397/1973)</f>
        <v>20.030410542321338</v>
      </c>
      <c r="F398" s="26">
        <f>E398/A397</f>
        <v>1.001520527116067</v>
      </c>
      <c r="G398" s="32">
        <f t="shared" si="141"/>
        <v>1.5000000000000002</v>
      </c>
      <c r="H398" s="146">
        <v>65.260000000000005</v>
      </c>
      <c r="I398" s="88">
        <f t="shared" si="140"/>
        <v>97.890000000000029</v>
      </c>
      <c r="J398" s="121"/>
      <c r="K398" s="130"/>
      <c r="L398" s="121"/>
    </row>
    <row r="399" spans="1:12" s="1" customFormat="1" ht="15.75" thickBot="1">
      <c r="A399" s="108"/>
      <c r="B399" s="18"/>
      <c r="C399" s="18"/>
      <c r="D399" s="18"/>
      <c r="E399" s="95"/>
      <c r="F399" s="18"/>
      <c r="G399" s="33"/>
      <c r="H399" s="147"/>
      <c r="I399" s="87">
        <f>SUM(I395:I398)</f>
        <v>1144.92875</v>
      </c>
      <c r="J399" s="130">
        <f>I399*A397</f>
        <v>22898.575000000001</v>
      </c>
      <c r="K399" s="149">
        <v>22898.575000000001</v>
      </c>
      <c r="L399" s="130">
        <f>K399-J399</f>
        <v>0</v>
      </c>
    </row>
    <row r="401" spans="9:13">
      <c r="I401" s="121">
        <v>1</v>
      </c>
      <c r="J401" s="130">
        <f>J13+J64+J115+J221+J357+J226+J231+J165</f>
        <v>1520200.0000217983</v>
      </c>
      <c r="K401" s="121">
        <v>1520200</v>
      </c>
      <c r="L401" s="130">
        <f>K401-J401</f>
        <v>-2.1798303350806236E-5</v>
      </c>
    </row>
    <row r="402" spans="9:13">
      <c r="I402" s="121">
        <v>2</v>
      </c>
      <c r="J402" s="130">
        <f>J362+J236+J170+J120+J69+J18+J241+J246</f>
        <v>2803700.00001706</v>
      </c>
      <c r="K402" s="121">
        <v>2803700</v>
      </c>
      <c r="L402" s="130">
        <f t="shared" ref="L402:L409" si="142">K402-J402</f>
        <v>-1.7059966921806335E-5</v>
      </c>
    </row>
    <row r="403" spans="9:13">
      <c r="I403" s="121">
        <v>3</v>
      </c>
      <c r="J403" s="130">
        <f>J367+J251+J175+J125+J74+J23+J256+J261</f>
        <v>5079699.9999988759</v>
      </c>
      <c r="K403" s="121">
        <v>5079700</v>
      </c>
      <c r="L403" s="130">
        <f t="shared" si="142"/>
        <v>1.1241063475608826E-6</v>
      </c>
    </row>
    <row r="404" spans="9:13">
      <c r="I404" s="121">
        <v>7</v>
      </c>
      <c r="J404" s="130">
        <f>J372+J266+J180+J130+J79+J28+J271+J276</f>
        <v>2314399.0000232598</v>
      </c>
      <c r="K404" s="121">
        <v>2314399</v>
      </c>
      <c r="L404" s="130">
        <f t="shared" si="142"/>
        <v>-2.3259781301021576E-5</v>
      </c>
    </row>
    <row r="405" spans="9:13">
      <c r="I405" s="121">
        <v>9</v>
      </c>
      <c r="J405" s="130">
        <f>J377+J281+J135+J84+J33+J185+J286+J291</f>
        <v>2703303.0000315714</v>
      </c>
      <c r="K405" s="121">
        <v>2703303</v>
      </c>
      <c r="L405" s="130">
        <f t="shared" si="142"/>
        <v>-3.1571369618177414E-5</v>
      </c>
    </row>
    <row r="406" spans="9:13">
      <c r="I406" s="121">
        <v>14</v>
      </c>
      <c r="J406" s="130">
        <f>J382+J296+J190+J140+J89+J38+J301+J306</f>
        <v>1744498.0001007037</v>
      </c>
      <c r="K406" s="121">
        <v>1744498</v>
      </c>
      <c r="L406" s="130">
        <f t="shared" si="142"/>
        <v>-1.0070367716252804E-4</v>
      </c>
    </row>
    <row r="407" spans="9:13">
      <c r="I407" s="121">
        <v>8</v>
      </c>
      <c r="J407" s="130">
        <f>J388+J311+J195+J145+J94+J43+J316+J321</f>
        <v>2877398.0000036564</v>
      </c>
      <c r="K407" s="121">
        <v>2877398</v>
      </c>
      <c r="L407" s="130">
        <f t="shared" si="142"/>
        <v>-3.6563724279403687E-6</v>
      </c>
    </row>
    <row r="408" spans="9:13">
      <c r="I408" s="121">
        <v>4</v>
      </c>
      <c r="J408" s="130">
        <f>J394+J327+J151+J100+J49+J201+J332+J337</f>
        <v>1945198.0004058615</v>
      </c>
      <c r="K408" s="121">
        <v>1945198</v>
      </c>
      <c r="L408" s="130">
        <f t="shared" si="142"/>
        <v>-4.0586153045296669E-4</v>
      </c>
      <c r="M408" s="3"/>
    </row>
    <row r="409" spans="9:13">
      <c r="I409" s="121">
        <v>11</v>
      </c>
      <c r="J409" s="130">
        <f>J399+J342+J156+J105+J54+J206+J347</f>
        <v>1291798.0000212879</v>
      </c>
      <c r="K409" s="121">
        <v>1291798</v>
      </c>
      <c r="L409" s="130">
        <f t="shared" si="142"/>
        <v>-2.1287938579916954E-5</v>
      </c>
    </row>
  </sheetData>
  <mergeCells count="1">
    <mergeCell ref="A1:I1"/>
  </mergeCells>
  <pageMargins left="0.51181102362204722" right="0" top="0.35433070866141736" bottom="0" header="0.31496062992125984" footer="0.31496062992125984"/>
  <pageSetup paperSize="9" scale="77" orientation="landscape" verticalDpi="180" r:id="rId1"/>
  <rowBreaks count="10" manualBreakCount="10">
    <brk id="35" max="11" man="1"/>
    <brk id="64" max="11" man="1"/>
    <brk id="99" max="11" man="1"/>
    <brk id="130" max="11" man="1"/>
    <brk id="160" max="11" man="1"/>
    <brk id="196" max="11" man="1"/>
    <brk id="226" max="11" man="1"/>
    <brk id="266" max="11" man="1"/>
    <brk id="306" max="11" man="1"/>
    <brk id="34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T459"/>
  <sheetViews>
    <sheetView workbookViewId="0">
      <pane xSplit="1" ySplit="6" topLeftCell="B445" activePane="bottomRight" state="frozen"/>
      <selection pane="topRight" activeCell="B1" sqref="B1"/>
      <selection pane="bottomLeft" activeCell="A7" sqref="A7"/>
      <selection pane="bottomRight" activeCell="B461" sqref="B461"/>
    </sheetView>
  </sheetViews>
  <sheetFormatPr defaultRowHeight="15"/>
  <cols>
    <col min="1" max="1" width="15.85546875" style="101" customWidth="1"/>
    <col min="2" max="2" width="38.7109375" style="1" customWidth="1"/>
    <col min="3" max="3" width="10.85546875" style="1" customWidth="1"/>
    <col min="4" max="4" width="8.28515625" style="1" customWidth="1"/>
    <col min="5" max="5" width="11.42578125" style="121" customWidth="1"/>
    <col min="6" max="6" width="9.85546875" style="1" customWidth="1"/>
    <col min="7" max="7" width="12.5703125" customWidth="1"/>
    <col min="8" max="8" width="10.85546875" style="1" customWidth="1"/>
    <col min="9" max="9" width="11.28515625" style="1" customWidth="1"/>
    <col min="10" max="10" width="13.85546875" style="1" customWidth="1"/>
    <col min="11" max="11" width="13.7109375" style="1" bestFit="1" customWidth="1"/>
    <col min="12" max="12" width="8" style="1" customWidth="1"/>
    <col min="13" max="18" width="9.140625" style="1"/>
  </cols>
  <sheetData>
    <row r="1" spans="1:20" ht="18.75">
      <c r="A1" s="158" t="s">
        <v>35</v>
      </c>
      <c r="B1" s="158"/>
      <c r="C1" s="158"/>
      <c r="D1" s="158"/>
      <c r="E1" s="158"/>
      <c r="F1" s="158"/>
      <c r="G1" s="158"/>
      <c r="H1" s="158"/>
    </row>
    <row r="2" spans="1:20" ht="18.75">
      <c r="A2" s="110"/>
      <c r="B2" s="59"/>
      <c r="C2" s="59"/>
      <c r="D2" s="59"/>
      <c r="E2" s="110"/>
      <c r="F2" s="59"/>
      <c r="G2" s="59"/>
      <c r="H2" s="59"/>
    </row>
    <row r="3" spans="1:20" ht="18.75">
      <c r="A3" s="100" t="s">
        <v>75</v>
      </c>
      <c r="H3"/>
      <c r="S3" s="1"/>
      <c r="T3" s="1"/>
    </row>
    <row r="4" spans="1:20" ht="15.75" thickBot="1">
      <c r="G4" s="47" t="s">
        <v>57</v>
      </c>
    </row>
    <row r="5" spans="1:20" ht="105">
      <c r="A5" s="102" t="s">
        <v>2</v>
      </c>
      <c r="B5" s="21" t="s">
        <v>15</v>
      </c>
      <c r="C5" s="21" t="s">
        <v>14</v>
      </c>
      <c r="D5" s="21" t="s">
        <v>16</v>
      </c>
      <c r="E5" s="133" t="s">
        <v>27</v>
      </c>
      <c r="F5" s="21" t="s">
        <v>54</v>
      </c>
      <c r="G5" s="21" t="s">
        <v>29</v>
      </c>
      <c r="H5" s="21" t="s">
        <v>30</v>
      </c>
      <c r="I5" s="21" t="s">
        <v>11</v>
      </c>
      <c r="J5" s="2" t="s">
        <v>34</v>
      </c>
      <c r="K5" s="2" t="s">
        <v>33</v>
      </c>
    </row>
    <row r="6" spans="1:20" ht="15.75" thickBot="1">
      <c r="A6" s="111">
        <v>1</v>
      </c>
      <c r="B6" s="10">
        <v>2</v>
      </c>
      <c r="C6" s="10">
        <v>3</v>
      </c>
      <c r="D6" s="10">
        <v>4</v>
      </c>
      <c r="E6" s="118">
        <v>5</v>
      </c>
      <c r="F6" s="10">
        <v>6</v>
      </c>
      <c r="G6" s="10" t="s">
        <v>31</v>
      </c>
      <c r="H6" s="9">
        <v>8</v>
      </c>
      <c r="I6" s="34" t="s">
        <v>32</v>
      </c>
    </row>
    <row r="7" spans="1:20">
      <c r="A7" s="104" t="s">
        <v>64</v>
      </c>
      <c r="B7" s="13" t="s">
        <v>36</v>
      </c>
      <c r="C7" s="13" t="s">
        <v>17</v>
      </c>
      <c r="D7" s="13">
        <v>1</v>
      </c>
      <c r="E7" s="124">
        <f>247*8*(A8/1973)</f>
        <v>173.2630511910796</v>
      </c>
      <c r="F7" s="25">
        <f>E7/A8</f>
        <v>1.001520527116067</v>
      </c>
      <c r="G7" s="36">
        <f>D7/E7*F7</f>
        <v>5.7803468208092483E-3</v>
      </c>
      <c r="H7" s="156">
        <f>59400*0.38</f>
        <v>22572</v>
      </c>
      <c r="I7" s="82">
        <f>H7*G7</f>
        <v>130.47398843930634</v>
      </c>
    </row>
    <row r="8" spans="1:20" s="1" customFormat="1">
      <c r="A8" s="112">
        <f>ком.усл!A11</f>
        <v>173</v>
      </c>
      <c r="B8" s="5" t="s">
        <v>37</v>
      </c>
      <c r="C8" s="5" t="s">
        <v>17</v>
      </c>
      <c r="D8" s="5">
        <v>1</v>
      </c>
      <c r="E8" s="97">
        <f>247*8*(A8/1973)</f>
        <v>173.2630511910796</v>
      </c>
      <c r="F8" s="26">
        <f>E8/A8</f>
        <v>1.001520527116067</v>
      </c>
      <c r="G8" s="35">
        <f>D8/E8*F8</f>
        <v>5.7803468208092483E-3</v>
      </c>
      <c r="H8" s="145">
        <f>19200*0.38</f>
        <v>7296</v>
      </c>
      <c r="I8" s="83">
        <f t="shared" ref="I8:I15" si="0">H8*G8</f>
        <v>42.173410404624278</v>
      </c>
    </row>
    <row r="9" spans="1:20" s="1" customFormat="1">
      <c r="A9" s="113"/>
      <c r="B9" s="5" t="s">
        <v>40</v>
      </c>
      <c r="C9" s="5" t="s">
        <v>17</v>
      </c>
      <c r="D9" s="5">
        <v>1</v>
      </c>
      <c r="E9" s="97">
        <f>247*8*(A8/1973)</f>
        <v>173.2630511910796</v>
      </c>
      <c r="F9" s="26">
        <f>E9/A8</f>
        <v>1.001520527116067</v>
      </c>
      <c r="G9" s="35">
        <f>D9/E9*F9</f>
        <v>5.7803468208092483E-3</v>
      </c>
      <c r="H9" s="145">
        <f>12000*0.38</f>
        <v>4560</v>
      </c>
      <c r="I9" s="83">
        <f t="shared" ref="I9" si="1">H9*G9</f>
        <v>26.358381502890172</v>
      </c>
    </row>
    <row r="10" spans="1:20" s="1" customFormat="1">
      <c r="A10" s="113"/>
      <c r="B10" s="5" t="s">
        <v>38</v>
      </c>
      <c r="C10" s="5" t="s">
        <v>17</v>
      </c>
      <c r="D10" s="5">
        <v>1</v>
      </c>
      <c r="E10" s="97">
        <f>247*8*(A8/1973)</f>
        <v>173.2630511910796</v>
      </c>
      <c r="F10" s="26">
        <f>E10/A8</f>
        <v>1.001520527116067</v>
      </c>
      <c r="G10" s="35">
        <f t="shared" ref="G10" si="2">D10/E10*F10</f>
        <v>5.7803468208092483E-3</v>
      </c>
      <c r="H10" s="145">
        <f>(6240+24000)*0.38</f>
        <v>11491.2</v>
      </c>
      <c r="I10" s="83">
        <f t="shared" si="0"/>
        <v>66.423121387283231</v>
      </c>
    </row>
    <row r="11" spans="1:20" s="1" customFormat="1">
      <c r="A11" s="113"/>
      <c r="B11" s="5" t="s">
        <v>96</v>
      </c>
      <c r="C11" s="5" t="s">
        <v>17</v>
      </c>
      <c r="D11" s="5">
        <v>1</v>
      </c>
      <c r="E11" s="97">
        <f>247*8*(A8/1973)</f>
        <v>173.2630511910796</v>
      </c>
      <c r="F11" s="26">
        <f>E11/A8</f>
        <v>1.001520527116067</v>
      </c>
      <c r="G11" s="35">
        <f t="shared" ref="G11:G15" si="3">D11/E11*F11</f>
        <v>5.7803468208092483E-3</v>
      </c>
      <c r="H11" s="145">
        <f>29000*0.38</f>
        <v>11020</v>
      </c>
      <c r="I11" s="83">
        <f t="shared" si="0"/>
        <v>63.699421965317917</v>
      </c>
    </row>
    <row r="12" spans="1:20" s="1" customFormat="1">
      <c r="A12" s="113"/>
      <c r="B12" s="5" t="s">
        <v>56</v>
      </c>
      <c r="C12" s="5" t="s">
        <v>17</v>
      </c>
      <c r="D12" s="5">
        <v>1</v>
      </c>
      <c r="E12" s="97">
        <f>247*8*(A8/1973)</f>
        <v>173.2630511910796</v>
      </c>
      <c r="F12" s="26">
        <f>E12/A8</f>
        <v>1.001520527116067</v>
      </c>
      <c r="G12" s="35">
        <f t="shared" ref="G12:G14" si="4">D12/E12*F12</f>
        <v>5.7803468208092483E-3</v>
      </c>
      <c r="H12" s="145">
        <f>15000*0.38</f>
        <v>5700</v>
      </c>
      <c r="I12" s="83">
        <f t="shared" si="0"/>
        <v>32.947976878612714</v>
      </c>
    </row>
    <row r="13" spans="1:20" s="1" customFormat="1">
      <c r="A13" s="113"/>
      <c r="B13" s="5" t="s">
        <v>41</v>
      </c>
      <c r="C13" s="5" t="s">
        <v>17</v>
      </c>
      <c r="D13" s="5">
        <v>1</v>
      </c>
      <c r="E13" s="97">
        <f>247*8*(A8/1973)</f>
        <v>173.2630511910796</v>
      </c>
      <c r="F13" s="26">
        <f>E13/A8</f>
        <v>1.001520527116067</v>
      </c>
      <c r="G13" s="35">
        <f t="shared" si="4"/>
        <v>5.7803468208092483E-3</v>
      </c>
      <c r="H13" s="145">
        <f>27870*0.38</f>
        <v>10590.6</v>
      </c>
      <c r="I13" s="83">
        <f t="shared" si="0"/>
        <v>61.217341040462429</v>
      </c>
    </row>
    <row r="14" spans="1:20" s="1" customFormat="1">
      <c r="A14" s="113"/>
      <c r="B14" s="5" t="s">
        <v>63</v>
      </c>
      <c r="C14" s="5" t="s">
        <v>17</v>
      </c>
      <c r="D14" s="5">
        <v>1</v>
      </c>
      <c r="E14" s="97">
        <f>247*8*(A8/1973)</f>
        <v>173.2630511910796</v>
      </c>
      <c r="F14" s="26">
        <f>E14/A8</f>
        <v>1.001520527116067</v>
      </c>
      <c r="G14" s="35">
        <f t="shared" si="4"/>
        <v>5.7803468208092483E-3</v>
      </c>
      <c r="H14" s="145">
        <f>30000*0.38</f>
        <v>11400</v>
      </c>
      <c r="I14" s="83">
        <f t="shared" si="0"/>
        <v>65.895953757225428</v>
      </c>
    </row>
    <row r="15" spans="1:20" s="1" customFormat="1">
      <c r="A15" s="113"/>
      <c r="B15" s="31" t="s">
        <v>55</v>
      </c>
      <c r="C15" s="5" t="s">
        <v>17</v>
      </c>
      <c r="D15" s="5">
        <v>1</v>
      </c>
      <c r="E15" s="97">
        <f>247*8*(A8/1973)</f>
        <v>173.2630511910796</v>
      </c>
      <c r="F15" s="26">
        <f>E15/A8</f>
        <v>1.001520527116067</v>
      </c>
      <c r="G15" s="35">
        <f t="shared" si="3"/>
        <v>5.7803468208092483E-3</v>
      </c>
      <c r="H15" s="145">
        <f>30000*0.38</f>
        <v>11400</v>
      </c>
      <c r="I15" s="83">
        <f t="shared" si="0"/>
        <v>65.895953757225428</v>
      </c>
    </row>
    <row r="16" spans="1:20" s="1" customFormat="1">
      <c r="A16" s="107"/>
      <c r="B16" s="48" t="s">
        <v>82</v>
      </c>
      <c r="C16" s="5" t="s">
        <v>17</v>
      </c>
      <c r="D16" s="5">
        <v>1</v>
      </c>
      <c r="E16" s="97">
        <f>247*8*(A8/1973)</f>
        <v>173.2630511910796</v>
      </c>
      <c r="F16" s="26">
        <f>E16/A8</f>
        <v>1.001520527116067</v>
      </c>
      <c r="G16" s="35">
        <f t="shared" ref="G16" si="5">D16/E16*F16</f>
        <v>5.7803468208092483E-3</v>
      </c>
      <c r="H16" s="145">
        <f>6000*0.38</f>
        <v>2280</v>
      </c>
      <c r="I16" s="83">
        <f t="shared" ref="I16:I19" si="6">H16*G16</f>
        <v>13.179190751445086</v>
      </c>
    </row>
    <row r="17" spans="1:12" s="1" customFormat="1" ht="30">
      <c r="A17" s="107"/>
      <c r="B17" s="48" t="s">
        <v>111</v>
      </c>
      <c r="C17" s="5" t="s">
        <v>17</v>
      </c>
      <c r="D17" s="5">
        <v>1</v>
      </c>
      <c r="E17" s="97">
        <f>247*8*(A8/1973)</f>
        <v>173.2630511910796</v>
      </c>
      <c r="F17" s="26">
        <f>E17/A8</f>
        <v>1.001520527116067</v>
      </c>
      <c r="G17" s="35">
        <f t="shared" ref="G17" si="7">D17/E17*F17</f>
        <v>5.7803468208092483E-3</v>
      </c>
      <c r="H17" s="145">
        <f>(108530+52870)*0.38</f>
        <v>61332</v>
      </c>
      <c r="I17" s="83">
        <f t="shared" si="6"/>
        <v>354.52023121387282</v>
      </c>
    </row>
    <row r="18" spans="1:12" s="1" customFormat="1">
      <c r="A18" s="107"/>
      <c r="B18" s="48" t="s">
        <v>112</v>
      </c>
      <c r="C18" s="5" t="s">
        <v>17</v>
      </c>
      <c r="D18" s="5">
        <v>1</v>
      </c>
      <c r="E18" s="97">
        <f>247*8*(A8/1973)</f>
        <v>173.2630511910796</v>
      </c>
      <c r="F18" s="26">
        <f>E18/A8</f>
        <v>1.001520527116067</v>
      </c>
      <c r="G18" s="35">
        <f t="shared" ref="G18:G19" si="8">D18/E18*F18</f>
        <v>5.7803468208092483E-3</v>
      </c>
      <c r="H18" s="145">
        <f>(9000+7000)*0.38</f>
        <v>6080</v>
      </c>
      <c r="I18" s="83">
        <f t="shared" si="6"/>
        <v>35.144508670520231</v>
      </c>
    </row>
    <row r="19" spans="1:12" s="1" customFormat="1">
      <c r="A19" s="107"/>
      <c r="B19" s="48" t="s">
        <v>39</v>
      </c>
      <c r="C19" s="5" t="s">
        <v>17</v>
      </c>
      <c r="D19" s="5">
        <v>1</v>
      </c>
      <c r="E19" s="97">
        <f>247*8*(A8/1973)</f>
        <v>173.2630511910796</v>
      </c>
      <c r="F19" s="26">
        <f>E19/A8</f>
        <v>1.001520527116067</v>
      </c>
      <c r="G19" s="35">
        <f t="shared" si="8"/>
        <v>5.7803468208092483E-3</v>
      </c>
      <c r="H19" s="145">
        <f>12191.41*0.38</f>
        <v>4632.7358000000004</v>
      </c>
      <c r="I19" s="83">
        <f t="shared" si="6"/>
        <v>26.778819653179191</v>
      </c>
    </row>
    <row r="20" spans="1:12" s="1" customFormat="1">
      <c r="A20" s="107"/>
      <c r="B20" s="48" t="s">
        <v>120</v>
      </c>
      <c r="C20" s="5" t="s">
        <v>17</v>
      </c>
      <c r="D20" s="5">
        <v>1</v>
      </c>
      <c r="E20" s="97">
        <f>247*8*(A8/1973)</f>
        <v>173.2630511910796</v>
      </c>
      <c r="F20" s="26">
        <f>E20/A8</f>
        <v>1.001520527116067</v>
      </c>
      <c r="G20" s="35">
        <f t="shared" ref="G20:G21" si="9">D20/E20*F20</f>
        <v>5.7803468208092483E-3</v>
      </c>
      <c r="H20" s="145">
        <f>(5502.09+14002.52+32008)*0.38</f>
        <v>19574.791799999999</v>
      </c>
      <c r="I20" s="83">
        <f t="shared" ref="I20:I21" si="10">H20*G20</f>
        <v>113.14908554913293</v>
      </c>
    </row>
    <row r="21" spans="1:12" s="1" customFormat="1" ht="13.7" customHeight="1">
      <c r="A21" s="107"/>
      <c r="B21" s="48" t="s">
        <v>113</v>
      </c>
      <c r="C21" s="5" t="s">
        <v>17</v>
      </c>
      <c r="D21" s="5">
        <v>1</v>
      </c>
      <c r="E21" s="97">
        <f>247*8*(A8/1973)</f>
        <v>173.2630511910796</v>
      </c>
      <c r="F21" s="26">
        <f>E21/A8</f>
        <v>1.001520527116067</v>
      </c>
      <c r="G21" s="35">
        <f t="shared" si="9"/>
        <v>5.7803468208092483E-3</v>
      </c>
      <c r="H21" s="145">
        <f>6206.48*0.38</f>
        <v>2358.4623999999999</v>
      </c>
      <c r="I21" s="83">
        <f t="shared" si="10"/>
        <v>13.632730635838149</v>
      </c>
    </row>
    <row r="22" spans="1:12" s="1" customFormat="1" ht="15.75" thickBot="1">
      <c r="A22" s="108"/>
      <c r="B22" s="18"/>
      <c r="C22" s="18"/>
      <c r="D22" s="18"/>
      <c r="E22" s="95"/>
      <c r="F22" s="18"/>
      <c r="G22" s="20"/>
      <c r="H22" s="37"/>
      <c r="I22" s="87">
        <f>SUM(I7:I21)</f>
        <v>1111.4901156069363</v>
      </c>
      <c r="J22" s="126">
        <f>(59400+108530+19200+12000+6240+30000+30000+12191.41+15000+15000+29000+27870+5502.09+32008+7000+24000+14002.52+6206.48+52870)*0.38</f>
        <v>192287.79</v>
      </c>
      <c r="K22" s="127">
        <f>I22*A8</f>
        <v>192287.78999999998</v>
      </c>
      <c r="L22" s="50">
        <f>J22-K22</f>
        <v>0</v>
      </c>
    </row>
    <row r="23" spans="1:12">
      <c r="A23" s="104" t="s">
        <v>67</v>
      </c>
      <c r="B23" s="13" t="s">
        <v>36</v>
      </c>
      <c r="C23" s="13" t="s">
        <v>17</v>
      </c>
      <c r="D23" s="13">
        <v>1</v>
      </c>
      <c r="E23" s="124">
        <f>247*8*(A24/1973)</f>
        <v>306.46528129751647</v>
      </c>
      <c r="F23" s="25">
        <f>E23/A24</f>
        <v>1.001520527116067</v>
      </c>
      <c r="G23" s="36">
        <f>D23/E23*F23</f>
        <v>3.2679738562091509E-3</v>
      </c>
      <c r="H23" s="156">
        <f>92060*0.45</f>
        <v>41427</v>
      </c>
      <c r="I23" s="82">
        <f>H23*G23</f>
        <v>135.38235294117649</v>
      </c>
    </row>
    <row r="24" spans="1:12" s="1" customFormat="1">
      <c r="A24" s="112">
        <f>ком.усл!A16</f>
        <v>306</v>
      </c>
      <c r="B24" s="5" t="s">
        <v>37</v>
      </c>
      <c r="C24" s="5" t="s">
        <v>17</v>
      </c>
      <c r="D24" s="5">
        <v>1</v>
      </c>
      <c r="E24" s="97">
        <f>247*8*(A24/1973)</f>
        <v>306.46528129751647</v>
      </c>
      <c r="F24" s="26">
        <f>E24/A24</f>
        <v>1.001520527116067</v>
      </c>
      <c r="G24" s="35">
        <f>D24/E24*F24</f>
        <v>3.2679738562091509E-3</v>
      </c>
      <c r="H24" s="145">
        <f>38400*0.45</f>
        <v>17280</v>
      </c>
      <c r="I24" s="83">
        <f t="shared" ref="I24:I37" si="11">H24*G24</f>
        <v>56.47058823529413</v>
      </c>
    </row>
    <row r="25" spans="1:12" s="1" customFormat="1">
      <c r="A25" s="113"/>
      <c r="B25" s="5" t="s">
        <v>40</v>
      </c>
      <c r="C25" s="5" t="s">
        <v>17</v>
      </c>
      <c r="D25" s="5">
        <v>1</v>
      </c>
      <c r="E25" s="97">
        <f>247*8*(A24/1973)</f>
        <v>306.46528129751647</v>
      </c>
      <c r="F25" s="26">
        <f>E25/A24</f>
        <v>1.001520527116067</v>
      </c>
      <c r="G25" s="35">
        <f>D25/E25*F25</f>
        <v>3.2679738562091509E-3</v>
      </c>
      <c r="H25" s="145">
        <f>33600*0.45</f>
        <v>15120</v>
      </c>
      <c r="I25" s="83">
        <f t="shared" si="11"/>
        <v>49.411764705882362</v>
      </c>
    </row>
    <row r="26" spans="1:12" s="1" customFormat="1">
      <c r="A26" s="113"/>
      <c r="B26" s="5" t="s">
        <v>38</v>
      </c>
      <c r="C26" s="5" t="s">
        <v>17</v>
      </c>
      <c r="D26" s="5">
        <v>1</v>
      </c>
      <c r="E26" s="97">
        <f>247*8*(A24/1973)</f>
        <v>306.46528129751647</v>
      </c>
      <c r="F26" s="26">
        <f>E26/A24</f>
        <v>1.001520527116067</v>
      </c>
      <c r="G26" s="35">
        <f t="shared" ref="G26:G37" si="12">D26/E26*F26</f>
        <v>3.2679738562091509E-3</v>
      </c>
      <c r="H26" s="145">
        <f>40800*0.45</f>
        <v>18360</v>
      </c>
      <c r="I26" s="83">
        <f t="shared" si="11"/>
        <v>60.000000000000007</v>
      </c>
    </row>
    <row r="27" spans="1:12" s="1" customFormat="1">
      <c r="A27" s="113"/>
      <c r="B27" s="5" t="s">
        <v>121</v>
      </c>
      <c r="C27" s="5" t="s">
        <v>17</v>
      </c>
      <c r="D27" s="5">
        <v>1</v>
      </c>
      <c r="E27" s="97">
        <f>247*8*(A24/1973)</f>
        <v>306.46528129751647</v>
      </c>
      <c r="F27" s="26">
        <f>E27/A24</f>
        <v>1.001520527116067</v>
      </c>
      <c r="G27" s="35">
        <f t="shared" si="12"/>
        <v>3.2679738562091509E-3</v>
      </c>
      <c r="H27" s="145"/>
      <c r="I27" s="83">
        <f t="shared" si="11"/>
        <v>0</v>
      </c>
    </row>
    <row r="28" spans="1:12" s="1" customFormat="1">
      <c r="A28" s="113"/>
      <c r="B28" s="5" t="s">
        <v>56</v>
      </c>
      <c r="C28" s="5" t="s">
        <v>17</v>
      </c>
      <c r="D28" s="5">
        <v>1</v>
      </c>
      <c r="E28" s="97">
        <f>247*8*(A24/1973)</f>
        <v>306.46528129751647</v>
      </c>
      <c r="F28" s="26">
        <f>E28/A24</f>
        <v>1.001520527116067</v>
      </c>
      <c r="G28" s="35">
        <f t="shared" si="12"/>
        <v>3.2679738562091509E-3</v>
      </c>
      <c r="H28" s="145">
        <f>20000*0.45</f>
        <v>9000</v>
      </c>
      <c r="I28" s="83">
        <f t="shared" si="11"/>
        <v>29.411764705882359</v>
      </c>
    </row>
    <row r="29" spans="1:12" s="1" customFormat="1">
      <c r="A29" s="113"/>
      <c r="B29" s="5" t="s">
        <v>41</v>
      </c>
      <c r="C29" s="5" t="s">
        <v>17</v>
      </c>
      <c r="D29" s="5">
        <v>1</v>
      </c>
      <c r="E29" s="97">
        <f>247*8*(A24/1973)</f>
        <v>306.46528129751647</v>
      </c>
      <c r="F29" s="26">
        <f>E29/A24</f>
        <v>1.001520527116067</v>
      </c>
      <c r="G29" s="35">
        <f t="shared" ref="G29:G31" si="13">D29/E29*F29</f>
        <v>3.2679738562091509E-3</v>
      </c>
      <c r="H29" s="145">
        <f>56000*0.45</f>
        <v>25200</v>
      </c>
      <c r="I29" s="83">
        <f t="shared" ref="I29:I31" si="14">H29*G29</f>
        <v>82.352941176470608</v>
      </c>
    </row>
    <row r="30" spans="1:12" s="1" customFormat="1">
      <c r="A30" s="113"/>
      <c r="B30" s="5" t="s">
        <v>63</v>
      </c>
      <c r="C30" s="5" t="s">
        <v>17</v>
      </c>
      <c r="D30" s="5">
        <v>1</v>
      </c>
      <c r="E30" s="97">
        <f>247*8*(A24/1973)</f>
        <v>306.46528129751647</v>
      </c>
      <c r="F30" s="26">
        <f>E30/A24</f>
        <v>1.001520527116067</v>
      </c>
      <c r="G30" s="35">
        <f t="shared" si="13"/>
        <v>3.2679738562091509E-3</v>
      </c>
      <c r="H30" s="145">
        <f>60000*0.45</f>
        <v>27000</v>
      </c>
      <c r="I30" s="83">
        <f t="shared" si="14"/>
        <v>88.235294117647072</v>
      </c>
    </row>
    <row r="31" spans="1:12" s="1" customFormat="1">
      <c r="A31" s="113"/>
      <c r="B31" s="31" t="s">
        <v>55</v>
      </c>
      <c r="C31" s="5" t="s">
        <v>17</v>
      </c>
      <c r="D31" s="5">
        <v>1</v>
      </c>
      <c r="E31" s="97">
        <f>247*8*(A24/1973)</f>
        <v>306.46528129751647</v>
      </c>
      <c r="F31" s="26">
        <f>E31/A24</f>
        <v>1.001520527116067</v>
      </c>
      <c r="G31" s="35">
        <f t="shared" si="13"/>
        <v>3.2679738562091509E-3</v>
      </c>
      <c r="H31" s="145">
        <f>50400*0.45</f>
        <v>22680</v>
      </c>
      <c r="I31" s="83">
        <f t="shared" si="14"/>
        <v>74.117647058823536</v>
      </c>
    </row>
    <row r="32" spans="1:12" s="1" customFormat="1">
      <c r="A32" s="113"/>
      <c r="B32" s="48" t="s">
        <v>82</v>
      </c>
      <c r="C32" s="5" t="s">
        <v>17</v>
      </c>
      <c r="D32" s="5">
        <v>1</v>
      </c>
      <c r="E32" s="97">
        <f>247*8*(A24/1973)</f>
        <v>306.46528129751647</v>
      </c>
      <c r="F32" s="26">
        <f>E32/A24</f>
        <v>1.001520527116067</v>
      </c>
      <c r="G32" s="35">
        <f t="shared" si="12"/>
        <v>3.2679738562091509E-3</v>
      </c>
      <c r="H32" s="145">
        <f>33600*0.45</f>
        <v>15120</v>
      </c>
      <c r="I32" s="83">
        <f t="shared" si="11"/>
        <v>49.411764705882362</v>
      </c>
    </row>
    <row r="33" spans="1:12" s="1" customFormat="1">
      <c r="A33" s="113"/>
      <c r="B33" s="5" t="s">
        <v>96</v>
      </c>
      <c r="C33" s="5" t="s">
        <v>17</v>
      </c>
      <c r="D33" s="5">
        <v>1</v>
      </c>
      <c r="E33" s="97">
        <f>247*8*(A24/1973)</f>
        <v>306.46528129751647</v>
      </c>
      <c r="F33" s="26">
        <f>E33/A24</f>
        <v>1.001520527116067</v>
      </c>
      <c r="G33" s="35">
        <f t="shared" si="12"/>
        <v>3.2679738562091509E-3</v>
      </c>
      <c r="H33" s="145">
        <f>20000*0.45</f>
        <v>9000</v>
      </c>
      <c r="I33" s="83">
        <f t="shared" si="11"/>
        <v>29.411764705882359</v>
      </c>
    </row>
    <row r="34" spans="1:12" s="1" customFormat="1">
      <c r="A34" s="113"/>
      <c r="B34" s="48" t="s">
        <v>112</v>
      </c>
      <c r="C34" s="5" t="s">
        <v>17</v>
      </c>
      <c r="D34" s="5">
        <v>1</v>
      </c>
      <c r="E34" s="97">
        <f>247*8*(A24/1973)</f>
        <v>306.46528129751647</v>
      </c>
      <c r="F34" s="26">
        <f>E34/A24</f>
        <v>1.001520527116067</v>
      </c>
      <c r="G34" s="35">
        <f t="shared" si="12"/>
        <v>3.2679738562091509E-3</v>
      </c>
      <c r="H34" s="145">
        <f>(4500+0)*0.45</f>
        <v>2025</v>
      </c>
      <c r="I34" s="83">
        <f t="shared" si="11"/>
        <v>6.6176470588235308</v>
      </c>
    </row>
    <row r="35" spans="1:12" s="1" customFormat="1">
      <c r="A35" s="107"/>
      <c r="B35" s="48" t="s">
        <v>39</v>
      </c>
      <c r="C35" s="5" t="s">
        <v>17</v>
      </c>
      <c r="D35" s="5">
        <v>1</v>
      </c>
      <c r="E35" s="97">
        <f>247*8*(A24/1973)</f>
        <v>306.46528129751647</v>
      </c>
      <c r="F35" s="26">
        <f>E35/A24</f>
        <v>1.001520527116067</v>
      </c>
      <c r="G35" s="35">
        <f t="shared" si="12"/>
        <v>3.2679738562091509E-3</v>
      </c>
      <c r="H35" s="145">
        <f>17132.38*0.45</f>
        <v>7709.5710000000008</v>
      </c>
      <c r="I35" s="83">
        <f>H35*G35</f>
        <v>25.194676470588242</v>
      </c>
    </row>
    <row r="36" spans="1:12" s="1" customFormat="1">
      <c r="A36" s="107"/>
      <c r="B36" s="48" t="s">
        <v>120</v>
      </c>
      <c r="C36" s="5" t="s">
        <v>17</v>
      </c>
      <c r="D36" s="5">
        <v>1</v>
      </c>
      <c r="E36" s="97">
        <f>247*8*(A24/1973)</f>
        <v>306.46528129751647</v>
      </c>
      <c r="F36" s="26">
        <f>E36/A24</f>
        <v>1.001520527116067</v>
      </c>
      <c r="G36" s="35">
        <f t="shared" si="12"/>
        <v>3.2679738562091509E-3</v>
      </c>
      <c r="H36" s="145">
        <f>(6877.62+17288.87+0)*0.45</f>
        <v>10874.9205</v>
      </c>
      <c r="I36" s="83">
        <f t="shared" si="11"/>
        <v>35.538955882352944</v>
      </c>
    </row>
    <row r="37" spans="1:12" s="1" customFormat="1" ht="13.7" customHeight="1">
      <c r="A37" s="107"/>
      <c r="B37" s="48" t="s">
        <v>113</v>
      </c>
      <c r="C37" s="5" t="s">
        <v>17</v>
      </c>
      <c r="D37" s="5">
        <v>1</v>
      </c>
      <c r="E37" s="97">
        <f>247*8*(A24/1973)</f>
        <v>306.46528129751647</v>
      </c>
      <c r="F37" s="26">
        <f>E37/A24</f>
        <v>1.001520527116067</v>
      </c>
      <c r="G37" s="35">
        <f t="shared" si="12"/>
        <v>3.2679738562091509E-3</v>
      </c>
      <c r="H37" s="145">
        <f>4140*0.45</f>
        <v>1863</v>
      </c>
      <c r="I37" s="83">
        <f t="shared" si="11"/>
        <v>6.0882352941176476</v>
      </c>
    </row>
    <row r="38" spans="1:12" s="1" customFormat="1" ht="15.75" thickBot="1">
      <c r="A38" s="108"/>
      <c r="B38" s="18"/>
      <c r="C38" s="18"/>
      <c r="D38" s="18"/>
      <c r="E38" s="95"/>
      <c r="F38" s="18"/>
      <c r="G38" s="20"/>
      <c r="H38" s="37"/>
      <c r="I38" s="87">
        <f>SUM(I23:I37)</f>
        <v>727.64539705882362</v>
      </c>
      <c r="J38" s="126">
        <f>(92060+38400+33600+60000+50400+17132.38+33600+4500+40000+56000+6877.62+40800+17288.87+4140)*0.45</f>
        <v>222659.4915</v>
      </c>
      <c r="K38" s="127">
        <f>I38*A24</f>
        <v>222659.49150000003</v>
      </c>
      <c r="L38" s="127">
        <f>J38-K38</f>
        <v>0</v>
      </c>
    </row>
    <row r="39" spans="1:12">
      <c r="A39" s="104" t="s">
        <v>68</v>
      </c>
      <c r="B39" s="13" t="s">
        <v>36</v>
      </c>
      <c r="C39" s="13" t="s">
        <v>17</v>
      </c>
      <c r="D39" s="13">
        <v>1</v>
      </c>
      <c r="E39" s="124">
        <f>247*8*(A40/1973)</f>
        <v>293.44551444500757</v>
      </c>
      <c r="F39" s="25">
        <f>E39/A40</f>
        <v>1.0015205271160668</v>
      </c>
      <c r="G39" s="36">
        <f>D39/E39*F39</f>
        <v>3.4129692832764501E-3</v>
      </c>
      <c r="H39" s="156">
        <f>85080*0.49</f>
        <v>41689.199999999997</v>
      </c>
      <c r="I39" s="82">
        <f>H39*G39</f>
        <v>142.28395904436857</v>
      </c>
    </row>
    <row r="40" spans="1:12" s="1" customFormat="1">
      <c r="A40" s="112">
        <f>ком.усл!A21</f>
        <v>293</v>
      </c>
      <c r="B40" s="5" t="s">
        <v>37</v>
      </c>
      <c r="C40" s="5" t="s">
        <v>17</v>
      </c>
      <c r="D40" s="5">
        <v>1</v>
      </c>
      <c r="E40" s="97">
        <f>247*8*(A40/1973)</f>
        <v>293.44551444500757</v>
      </c>
      <c r="F40" s="26">
        <f>E40/A40</f>
        <v>1.0015205271160668</v>
      </c>
      <c r="G40" s="35">
        <f>D40/E40*F40</f>
        <v>3.4129692832764501E-3</v>
      </c>
      <c r="H40" s="145">
        <f>74196*0.49</f>
        <v>36356.04</v>
      </c>
      <c r="I40" s="83">
        <f t="shared" ref="I40:I53" si="15">H40*G40</f>
        <v>124.08204778156995</v>
      </c>
    </row>
    <row r="41" spans="1:12" s="1" customFormat="1">
      <c r="A41" s="113"/>
      <c r="B41" s="5" t="s">
        <v>40</v>
      </c>
      <c r="C41" s="5" t="s">
        <v>17</v>
      </c>
      <c r="D41" s="5">
        <v>1</v>
      </c>
      <c r="E41" s="97">
        <f>247*8*(A40/1973)</f>
        <v>293.44551444500757</v>
      </c>
      <c r="F41" s="26">
        <f>E41/A40</f>
        <v>1.0015205271160668</v>
      </c>
      <c r="G41" s="35">
        <f>D41/E41*F41</f>
        <v>3.4129692832764501E-3</v>
      </c>
      <c r="H41" s="145">
        <f>74196*0.49</f>
        <v>36356.04</v>
      </c>
      <c r="I41" s="83">
        <f t="shared" si="15"/>
        <v>124.08204778156995</v>
      </c>
    </row>
    <row r="42" spans="1:12" s="1" customFormat="1">
      <c r="A42" s="113"/>
      <c r="B42" s="5" t="s">
        <v>38</v>
      </c>
      <c r="C42" s="5" t="s">
        <v>17</v>
      </c>
      <c r="D42" s="5">
        <v>1</v>
      </c>
      <c r="E42" s="97">
        <f>247*8*(A40/1973)</f>
        <v>293.44551444500757</v>
      </c>
      <c r="F42" s="26">
        <f>E42/A40</f>
        <v>1.0015205271160668</v>
      </c>
      <c r="G42" s="35">
        <f t="shared" ref="G42:G53" si="16">D42/E42*F42</f>
        <v>3.4129692832764501E-3</v>
      </c>
      <c r="H42" s="145">
        <f>61200*0.49</f>
        <v>29988</v>
      </c>
      <c r="I42" s="83">
        <f t="shared" si="15"/>
        <v>102.34812286689419</v>
      </c>
    </row>
    <row r="43" spans="1:12" s="1" customFormat="1">
      <c r="A43" s="113"/>
      <c r="B43" s="5" t="s">
        <v>121</v>
      </c>
      <c r="C43" s="5" t="s">
        <v>17</v>
      </c>
      <c r="D43" s="5">
        <v>1</v>
      </c>
      <c r="E43" s="97">
        <f>247*8*(A40/1973)</f>
        <v>293.44551444500757</v>
      </c>
      <c r="F43" s="26">
        <f>E43/A40</f>
        <v>1.0015205271160668</v>
      </c>
      <c r="G43" s="35">
        <f t="shared" si="16"/>
        <v>3.4129692832764501E-3</v>
      </c>
      <c r="H43" s="145">
        <f>5376*0.49</f>
        <v>2634.24</v>
      </c>
      <c r="I43" s="83">
        <f t="shared" si="15"/>
        <v>8.9905802047781549</v>
      </c>
    </row>
    <row r="44" spans="1:12" s="1" customFormat="1">
      <c r="A44" s="113"/>
      <c r="B44" s="5" t="s">
        <v>56</v>
      </c>
      <c r="C44" s="5" t="s">
        <v>17</v>
      </c>
      <c r="D44" s="5">
        <v>1</v>
      </c>
      <c r="E44" s="97">
        <f>247*8*(A40/1973)</f>
        <v>293.44551444500757</v>
      </c>
      <c r="F44" s="26">
        <f>E44/A40</f>
        <v>1.0015205271160668</v>
      </c>
      <c r="G44" s="35">
        <f t="shared" ref="G44" si="17">D44/E44*F44</f>
        <v>3.4129692832764501E-3</v>
      </c>
      <c r="H44" s="145">
        <f>30000*0.49</f>
        <v>14700</v>
      </c>
      <c r="I44" s="83">
        <f t="shared" ref="I44" si="18">H44*G44</f>
        <v>50.170648464163818</v>
      </c>
    </row>
    <row r="45" spans="1:12" s="1" customFormat="1">
      <c r="A45" s="113"/>
      <c r="B45" s="5" t="s">
        <v>41</v>
      </c>
      <c r="C45" s="5" t="s">
        <v>17</v>
      </c>
      <c r="D45" s="5">
        <v>1</v>
      </c>
      <c r="E45" s="97">
        <f>247*8*(A40/1973)</f>
        <v>293.44551444500757</v>
      </c>
      <c r="F45" s="26">
        <f>E45/A40</f>
        <v>1.0015205271160668</v>
      </c>
      <c r="G45" s="35">
        <f t="shared" ref="G45" si="19">D45/E45*F45</f>
        <v>3.4129692832764501E-3</v>
      </c>
      <c r="H45" s="145">
        <f>70000*0.49</f>
        <v>34300</v>
      </c>
      <c r="I45" s="83">
        <f t="shared" ref="I45" si="20">H45*G45</f>
        <v>117.06484641638224</v>
      </c>
    </row>
    <row r="46" spans="1:12" s="1" customFormat="1">
      <c r="A46" s="113"/>
      <c r="B46" s="5" t="s">
        <v>63</v>
      </c>
      <c r="C46" s="5" t="s">
        <v>17</v>
      </c>
      <c r="D46" s="5">
        <v>1</v>
      </c>
      <c r="E46" s="97">
        <f>247*8*(A40/1973)</f>
        <v>293.44551444500757</v>
      </c>
      <c r="F46" s="26">
        <f>E46/A40</f>
        <v>1.0015205271160668</v>
      </c>
      <c r="G46" s="35">
        <f t="shared" si="16"/>
        <v>3.4129692832764501E-3</v>
      </c>
      <c r="H46" s="145">
        <f>90000*0.49</f>
        <v>44100</v>
      </c>
      <c r="I46" s="83">
        <f t="shared" si="15"/>
        <v>150.51194539249144</v>
      </c>
    </row>
    <row r="47" spans="1:12" s="1" customFormat="1">
      <c r="A47" s="113"/>
      <c r="B47" s="31" t="s">
        <v>55</v>
      </c>
      <c r="C47" s="5" t="s">
        <v>17</v>
      </c>
      <c r="D47" s="5">
        <v>1</v>
      </c>
      <c r="E47" s="97">
        <f>247*8*(A40/1973)</f>
        <v>293.44551444500757</v>
      </c>
      <c r="F47" s="26">
        <f>E47/A40</f>
        <v>1.0015205271160668</v>
      </c>
      <c r="G47" s="35">
        <f t="shared" si="16"/>
        <v>3.4129692832764501E-3</v>
      </c>
      <c r="H47" s="145">
        <f>30000*0.49</f>
        <v>14700</v>
      </c>
      <c r="I47" s="83">
        <f t="shared" si="15"/>
        <v>50.170648464163818</v>
      </c>
    </row>
    <row r="48" spans="1:12" s="1" customFormat="1">
      <c r="A48" s="113"/>
      <c r="B48" s="48" t="s">
        <v>82</v>
      </c>
      <c r="C48" s="5" t="s">
        <v>17</v>
      </c>
      <c r="D48" s="5">
        <v>1</v>
      </c>
      <c r="E48" s="97">
        <f>247*8*(A40/1973)</f>
        <v>293.44551444500757</v>
      </c>
      <c r="F48" s="26">
        <f>E48/A40</f>
        <v>1.0015205271160668</v>
      </c>
      <c r="G48" s="35">
        <f t="shared" si="16"/>
        <v>3.4129692832764501E-3</v>
      </c>
      <c r="H48" s="145">
        <f>54000*0.49</f>
        <v>26460</v>
      </c>
      <c r="I48" s="83">
        <f t="shared" si="15"/>
        <v>90.307167235494873</v>
      </c>
    </row>
    <row r="49" spans="1:12" s="1" customFormat="1">
      <c r="A49" s="113"/>
      <c r="B49" s="5" t="s">
        <v>96</v>
      </c>
      <c r="C49" s="5" t="s">
        <v>17</v>
      </c>
      <c r="D49" s="5">
        <v>1</v>
      </c>
      <c r="E49" s="97">
        <f>247*8*(A40/1973)</f>
        <v>293.44551444500757</v>
      </c>
      <c r="F49" s="26">
        <f>E49/A40</f>
        <v>1.0015205271160668</v>
      </c>
      <c r="G49" s="35">
        <f t="shared" si="16"/>
        <v>3.4129692832764501E-3</v>
      </c>
      <c r="H49" s="145">
        <f>45000*0.49</f>
        <v>22050</v>
      </c>
      <c r="I49" s="83">
        <f t="shared" si="15"/>
        <v>75.25597269624572</v>
      </c>
    </row>
    <row r="50" spans="1:12" s="1" customFormat="1">
      <c r="A50" s="107"/>
      <c r="B50" s="48" t="s">
        <v>112</v>
      </c>
      <c r="C50" s="5" t="s">
        <v>17</v>
      </c>
      <c r="D50" s="5">
        <v>1</v>
      </c>
      <c r="E50" s="97">
        <f>247*8*(A40/1973)</f>
        <v>293.44551444500757</v>
      </c>
      <c r="F50" s="26">
        <f>E50/A40</f>
        <v>1.0015205271160668</v>
      </c>
      <c r="G50" s="35">
        <f t="shared" si="16"/>
        <v>3.4129692832764501E-3</v>
      </c>
      <c r="H50" s="145">
        <f>(16800+41700+12000)*0.49</f>
        <v>34545</v>
      </c>
      <c r="I50" s="83">
        <f t="shared" si="15"/>
        <v>117.90102389078497</v>
      </c>
    </row>
    <row r="51" spans="1:12" s="1" customFormat="1">
      <c r="A51" s="107"/>
      <c r="B51" s="48" t="s">
        <v>39</v>
      </c>
      <c r="C51" s="5" t="s">
        <v>17</v>
      </c>
      <c r="D51" s="5">
        <v>1</v>
      </c>
      <c r="E51" s="97">
        <f>247*8*(A40/1973)</f>
        <v>293.44551444500757</v>
      </c>
      <c r="F51" s="26">
        <f>E51/A40</f>
        <v>1.0015205271160668</v>
      </c>
      <c r="G51" s="35">
        <f t="shared" si="16"/>
        <v>3.4129692832764501E-3</v>
      </c>
      <c r="H51" s="145">
        <f>31833.32*0.49</f>
        <v>15598.326799999999</v>
      </c>
      <c r="I51" s="83">
        <f t="shared" si="15"/>
        <v>53.236610238907836</v>
      </c>
    </row>
    <row r="52" spans="1:12" s="1" customFormat="1">
      <c r="A52" s="107"/>
      <c r="B52" s="48" t="s">
        <v>120</v>
      </c>
      <c r="C52" s="5" t="s">
        <v>17</v>
      </c>
      <c r="D52" s="5">
        <v>1</v>
      </c>
      <c r="E52" s="97">
        <f>247*8*(A40/1973)</f>
        <v>293.44551444500757</v>
      </c>
      <c r="F52" s="26">
        <f>E52/A40</f>
        <v>1.0015205271160668</v>
      </c>
      <c r="G52" s="35">
        <f t="shared" si="16"/>
        <v>3.4129692832764501E-3</v>
      </c>
      <c r="H52" s="145">
        <f>(1528.68+18241.16+12000)*0.49</f>
        <v>15567.221599999999</v>
      </c>
      <c r="I52" s="83">
        <f t="shared" si="15"/>
        <v>53.13044914675767</v>
      </c>
    </row>
    <row r="53" spans="1:12" s="1" customFormat="1" ht="13.7" customHeight="1">
      <c r="A53" s="107"/>
      <c r="B53" s="48" t="s">
        <v>113</v>
      </c>
      <c r="C53" s="5" t="s">
        <v>17</v>
      </c>
      <c r="D53" s="5">
        <v>1</v>
      </c>
      <c r="E53" s="97">
        <f>247*8*(A40/1973)</f>
        <v>293.44551444500757</v>
      </c>
      <c r="F53" s="26">
        <f>E53/A40</f>
        <v>1.0015205271160668</v>
      </c>
      <c r="G53" s="35">
        <f t="shared" si="16"/>
        <v>3.4129692832764501E-3</v>
      </c>
      <c r="H53" s="145">
        <f>4026*0.49</f>
        <v>1972.74</v>
      </c>
      <c r="I53" s="83">
        <f t="shared" si="15"/>
        <v>6.7329010238907845</v>
      </c>
    </row>
    <row r="54" spans="1:12" s="1" customFormat="1" ht="15.75" thickBot="1">
      <c r="A54" s="108"/>
      <c r="B54" s="18"/>
      <c r="C54" s="18"/>
      <c r="D54" s="18"/>
      <c r="E54" s="95"/>
      <c r="F54" s="18"/>
      <c r="G54" s="20"/>
      <c r="H54" s="37"/>
      <c r="I54" s="87">
        <f>SUM(I39:I53)</f>
        <v>1266.2689706484639</v>
      </c>
      <c r="J54" s="126">
        <f>(85080+74196+74196+90000+30000+31833.32+54000+16800+30000+45000+70000+1528.68+5376+41700+12000+61200+18241.16+4026+12000)*0.49</f>
        <v>371016.80840000004</v>
      </c>
      <c r="K54" s="127">
        <f>I54*A40</f>
        <v>371016.80839999992</v>
      </c>
      <c r="L54" s="127">
        <f>J54-K54</f>
        <v>0</v>
      </c>
    </row>
    <row r="55" spans="1:12">
      <c r="A55" s="104" t="s">
        <v>69</v>
      </c>
      <c r="B55" s="13" t="s">
        <v>36</v>
      </c>
      <c r="C55" s="13" t="s">
        <v>17</v>
      </c>
      <c r="D55" s="13">
        <v>1</v>
      </c>
      <c r="E55" s="124">
        <f>247*8*(A56/1973)</f>
        <v>430.65382665990876</v>
      </c>
      <c r="F55" s="25">
        <f>E55/A56</f>
        <v>1.001520527116067</v>
      </c>
      <c r="G55" s="36">
        <f>D55/E55*F55</f>
        <v>2.3255813953488372E-3</v>
      </c>
      <c r="H55" s="156">
        <f>59393*0.45</f>
        <v>26726.850000000002</v>
      </c>
      <c r="I55" s="82">
        <f>H55*G55</f>
        <v>62.155465116279075</v>
      </c>
    </row>
    <row r="56" spans="1:12" s="1" customFormat="1">
      <c r="A56" s="112">
        <f>ком.усл!A26</f>
        <v>430</v>
      </c>
      <c r="B56" s="5" t="s">
        <v>37</v>
      </c>
      <c r="C56" s="5" t="s">
        <v>17</v>
      </c>
      <c r="D56" s="5">
        <v>1</v>
      </c>
      <c r="E56" s="97">
        <f>247*8*(A56/1973)</f>
        <v>430.65382665990876</v>
      </c>
      <c r="F56" s="26">
        <f>E56/A56</f>
        <v>1.001520527116067</v>
      </c>
      <c r="G56" s="35">
        <f>D56/E56*F56</f>
        <v>2.3255813953488372E-3</v>
      </c>
      <c r="H56" s="145">
        <f>21600*0.45</f>
        <v>9720</v>
      </c>
      <c r="I56" s="83">
        <f t="shared" ref="I56:I69" si="21">H56*G56</f>
        <v>22.604651162790699</v>
      </c>
    </row>
    <row r="57" spans="1:12" s="1" customFormat="1">
      <c r="A57" s="113"/>
      <c r="B57" s="5" t="s">
        <v>40</v>
      </c>
      <c r="C57" s="5" t="s">
        <v>17</v>
      </c>
      <c r="D57" s="5">
        <v>1</v>
      </c>
      <c r="E57" s="97">
        <f>247*8*(A56/1973)</f>
        <v>430.65382665990876</v>
      </c>
      <c r="F57" s="26">
        <f>E57/A56</f>
        <v>1.001520527116067</v>
      </c>
      <c r="G57" s="35">
        <f>D57/E57*F57</f>
        <v>2.3255813953488372E-3</v>
      </c>
      <c r="H57" s="145">
        <f>6000*0.45</f>
        <v>2700</v>
      </c>
      <c r="I57" s="83">
        <f t="shared" si="21"/>
        <v>6.2790697674418601</v>
      </c>
    </row>
    <row r="58" spans="1:12" s="1" customFormat="1">
      <c r="A58" s="113"/>
      <c r="B58" s="5" t="s">
        <v>38</v>
      </c>
      <c r="C58" s="5" t="s">
        <v>17</v>
      </c>
      <c r="D58" s="5">
        <v>1</v>
      </c>
      <c r="E58" s="97">
        <f>247*8*(A56/1973)</f>
        <v>430.65382665990876</v>
      </c>
      <c r="F58" s="26">
        <f>E58/A56</f>
        <v>1.001520527116067</v>
      </c>
      <c r="G58" s="35">
        <f t="shared" ref="G58:G69" si="22">D58/E58*F58</f>
        <v>2.3255813953488372E-3</v>
      </c>
      <c r="H58" s="145">
        <f>(4800+20400)*0.45</f>
        <v>11340</v>
      </c>
      <c r="I58" s="83">
        <f t="shared" si="21"/>
        <v>26.372093023255815</v>
      </c>
    </row>
    <row r="59" spans="1:12" s="1" customFormat="1">
      <c r="A59" s="113"/>
      <c r="B59" s="5" t="s">
        <v>122</v>
      </c>
      <c r="C59" s="5" t="s">
        <v>17</v>
      </c>
      <c r="D59" s="5">
        <v>1</v>
      </c>
      <c r="E59" s="97">
        <f>247*8*(A56/1973)</f>
        <v>430.65382665990876</v>
      </c>
      <c r="F59" s="26">
        <f>E59/A56</f>
        <v>1.001520527116067</v>
      </c>
      <c r="G59" s="35">
        <f t="shared" si="22"/>
        <v>2.3255813953488372E-3</v>
      </c>
      <c r="H59" s="145">
        <f>525600*0.45</f>
        <v>236520</v>
      </c>
      <c r="I59" s="83">
        <f t="shared" si="21"/>
        <v>550.04651162790697</v>
      </c>
    </row>
    <row r="60" spans="1:12" s="1" customFormat="1">
      <c r="A60" s="113"/>
      <c r="B60" s="5" t="s">
        <v>56</v>
      </c>
      <c r="C60" s="5" t="s">
        <v>17</v>
      </c>
      <c r="D60" s="5">
        <v>1</v>
      </c>
      <c r="E60" s="97">
        <f>247*8*(A56/1973)</f>
        <v>430.65382665990876</v>
      </c>
      <c r="F60" s="26">
        <f>E60/A56</f>
        <v>1.001520527116067</v>
      </c>
      <c r="G60" s="35">
        <f t="shared" si="22"/>
        <v>2.3255813953488372E-3</v>
      </c>
      <c r="H60" s="145">
        <f>16000*0.45</f>
        <v>7200</v>
      </c>
      <c r="I60" s="83">
        <f t="shared" si="21"/>
        <v>16.744186046511629</v>
      </c>
    </row>
    <row r="61" spans="1:12" s="1" customFormat="1">
      <c r="A61" s="113"/>
      <c r="B61" s="5" t="s">
        <v>41</v>
      </c>
      <c r="C61" s="5" t="s">
        <v>17</v>
      </c>
      <c r="D61" s="5">
        <v>1</v>
      </c>
      <c r="E61" s="97">
        <f>247*8*(A56/1973)</f>
        <v>430.65382665990876</v>
      </c>
      <c r="F61" s="26">
        <f>E61/A56</f>
        <v>1.001520527116067</v>
      </c>
      <c r="G61" s="35">
        <f t="shared" si="22"/>
        <v>2.3255813953488372E-3</v>
      </c>
      <c r="H61" s="145">
        <f>27020*0.45</f>
        <v>12159</v>
      </c>
      <c r="I61" s="83">
        <f t="shared" si="21"/>
        <v>28.276744186046511</v>
      </c>
    </row>
    <row r="62" spans="1:12" s="1" customFormat="1">
      <c r="A62" s="107"/>
      <c r="B62" s="5" t="s">
        <v>63</v>
      </c>
      <c r="C62" s="5" t="s">
        <v>17</v>
      </c>
      <c r="D62" s="5">
        <v>1</v>
      </c>
      <c r="E62" s="97">
        <f>247*8*(A56/1973)</f>
        <v>430.65382665990876</v>
      </c>
      <c r="F62" s="26">
        <f>E62/A56</f>
        <v>1.001520527116067</v>
      </c>
      <c r="G62" s="35">
        <f t="shared" si="22"/>
        <v>2.3255813953488372E-3</v>
      </c>
      <c r="H62" s="145">
        <f>30000*0.45</f>
        <v>13500</v>
      </c>
      <c r="I62" s="83">
        <f t="shared" si="21"/>
        <v>31.395348837209301</v>
      </c>
    </row>
    <row r="63" spans="1:12" s="1" customFormat="1">
      <c r="A63" s="107"/>
      <c r="B63" s="31" t="s">
        <v>55</v>
      </c>
      <c r="C63" s="5" t="s">
        <v>17</v>
      </c>
      <c r="D63" s="5">
        <v>1</v>
      </c>
      <c r="E63" s="97">
        <f>247*8*(A56/1973)</f>
        <v>430.65382665990876</v>
      </c>
      <c r="F63" s="26">
        <f>E63/A56</f>
        <v>1.001520527116067</v>
      </c>
      <c r="G63" s="35">
        <f t="shared" si="22"/>
        <v>2.3255813953488372E-3</v>
      </c>
      <c r="H63" s="145">
        <f>25200*0.45</f>
        <v>11340</v>
      </c>
      <c r="I63" s="83">
        <f t="shared" si="21"/>
        <v>26.372093023255815</v>
      </c>
    </row>
    <row r="64" spans="1:12" s="1" customFormat="1">
      <c r="A64" s="107"/>
      <c r="B64" s="48" t="s">
        <v>82</v>
      </c>
      <c r="C64" s="5" t="s">
        <v>17</v>
      </c>
      <c r="D64" s="5">
        <v>1</v>
      </c>
      <c r="E64" s="97">
        <f>247*8*(A56/1973)</f>
        <v>430.65382665990876</v>
      </c>
      <c r="F64" s="26">
        <f>E64/A56</f>
        <v>1.001520527116067</v>
      </c>
      <c r="G64" s="35">
        <f t="shared" si="22"/>
        <v>2.3255813953488372E-3</v>
      </c>
      <c r="H64" s="145">
        <f>9000*0.45</f>
        <v>4050</v>
      </c>
      <c r="I64" s="83">
        <f t="shared" si="21"/>
        <v>9.4186046511627914</v>
      </c>
    </row>
    <row r="65" spans="1:12" s="1" customFormat="1" ht="16.5" customHeight="1">
      <c r="A65" s="107"/>
      <c r="B65" s="48" t="s">
        <v>111</v>
      </c>
      <c r="C65" s="5" t="s">
        <v>17</v>
      </c>
      <c r="D65" s="5">
        <v>1</v>
      </c>
      <c r="E65" s="97">
        <f>247*8*(A56/1973)</f>
        <v>430.65382665990876</v>
      </c>
      <c r="F65" s="26">
        <f>E65/A56</f>
        <v>1.001520527116067</v>
      </c>
      <c r="G65" s="35">
        <f t="shared" si="22"/>
        <v>2.3255813953488372E-3</v>
      </c>
      <c r="H65" s="145">
        <f>(108528+52870)*0.45</f>
        <v>72629.100000000006</v>
      </c>
      <c r="I65" s="83">
        <f t="shared" si="21"/>
        <v>168.90488372093026</v>
      </c>
    </row>
    <row r="66" spans="1:12" s="1" customFormat="1" ht="15.75" customHeight="1">
      <c r="A66" s="107"/>
      <c r="B66" s="48" t="s">
        <v>112</v>
      </c>
      <c r="C66" s="5" t="s">
        <v>17</v>
      </c>
      <c r="D66" s="5">
        <v>1</v>
      </c>
      <c r="E66" s="97">
        <f>247*8*(A56/1973)</f>
        <v>430.65382665990876</v>
      </c>
      <c r="F66" s="26">
        <f>E66/A56</f>
        <v>1.001520527116067</v>
      </c>
      <c r="G66" s="35">
        <f t="shared" si="22"/>
        <v>2.3255813953488372E-3</v>
      </c>
      <c r="H66" s="145">
        <f>13286*0.45</f>
        <v>5978.7</v>
      </c>
      <c r="I66" s="83">
        <f t="shared" si="21"/>
        <v>13.903953488372093</v>
      </c>
    </row>
    <row r="67" spans="1:12" s="1" customFormat="1">
      <c r="A67" s="107"/>
      <c r="B67" s="48" t="s">
        <v>39</v>
      </c>
      <c r="C67" s="5" t="s">
        <v>17</v>
      </c>
      <c r="D67" s="5">
        <v>1</v>
      </c>
      <c r="E67" s="97">
        <f>247*8*(A56/1973)</f>
        <v>430.65382665990876</v>
      </c>
      <c r="F67" s="26">
        <f>E67/A56</f>
        <v>1.001520527116067</v>
      </c>
      <c r="G67" s="35">
        <f t="shared" si="22"/>
        <v>2.3255813953488372E-3</v>
      </c>
      <c r="H67" s="145">
        <f>6541.2*0.45</f>
        <v>2943.54</v>
      </c>
      <c r="I67" s="83">
        <f t="shared" si="21"/>
        <v>6.8454418604651162</v>
      </c>
    </row>
    <row r="68" spans="1:12" s="1" customFormat="1">
      <c r="A68" s="107"/>
      <c r="B68" s="48" t="s">
        <v>120</v>
      </c>
      <c r="C68" s="5" t="s">
        <v>17</v>
      </c>
      <c r="D68" s="5">
        <v>1</v>
      </c>
      <c r="E68" s="97">
        <f>247*8*(A56/1973)</f>
        <v>430.65382665990876</v>
      </c>
      <c r="F68" s="26">
        <f>E68/A56</f>
        <v>1.001520527116067</v>
      </c>
      <c r="G68" s="35">
        <f t="shared" si="22"/>
        <v>2.3255813953488372E-3</v>
      </c>
      <c r="H68" s="145">
        <f>(6877.8+17289)*0.45</f>
        <v>10875.06</v>
      </c>
      <c r="I68" s="83">
        <f t="shared" si="21"/>
        <v>25.290837209302325</v>
      </c>
    </row>
    <row r="69" spans="1:12" s="1" customFormat="1" ht="13.7" customHeight="1">
      <c r="A69" s="107"/>
      <c r="B69" s="48" t="s">
        <v>113</v>
      </c>
      <c r="C69" s="5" t="s">
        <v>17</v>
      </c>
      <c r="D69" s="5">
        <v>1</v>
      </c>
      <c r="E69" s="97">
        <f>247*8*(A56/1973)</f>
        <v>430.65382665990876</v>
      </c>
      <c r="F69" s="26">
        <f>E69/A56</f>
        <v>1.001520527116067</v>
      </c>
      <c r="G69" s="35">
        <f t="shared" si="22"/>
        <v>2.3255813953488372E-3</v>
      </c>
      <c r="H69" s="145">
        <f>3455*0.45</f>
        <v>1554.75</v>
      </c>
      <c r="I69" s="83">
        <f t="shared" si="21"/>
        <v>3.6156976744186045</v>
      </c>
    </row>
    <row r="70" spans="1:12" s="1" customFormat="1" ht="15.75" thickBot="1">
      <c r="A70" s="108"/>
      <c r="B70" s="18"/>
      <c r="C70" s="18"/>
      <c r="D70" s="18"/>
      <c r="E70" s="95"/>
      <c r="F70" s="18"/>
      <c r="G70" s="20"/>
      <c r="H70" s="37"/>
      <c r="I70" s="87">
        <f>SUM(I55:I69)</f>
        <v>998.22558139534897</v>
      </c>
      <c r="J70" s="126">
        <f>(59393+108528+21600+6000+4800+55200+6541.2+9000+16000+27020+6877.8+20400+17289+13286+3455+525600+52870)*0.45</f>
        <v>429237</v>
      </c>
      <c r="K70" s="127">
        <f>I70*A56</f>
        <v>429237.00000000006</v>
      </c>
      <c r="L70" s="127">
        <f>J70-K70</f>
        <v>0</v>
      </c>
    </row>
    <row r="71" spans="1:12">
      <c r="A71" s="104" t="s">
        <v>70</v>
      </c>
      <c r="B71" s="13" t="s">
        <v>36</v>
      </c>
      <c r="C71" s="13" t="s">
        <v>17</v>
      </c>
      <c r="D71" s="13">
        <v>1</v>
      </c>
      <c r="E71" s="124">
        <f>247*8*(A72/1973)</f>
        <v>407.61885453623927</v>
      </c>
      <c r="F71" s="25">
        <f>E71/A72</f>
        <v>1.001520527116067</v>
      </c>
      <c r="G71" s="36">
        <f>D71/E71*F71</f>
        <v>2.4570024570024569E-3</v>
      </c>
      <c r="H71" s="156">
        <f>89087*0.42</f>
        <v>37416.54</v>
      </c>
      <c r="I71" s="82">
        <f>H71*G71</f>
        <v>91.932530712530706</v>
      </c>
    </row>
    <row r="72" spans="1:12" s="1" customFormat="1">
      <c r="A72" s="112">
        <f>ком.усл!A31</f>
        <v>407</v>
      </c>
      <c r="B72" s="5" t="s">
        <v>37</v>
      </c>
      <c r="C72" s="5" t="s">
        <v>17</v>
      </c>
      <c r="D72" s="5">
        <v>1</v>
      </c>
      <c r="E72" s="97">
        <f>247*8*(A72/1973)</f>
        <v>407.61885453623927</v>
      </c>
      <c r="F72" s="26">
        <f>E72/A72</f>
        <v>1.001520527116067</v>
      </c>
      <c r="G72" s="35">
        <f>D72/E72*F72</f>
        <v>2.4570024570024569E-3</v>
      </c>
      <c r="H72" s="145">
        <f>31200*0.42</f>
        <v>13104</v>
      </c>
      <c r="I72" s="83">
        <f t="shared" ref="I72:I85" si="23">H72*G72</f>
        <v>32.196560196560199</v>
      </c>
    </row>
    <row r="73" spans="1:12" s="1" customFormat="1">
      <c r="A73" s="113"/>
      <c r="B73" s="5" t="s">
        <v>40</v>
      </c>
      <c r="C73" s="5" t="s">
        <v>17</v>
      </c>
      <c r="D73" s="5">
        <v>1</v>
      </c>
      <c r="E73" s="97">
        <f>247*8*(A72/1973)</f>
        <v>407.61885453623927</v>
      </c>
      <c r="F73" s="26">
        <f>E73/A72</f>
        <v>1.001520527116067</v>
      </c>
      <c r="G73" s="35">
        <f>D73/E73*F73</f>
        <v>2.4570024570024569E-3</v>
      </c>
      <c r="H73" s="145">
        <f>31200*0.42</f>
        <v>13104</v>
      </c>
      <c r="I73" s="83">
        <f t="shared" si="23"/>
        <v>32.196560196560199</v>
      </c>
    </row>
    <row r="74" spans="1:12" s="1" customFormat="1">
      <c r="A74" s="113"/>
      <c r="B74" s="5" t="s">
        <v>38</v>
      </c>
      <c r="C74" s="5" t="s">
        <v>17</v>
      </c>
      <c r="D74" s="5">
        <v>1</v>
      </c>
      <c r="E74" s="97">
        <f>247*8*(A72/1973)</f>
        <v>407.61885453623927</v>
      </c>
      <c r="F74" s="26">
        <f>E74/A72</f>
        <v>1.001520527116067</v>
      </c>
      <c r="G74" s="35">
        <f t="shared" ref="G74:G85" si="24">D74/E74*F74</f>
        <v>2.4570024570024569E-3</v>
      </c>
      <c r="H74" s="145">
        <f>20400*0.42</f>
        <v>8568</v>
      </c>
      <c r="I74" s="83">
        <f t="shared" si="23"/>
        <v>21.051597051597049</v>
      </c>
    </row>
    <row r="75" spans="1:12" s="1" customFormat="1">
      <c r="A75" s="113"/>
      <c r="B75" s="5" t="s">
        <v>121</v>
      </c>
      <c r="C75" s="5" t="s">
        <v>17</v>
      </c>
      <c r="D75" s="5">
        <v>1</v>
      </c>
      <c r="E75" s="97">
        <f>247*8*(A72/1973)</f>
        <v>407.61885453623927</v>
      </c>
      <c r="F75" s="26">
        <f>E75/A72</f>
        <v>1.001520527116067</v>
      </c>
      <c r="G75" s="35">
        <f t="shared" si="24"/>
        <v>2.4570024570024569E-3</v>
      </c>
      <c r="H75" s="145">
        <f>16400*0.42</f>
        <v>6888</v>
      </c>
      <c r="I75" s="83">
        <f t="shared" si="23"/>
        <v>16.923832923832922</v>
      </c>
    </row>
    <row r="76" spans="1:12" s="1" customFormat="1">
      <c r="A76" s="113"/>
      <c r="B76" s="5" t="s">
        <v>56</v>
      </c>
      <c r="C76" s="5" t="s">
        <v>17</v>
      </c>
      <c r="D76" s="5">
        <v>1</v>
      </c>
      <c r="E76" s="97">
        <f>247*8*(A72/1973)</f>
        <v>407.61885453623927</v>
      </c>
      <c r="F76" s="26">
        <f>E76/A72</f>
        <v>1.001520527116067</v>
      </c>
      <c r="G76" s="35">
        <f t="shared" si="24"/>
        <v>2.4570024570024569E-3</v>
      </c>
      <c r="H76" s="145">
        <f>14000*0.42</f>
        <v>5880</v>
      </c>
      <c r="I76" s="83">
        <f t="shared" si="23"/>
        <v>14.447174447174447</v>
      </c>
    </row>
    <row r="77" spans="1:12" s="1" customFormat="1">
      <c r="A77" s="113"/>
      <c r="B77" s="5" t="s">
        <v>41</v>
      </c>
      <c r="C77" s="5" t="s">
        <v>17</v>
      </c>
      <c r="D77" s="5">
        <v>1</v>
      </c>
      <c r="E77" s="97">
        <f>247*8*(A72/1973)</f>
        <v>407.61885453623927</v>
      </c>
      <c r="F77" s="26">
        <f>E77/A72</f>
        <v>1.001520527116067</v>
      </c>
      <c r="G77" s="35">
        <f t="shared" si="24"/>
        <v>2.4570024570024569E-3</v>
      </c>
      <c r="H77" s="145">
        <f>59250*0.42</f>
        <v>24885</v>
      </c>
      <c r="I77" s="83">
        <f t="shared" si="23"/>
        <v>61.142506142506143</v>
      </c>
    </row>
    <row r="78" spans="1:12" s="1" customFormat="1">
      <c r="A78" s="113"/>
      <c r="B78" s="5" t="s">
        <v>63</v>
      </c>
      <c r="C78" s="5" t="s">
        <v>17</v>
      </c>
      <c r="D78" s="5">
        <v>1</v>
      </c>
      <c r="E78" s="97">
        <f>247*8*(A72/1973)</f>
        <v>407.61885453623927</v>
      </c>
      <c r="F78" s="26">
        <f>E78/A72</f>
        <v>1.001520527116067</v>
      </c>
      <c r="G78" s="35">
        <f t="shared" si="24"/>
        <v>2.4570024570024569E-3</v>
      </c>
      <c r="H78" s="145">
        <f>30000*0.42</f>
        <v>12600</v>
      </c>
      <c r="I78" s="83">
        <f t="shared" si="23"/>
        <v>30.958230958230956</v>
      </c>
    </row>
    <row r="79" spans="1:12" s="1" customFormat="1">
      <c r="A79" s="113"/>
      <c r="B79" s="31" t="s">
        <v>55</v>
      </c>
      <c r="C79" s="5" t="s">
        <v>17</v>
      </c>
      <c r="D79" s="5">
        <v>1</v>
      </c>
      <c r="E79" s="97">
        <f>247*8*(A72/1973)</f>
        <v>407.61885453623927</v>
      </c>
      <c r="F79" s="26">
        <f>E79/A72</f>
        <v>1.001520527116067</v>
      </c>
      <c r="G79" s="35">
        <f t="shared" si="24"/>
        <v>2.4570024570024569E-3</v>
      </c>
      <c r="H79" s="145">
        <f>50400*0.42</f>
        <v>21168</v>
      </c>
      <c r="I79" s="83">
        <f t="shared" si="23"/>
        <v>52.009828009828006</v>
      </c>
    </row>
    <row r="80" spans="1:12" s="1" customFormat="1">
      <c r="A80" s="113"/>
      <c r="B80" s="48" t="s">
        <v>82</v>
      </c>
      <c r="C80" s="5" t="s">
        <v>17</v>
      </c>
      <c r="D80" s="5">
        <v>1</v>
      </c>
      <c r="E80" s="97">
        <f>247*8*(A72/1973)</f>
        <v>407.61885453623927</v>
      </c>
      <c r="F80" s="26">
        <f>E80/A72</f>
        <v>1.001520527116067</v>
      </c>
      <c r="G80" s="35">
        <f t="shared" si="24"/>
        <v>2.4570024570024569E-3</v>
      </c>
      <c r="H80" s="145"/>
      <c r="I80" s="83">
        <f t="shared" si="23"/>
        <v>0</v>
      </c>
    </row>
    <row r="81" spans="1:12" s="1" customFormat="1">
      <c r="A81" s="113"/>
      <c r="B81" s="48" t="s">
        <v>126</v>
      </c>
      <c r="C81" s="5" t="s">
        <v>17</v>
      </c>
      <c r="D81" s="5">
        <v>1</v>
      </c>
      <c r="E81" s="97">
        <f>247*8*(A72/1973)</f>
        <v>407.61885453623927</v>
      </c>
      <c r="F81" s="26">
        <f>E81/A72</f>
        <v>1.001520527116067</v>
      </c>
      <c r="G81" s="35">
        <f t="shared" si="24"/>
        <v>2.4570024570024569E-3</v>
      </c>
      <c r="H81" s="145">
        <f>16050.84*0.42</f>
        <v>6741.3527999999997</v>
      </c>
      <c r="I81" s="83">
        <f t="shared" si="23"/>
        <v>16.563520393120392</v>
      </c>
    </row>
    <row r="82" spans="1:12" s="1" customFormat="1">
      <c r="A82" s="113"/>
      <c r="B82" s="48" t="s">
        <v>125</v>
      </c>
      <c r="C82" s="5" t="s">
        <v>17</v>
      </c>
      <c r="D82" s="5">
        <v>1</v>
      </c>
      <c r="E82" s="97">
        <f>247*8*(A72/1973)</f>
        <v>407.61885453623927</v>
      </c>
      <c r="F82" s="26">
        <f>E82/A72</f>
        <v>1.001520527116067</v>
      </c>
      <c r="G82" s="35">
        <f t="shared" si="24"/>
        <v>2.4570024570024569E-3</v>
      </c>
      <c r="H82" s="145">
        <f>14000*0.42</f>
        <v>5880</v>
      </c>
      <c r="I82" s="83">
        <f t="shared" si="23"/>
        <v>14.447174447174447</v>
      </c>
    </row>
    <row r="83" spans="1:12" s="1" customFormat="1">
      <c r="A83" s="107"/>
      <c r="B83" s="48" t="s">
        <v>39</v>
      </c>
      <c r="C83" s="5" t="s">
        <v>17</v>
      </c>
      <c r="D83" s="5">
        <v>1</v>
      </c>
      <c r="E83" s="97">
        <f>247*8*(A72/1973)</f>
        <v>407.61885453623927</v>
      </c>
      <c r="F83" s="26">
        <f>E83/A72</f>
        <v>1.001520527116067</v>
      </c>
      <c r="G83" s="35">
        <f t="shared" si="24"/>
        <v>2.4570024570024569E-3</v>
      </c>
      <c r="H83" s="145">
        <f>18549*0.42</f>
        <v>7790.58</v>
      </c>
      <c r="I83" s="83">
        <f t="shared" si="23"/>
        <v>19.1414742014742</v>
      </c>
    </row>
    <row r="84" spans="1:12" s="1" customFormat="1">
      <c r="A84" s="107"/>
      <c r="B84" s="48" t="s">
        <v>120</v>
      </c>
      <c r="C84" s="5" t="s">
        <v>17</v>
      </c>
      <c r="D84" s="5">
        <v>1</v>
      </c>
      <c r="E84" s="97">
        <f>247*8*(A72/1973)</f>
        <v>407.61885453623927</v>
      </c>
      <c r="F84" s="26">
        <f>E84/A72</f>
        <v>1.001520527116067</v>
      </c>
      <c r="G84" s="35">
        <f t="shared" si="24"/>
        <v>2.4570024570024569E-3</v>
      </c>
      <c r="H84" s="145">
        <f>(9170.16+19390.4+89000)*0.42</f>
        <v>49375.4352</v>
      </c>
      <c r="I84" s="83">
        <f t="shared" si="23"/>
        <v>121.3155656019656</v>
      </c>
    </row>
    <row r="85" spans="1:12" s="1" customFormat="1" ht="13.7" customHeight="1">
      <c r="A85" s="107"/>
      <c r="B85" s="48" t="s">
        <v>113</v>
      </c>
      <c r="C85" s="5" t="s">
        <v>17</v>
      </c>
      <c r="D85" s="5">
        <v>1</v>
      </c>
      <c r="E85" s="97">
        <f>247*8*(A72/1973)</f>
        <v>407.61885453623927</v>
      </c>
      <c r="F85" s="26">
        <f>E85/A72</f>
        <v>1.001520527116067</v>
      </c>
      <c r="G85" s="35">
        <f t="shared" si="24"/>
        <v>2.4570024570024569E-3</v>
      </c>
      <c r="H85" s="145">
        <f>3000*0.42</f>
        <v>1260</v>
      </c>
      <c r="I85" s="83">
        <f t="shared" si="23"/>
        <v>3.0958230958230959</v>
      </c>
    </row>
    <row r="86" spans="1:12" s="1" customFormat="1" ht="15.75" thickBot="1">
      <c r="A86" s="108"/>
      <c r="B86" s="18"/>
      <c r="C86" s="18"/>
      <c r="D86" s="18"/>
      <c r="E86" s="95"/>
      <c r="F86" s="18"/>
      <c r="G86" s="20"/>
      <c r="H86" s="37"/>
      <c r="I86" s="87">
        <f>SUM(I71:I85)</f>
        <v>527.42237837837843</v>
      </c>
      <c r="J86" s="126">
        <f>(89087+31200+31200+80400+18549+16050.84+14000+59250+9170.16+16400+20400+19390.4+14000+89000+3000)*0.42</f>
        <v>214660.908</v>
      </c>
      <c r="K86" s="127">
        <f>I86*A72</f>
        <v>214660.90800000002</v>
      </c>
      <c r="L86" s="127">
        <f>J86-K86</f>
        <v>0</v>
      </c>
    </row>
    <row r="87" spans="1:12">
      <c r="A87" s="104" t="s">
        <v>71</v>
      </c>
      <c r="B87" s="13" t="s">
        <v>36</v>
      </c>
      <c r="C87" s="13" t="s">
        <v>17</v>
      </c>
      <c r="D87" s="13">
        <v>1</v>
      </c>
      <c r="E87" s="124">
        <f>247*8*(A88/1973)</f>
        <v>238.36188545362393</v>
      </c>
      <c r="F87" s="25">
        <f>E87/A88</f>
        <v>1.001520527116067</v>
      </c>
      <c r="G87" s="36">
        <f>D87/E87*F87</f>
        <v>4.2016806722689082E-3</v>
      </c>
      <c r="H87" s="156">
        <f>44544*0.41</f>
        <v>18263.039999999997</v>
      </c>
      <c r="I87" s="82">
        <f>H87*G87</f>
        <v>76.735462184873953</v>
      </c>
    </row>
    <row r="88" spans="1:12" s="1" customFormat="1">
      <c r="A88" s="112">
        <f>ком.усл!A36</f>
        <v>238</v>
      </c>
      <c r="B88" s="5" t="s">
        <v>37</v>
      </c>
      <c r="C88" s="5" t="s">
        <v>17</v>
      </c>
      <c r="D88" s="5">
        <v>1</v>
      </c>
      <c r="E88" s="97">
        <f>247*8*(A88/1973)</f>
        <v>238.36188545362393</v>
      </c>
      <c r="F88" s="26">
        <f>E88/A88</f>
        <v>1.001520527116067</v>
      </c>
      <c r="G88" s="35">
        <f>D88/E88*F88</f>
        <v>4.2016806722689082E-3</v>
      </c>
      <c r="H88" s="145">
        <f>32400*0.41</f>
        <v>13284</v>
      </c>
      <c r="I88" s="83">
        <f t="shared" ref="I88:I101" si="25">H88*G88</f>
        <v>55.815126050420176</v>
      </c>
    </row>
    <row r="89" spans="1:12" s="1" customFormat="1">
      <c r="A89" s="113"/>
      <c r="B89" s="5" t="s">
        <v>40</v>
      </c>
      <c r="C89" s="5" t="s">
        <v>17</v>
      </c>
      <c r="D89" s="5">
        <v>1</v>
      </c>
      <c r="E89" s="97">
        <f>247*8*(A88/1973)</f>
        <v>238.36188545362393</v>
      </c>
      <c r="F89" s="26">
        <f>E89/A88</f>
        <v>1.001520527116067</v>
      </c>
      <c r="G89" s="35">
        <f>D89/E89*F89</f>
        <v>4.2016806722689082E-3</v>
      </c>
      <c r="H89" s="145">
        <f>14400*0.41</f>
        <v>5904</v>
      </c>
      <c r="I89" s="83">
        <f t="shared" si="25"/>
        <v>24.806722689075634</v>
      </c>
    </row>
    <row r="90" spans="1:12" s="1" customFormat="1">
      <c r="A90" s="113"/>
      <c r="B90" s="5" t="s">
        <v>38</v>
      </c>
      <c r="C90" s="5" t="s">
        <v>17</v>
      </c>
      <c r="D90" s="5">
        <v>1</v>
      </c>
      <c r="E90" s="97">
        <f>247*8*(A88/1973)</f>
        <v>238.36188545362393</v>
      </c>
      <c r="F90" s="26">
        <f>E90/A88</f>
        <v>1.001520527116067</v>
      </c>
      <c r="G90" s="35">
        <f t="shared" ref="G90:G101" si="26">D90/E90*F90</f>
        <v>4.2016806722689082E-3</v>
      </c>
      <c r="H90" s="145">
        <f>20400*0.41</f>
        <v>8364</v>
      </c>
      <c r="I90" s="83">
        <f t="shared" si="25"/>
        <v>35.142857142857146</v>
      </c>
    </row>
    <row r="91" spans="1:12" s="1" customFormat="1">
      <c r="A91" s="113"/>
      <c r="B91" s="5" t="s">
        <v>96</v>
      </c>
      <c r="C91" s="5" t="s">
        <v>17</v>
      </c>
      <c r="D91" s="5">
        <v>1</v>
      </c>
      <c r="E91" s="97">
        <f>247*8*(A88/1973)</f>
        <v>238.36188545362393</v>
      </c>
      <c r="F91" s="26">
        <f>E91/A88</f>
        <v>1.001520527116067</v>
      </c>
      <c r="G91" s="35">
        <f t="shared" si="26"/>
        <v>4.2016806722689082E-3</v>
      </c>
      <c r="H91" s="145">
        <f>10000*0.41</f>
        <v>4100</v>
      </c>
      <c r="I91" s="83">
        <f t="shared" si="25"/>
        <v>17.226890756302524</v>
      </c>
    </row>
    <row r="92" spans="1:12" s="1" customFormat="1">
      <c r="A92" s="113"/>
      <c r="B92" s="5" t="s">
        <v>56</v>
      </c>
      <c r="C92" s="5" t="s">
        <v>17</v>
      </c>
      <c r="D92" s="5">
        <v>1</v>
      </c>
      <c r="E92" s="97">
        <f>247*8*(A88/1973)</f>
        <v>238.36188545362393</v>
      </c>
      <c r="F92" s="26">
        <f>E92/A88</f>
        <v>1.001520527116067</v>
      </c>
      <c r="G92" s="35">
        <f t="shared" si="26"/>
        <v>4.2016806722689082E-3</v>
      </c>
      <c r="H92" s="145">
        <f>10000*0.41</f>
        <v>4100</v>
      </c>
      <c r="I92" s="83">
        <f t="shared" si="25"/>
        <v>17.226890756302524</v>
      </c>
    </row>
    <row r="93" spans="1:12" s="1" customFormat="1">
      <c r="A93" s="113"/>
      <c r="B93" s="5" t="s">
        <v>41</v>
      </c>
      <c r="C93" s="5" t="s">
        <v>17</v>
      </c>
      <c r="D93" s="5">
        <v>1</v>
      </c>
      <c r="E93" s="97">
        <f>247*8*(A88/1973)</f>
        <v>238.36188545362393</v>
      </c>
      <c r="F93" s="26">
        <f>E93/A88</f>
        <v>1.001520527116067</v>
      </c>
      <c r="G93" s="35">
        <f t="shared" si="26"/>
        <v>4.2016806722689082E-3</v>
      </c>
      <c r="H93" s="145">
        <f>10180*0.41</f>
        <v>4173.8</v>
      </c>
      <c r="I93" s="83">
        <f t="shared" si="25"/>
        <v>17.53697478991597</v>
      </c>
    </row>
    <row r="94" spans="1:12" s="1" customFormat="1">
      <c r="A94" s="113"/>
      <c r="B94" s="5" t="s">
        <v>63</v>
      </c>
      <c r="C94" s="5" t="s">
        <v>17</v>
      </c>
      <c r="D94" s="5">
        <v>1</v>
      </c>
      <c r="E94" s="97">
        <f>247*8*(A88/1973)</f>
        <v>238.36188545362393</v>
      </c>
      <c r="F94" s="26">
        <f>E94/A88</f>
        <v>1.001520527116067</v>
      </c>
      <c r="G94" s="35">
        <f t="shared" si="26"/>
        <v>4.2016806722689082E-3</v>
      </c>
      <c r="H94" s="145">
        <f>30000*0.41</f>
        <v>12300</v>
      </c>
      <c r="I94" s="83">
        <f t="shared" si="25"/>
        <v>51.680672268907571</v>
      </c>
    </row>
    <row r="95" spans="1:12" s="1" customFormat="1">
      <c r="A95" s="113"/>
      <c r="B95" s="31" t="s">
        <v>55</v>
      </c>
      <c r="C95" s="5" t="s">
        <v>17</v>
      </c>
      <c r="D95" s="5">
        <v>1</v>
      </c>
      <c r="E95" s="97">
        <f>247*8*(A88/1973)</f>
        <v>238.36188545362393</v>
      </c>
      <c r="F95" s="26">
        <f>E95/A88</f>
        <v>1.001520527116067</v>
      </c>
      <c r="G95" s="35">
        <f t="shared" si="26"/>
        <v>4.2016806722689082E-3</v>
      </c>
      <c r="H95" s="145">
        <f>25200*0.41</f>
        <v>10332</v>
      </c>
      <c r="I95" s="83">
        <f t="shared" si="25"/>
        <v>43.411764705882362</v>
      </c>
    </row>
    <row r="96" spans="1:12" s="1" customFormat="1">
      <c r="A96" s="113"/>
      <c r="B96" s="48" t="s">
        <v>82</v>
      </c>
      <c r="C96" s="5" t="s">
        <v>17</v>
      </c>
      <c r="D96" s="5">
        <v>1</v>
      </c>
      <c r="E96" s="97">
        <f>247*8*(A88/1973)</f>
        <v>238.36188545362393</v>
      </c>
      <c r="F96" s="26">
        <f>E96/A88</f>
        <v>1.001520527116067</v>
      </c>
      <c r="G96" s="35">
        <f t="shared" si="26"/>
        <v>4.2016806722689082E-3</v>
      </c>
      <c r="H96" s="145"/>
      <c r="I96" s="83">
        <f t="shared" si="25"/>
        <v>0</v>
      </c>
    </row>
    <row r="97" spans="1:12" s="1" customFormat="1" ht="18.75" customHeight="1">
      <c r="A97" s="113"/>
      <c r="B97" s="48" t="s">
        <v>111</v>
      </c>
      <c r="C97" s="5" t="s">
        <v>17</v>
      </c>
      <c r="D97" s="5">
        <v>1</v>
      </c>
      <c r="E97" s="97">
        <f>247*8*(A88/1973)</f>
        <v>238.36188545362393</v>
      </c>
      <c r="F97" s="26">
        <f>E97/A88</f>
        <v>1.001520527116067</v>
      </c>
      <c r="G97" s="35">
        <f t="shared" si="26"/>
        <v>4.2016806722689082E-3</v>
      </c>
      <c r="H97" s="145">
        <f>(108528+52860)*0.41</f>
        <v>66169.08</v>
      </c>
      <c r="I97" s="83">
        <f t="shared" si="25"/>
        <v>278.0213445378152</v>
      </c>
    </row>
    <row r="98" spans="1:12" s="1" customFormat="1">
      <c r="A98" s="107"/>
      <c r="B98" s="48" t="s">
        <v>127</v>
      </c>
      <c r="C98" s="5" t="s">
        <v>17</v>
      </c>
      <c r="D98" s="5">
        <v>1</v>
      </c>
      <c r="E98" s="97">
        <f>247*8*(A88/1973)</f>
        <v>238.36188545362393</v>
      </c>
      <c r="F98" s="26">
        <f>E98/A88</f>
        <v>1.001520527116067</v>
      </c>
      <c r="G98" s="35">
        <f t="shared" si="26"/>
        <v>4.2016806722689082E-3</v>
      </c>
      <c r="H98" s="145">
        <f>6450*0.41</f>
        <v>2644.5</v>
      </c>
      <c r="I98" s="83">
        <f t="shared" si="25"/>
        <v>11.111344537815128</v>
      </c>
    </row>
    <row r="99" spans="1:12" s="1" customFormat="1">
      <c r="A99" s="107"/>
      <c r="B99" s="48" t="s">
        <v>39</v>
      </c>
      <c r="C99" s="5" t="s">
        <v>17</v>
      </c>
      <c r="D99" s="5">
        <v>1</v>
      </c>
      <c r="E99" s="97">
        <f>247*8*(A88/1973)</f>
        <v>238.36188545362393</v>
      </c>
      <c r="F99" s="26">
        <f>E99/A88</f>
        <v>1.001520527116067</v>
      </c>
      <c r="G99" s="35">
        <f t="shared" si="26"/>
        <v>4.2016806722689082E-3</v>
      </c>
      <c r="H99" s="145">
        <f>19834*0.41</f>
        <v>8131.94</v>
      </c>
      <c r="I99" s="83">
        <f t="shared" si="25"/>
        <v>34.167815126050421</v>
      </c>
    </row>
    <row r="100" spans="1:12" s="1" customFormat="1">
      <c r="A100" s="107"/>
      <c r="B100" s="48" t="s">
        <v>120</v>
      </c>
      <c r="C100" s="5" t="s">
        <v>17</v>
      </c>
      <c r="D100" s="5">
        <v>1</v>
      </c>
      <c r="E100" s="97">
        <f>247*8*(A88/1973)</f>
        <v>238.36188545362393</v>
      </c>
      <c r="F100" s="26">
        <f>E100/A88</f>
        <v>1.001520527116067</v>
      </c>
      <c r="G100" s="35">
        <f t="shared" si="26"/>
        <v>4.2016806722689082E-3</v>
      </c>
      <c r="H100" s="145">
        <f>(9043+19368)*0.41</f>
        <v>11648.509999999998</v>
      </c>
      <c r="I100" s="83">
        <f t="shared" si="25"/>
        <v>48.943319327731096</v>
      </c>
    </row>
    <row r="101" spans="1:12" s="1" customFormat="1" ht="13.7" customHeight="1">
      <c r="A101" s="107"/>
      <c r="B101" s="48" t="s">
        <v>113</v>
      </c>
      <c r="C101" s="5" t="s">
        <v>17</v>
      </c>
      <c r="D101" s="5">
        <v>1</v>
      </c>
      <c r="E101" s="97">
        <f>247*8*(A88/1973)</f>
        <v>238.36188545362393</v>
      </c>
      <c r="F101" s="26">
        <f>E101/A88</f>
        <v>1.001520527116067</v>
      </c>
      <c r="G101" s="35">
        <f t="shared" si="26"/>
        <v>4.2016806722689082E-3</v>
      </c>
      <c r="H101" s="145">
        <f>5176*0.41</f>
        <v>2122.16</v>
      </c>
      <c r="I101" s="83">
        <f t="shared" si="25"/>
        <v>8.9166386554621866</v>
      </c>
    </row>
    <row r="102" spans="1:12" s="1" customFormat="1" ht="15.75" thickBot="1">
      <c r="A102" s="108"/>
      <c r="B102" s="18"/>
      <c r="C102" s="18"/>
      <c r="D102" s="18"/>
      <c r="E102" s="95"/>
      <c r="F102" s="18"/>
      <c r="G102" s="20"/>
      <c r="H102" s="37"/>
      <c r="I102" s="87">
        <f>SUM(I87:I101)</f>
        <v>720.74382352941188</v>
      </c>
      <c r="J102" s="126">
        <f>(44544+108528+32400+14400+30000+25200+19834+6450+20000+10180+9043+20400+19368+5176+52860)*0.41</f>
        <v>171537.03</v>
      </c>
      <c r="K102" s="127">
        <f>I102*A88</f>
        <v>171537.03000000003</v>
      </c>
      <c r="L102" s="127">
        <f>J102-K102</f>
        <v>0</v>
      </c>
    </row>
    <row r="103" spans="1:12" ht="15.75" thickBot="1">
      <c r="I103" s="90"/>
    </row>
    <row r="104" spans="1:12">
      <c r="A104" s="104" t="s">
        <v>94</v>
      </c>
      <c r="B104" s="13" t="s">
        <v>36</v>
      </c>
      <c r="C104" s="13" t="s">
        <v>17</v>
      </c>
      <c r="D104" s="13">
        <v>1</v>
      </c>
      <c r="E104" s="124">
        <f>247*8*(A105/1973)</f>
        <v>397.60364926507856</v>
      </c>
      <c r="F104" s="25">
        <f>E104/A105</f>
        <v>1.001520527116067</v>
      </c>
      <c r="G104" s="36">
        <f>D104/E104*F104</f>
        <v>2.5188916876574311E-3</v>
      </c>
      <c r="H104" s="156">
        <f>148032*0.4</f>
        <v>59212.800000000003</v>
      </c>
      <c r="I104" s="82">
        <f>H104*G104</f>
        <v>149.15062972292193</v>
      </c>
    </row>
    <row r="105" spans="1:12" s="1" customFormat="1">
      <c r="A105" s="112">
        <f>ком.усл!A41</f>
        <v>397</v>
      </c>
      <c r="B105" s="5" t="s">
        <v>37</v>
      </c>
      <c r="C105" s="5" t="s">
        <v>17</v>
      </c>
      <c r="D105" s="5">
        <v>1</v>
      </c>
      <c r="E105" s="97">
        <f>247*8*(A105/1973)</f>
        <v>397.60364926507856</v>
      </c>
      <c r="F105" s="26">
        <f>E105/A105</f>
        <v>1.001520527116067</v>
      </c>
      <c r="G105" s="35">
        <f>D105/E105*F105</f>
        <v>2.5188916876574311E-3</v>
      </c>
      <c r="H105" s="145">
        <f>36000*0.4</f>
        <v>14400</v>
      </c>
      <c r="I105" s="83">
        <f t="shared" ref="I105:I118" si="27">H105*G105</f>
        <v>36.272040302267008</v>
      </c>
    </row>
    <row r="106" spans="1:12" s="1" customFormat="1">
      <c r="A106" s="113"/>
      <c r="B106" s="5" t="s">
        <v>40</v>
      </c>
      <c r="C106" s="5" t="s">
        <v>17</v>
      </c>
      <c r="D106" s="5">
        <v>1</v>
      </c>
      <c r="E106" s="97">
        <f>247*8*(A105/1973)</f>
        <v>397.60364926507856</v>
      </c>
      <c r="F106" s="26">
        <f>E106/A105</f>
        <v>1.001520527116067</v>
      </c>
      <c r="G106" s="35">
        <f>D106/E106*F106</f>
        <v>2.5188916876574311E-3</v>
      </c>
      <c r="H106" s="145"/>
      <c r="I106" s="83">
        <f t="shared" si="27"/>
        <v>0</v>
      </c>
    </row>
    <row r="107" spans="1:12" s="1" customFormat="1">
      <c r="A107" s="113"/>
      <c r="B107" s="5" t="s">
        <v>38</v>
      </c>
      <c r="C107" s="5" t="s">
        <v>17</v>
      </c>
      <c r="D107" s="5">
        <v>1</v>
      </c>
      <c r="E107" s="97">
        <f>247*8*(A105/1973)</f>
        <v>397.60364926507856</v>
      </c>
      <c r="F107" s="26">
        <f>E107/A105</f>
        <v>1.001520527116067</v>
      </c>
      <c r="G107" s="35">
        <f t="shared" ref="G107:G118" si="28">D107/E107*F107</f>
        <v>2.5188916876574311E-3</v>
      </c>
      <c r="H107" s="145">
        <f>40800*0.4</f>
        <v>16320</v>
      </c>
      <c r="I107" s="83">
        <f t="shared" si="27"/>
        <v>41.108312342569278</v>
      </c>
    </row>
    <row r="108" spans="1:12" s="1" customFormat="1">
      <c r="A108" s="113"/>
      <c r="B108" s="5" t="s">
        <v>121</v>
      </c>
      <c r="C108" s="5" t="s">
        <v>17</v>
      </c>
      <c r="D108" s="5">
        <v>1</v>
      </c>
      <c r="E108" s="97">
        <f>247*8*(A105/1973)</f>
        <v>397.60364926507856</v>
      </c>
      <c r="F108" s="26">
        <f>E108/A105</f>
        <v>1.001520527116067</v>
      </c>
      <c r="G108" s="35">
        <f t="shared" si="28"/>
        <v>2.5188916876574311E-3</v>
      </c>
      <c r="H108" s="145"/>
      <c r="I108" s="83">
        <f t="shared" si="27"/>
        <v>0</v>
      </c>
    </row>
    <row r="109" spans="1:12" s="1" customFormat="1">
      <c r="A109" s="113"/>
      <c r="B109" s="5" t="s">
        <v>56</v>
      </c>
      <c r="C109" s="5" t="s">
        <v>17</v>
      </c>
      <c r="D109" s="5">
        <v>1</v>
      </c>
      <c r="E109" s="97">
        <f>247*8*(A105/1973)</f>
        <v>397.60364926507856</v>
      </c>
      <c r="F109" s="26">
        <f>E109/A105</f>
        <v>1.001520527116067</v>
      </c>
      <c r="G109" s="35">
        <f t="shared" si="28"/>
        <v>2.5188916876574311E-3</v>
      </c>
      <c r="H109" s="145">
        <f>14000*0.4</f>
        <v>5600</v>
      </c>
      <c r="I109" s="83">
        <f t="shared" si="27"/>
        <v>14.105793450881615</v>
      </c>
    </row>
    <row r="110" spans="1:12" s="1" customFormat="1">
      <c r="A110" s="113"/>
      <c r="B110" s="5" t="s">
        <v>41</v>
      </c>
      <c r="C110" s="5" t="s">
        <v>17</v>
      </c>
      <c r="D110" s="5">
        <v>1</v>
      </c>
      <c r="E110" s="97">
        <f>247*8*(A105/1973)</f>
        <v>397.60364926507856</v>
      </c>
      <c r="F110" s="26">
        <f>E110/A105</f>
        <v>1.001520527116067</v>
      </c>
      <c r="G110" s="35">
        <f t="shared" si="28"/>
        <v>2.5188916876574311E-3</v>
      </c>
      <c r="H110" s="145">
        <f>75000*0.4</f>
        <v>30000</v>
      </c>
      <c r="I110" s="83">
        <f t="shared" si="27"/>
        <v>75.566750629722932</v>
      </c>
    </row>
    <row r="111" spans="1:12" s="1" customFormat="1">
      <c r="A111" s="113"/>
      <c r="B111" s="5" t="s">
        <v>63</v>
      </c>
      <c r="C111" s="5" t="s">
        <v>17</v>
      </c>
      <c r="D111" s="5">
        <v>1</v>
      </c>
      <c r="E111" s="97">
        <f>247*8*(A105/1973)</f>
        <v>397.60364926507856</v>
      </c>
      <c r="F111" s="26">
        <f>E111/A105</f>
        <v>1.001520527116067</v>
      </c>
      <c r="G111" s="35">
        <f t="shared" si="28"/>
        <v>2.5188916876574311E-3</v>
      </c>
      <c r="H111" s="145">
        <f>60000*0.4</f>
        <v>24000</v>
      </c>
      <c r="I111" s="83">
        <f t="shared" si="27"/>
        <v>60.453400503778347</v>
      </c>
    </row>
    <row r="112" spans="1:12" s="1" customFormat="1">
      <c r="A112" s="113"/>
      <c r="B112" s="31" t="s">
        <v>55</v>
      </c>
      <c r="C112" s="5" t="s">
        <v>17</v>
      </c>
      <c r="D112" s="5">
        <v>1</v>
      </c>
      <c r="E112" s="97">
        <f>247*8*(A105/1973)</f>
        <v>397.60364926507856</v>
      </c>
      <c r="F112" s="26">
        <f>E112/A105</f>
        <v>1.001520527116067</v>
      </c>
      <c r="G112" s="35">
        <f t="shared" si="28"/>
        <v>2.5188916876574311E-3</v>
      </c>
      <c r="H112" s="145">
        <f>43200*0.4</f>
        <v>17280</v>
      </c>
      <c r="I112" s="83">
        <f t="shared" si="27"/>
        <v>43.526448362720409</v>
      </c>
    </row>
    <row r="113" spans="1:12" s="1" customFormat="1">
      <c r="A113" s="113"/>
      <c r="B113" s="48" t="s">
        <v>82</v>
      </c>
      <c r="C113" s="5" t="s">
        <v>17</v>
      </c>
      <c r="D113" s="5">
        <v>1</v>
      </c>
      <c r="E113" s="97">
        <f>247*8*(A105/1973)</f>
        <v>397.60364926507856</v>
      </c>
      <c r="F113" s="26">
        <f>E113/A105</f>
        <v>1.001520527116067</v>
      </c>
      <c r="G113" s="35">
        <f t="shared" si="28"/>
        <v>2.5188916876574311E-3</v>
      </c>
      <c r="H113" s="145">
        <f>16800*0.4</f>
        <v>6720</v>
      </c>
      <c r="I113" s="83">
        <f t="shared" si="27"/>
        <v>16.926952141057939</v>
      </c>
    </row>
    <row r="114" spans="1:12" s="1" customFormat="1">
      <c r="A114" s="113"/>
      <c r="B114" s="48" t="s">
        <v>125</v>
      </c>
      <c r="C114" s="5" t="s">
        <v>17</v>
      </c>
      <c r="D114" s="5">
        <v>1</v>
      </c>
      <c r="E114" s="97">
        <f>247*8*(A105/1973)</f>
        <v>397.60364926507856</v>
      </c>
      <c r="F114" s="26">
        <f>E114/A105</f>
        <v>1.001520527116067</v>
      </c>
      <c r="G114" s="35">
        <f t="shared" si="28"/>
        <v>2.5188916876574311E-3</v>
      </c>
      <c r="H114" s="145">
        <f>11388*0.4</f>
        <v>4555.2</v>
      </c>
      <c r="I114" s="83">
        <f t="shared" si="27"/>
        <v>11.47405541561713</v>
      </c>
    </row>
    <row r="115" spans="1:12" s="1" customFormat="1">
      <c r="A115" s="113"/>
      <c r="B115" s="48" t="s">
        <v>112</v>
      </c>
      <c r="C115" s="5" t="s">
        <v>17</v>
      </c>
      <c r="D115" s="5">
        <v>1</v>
      </c>
      <c r="E115" s="97">
        <f>247*8*(A105/1973)</f>
        <v>397.60364926507856</v>
      </c>
      <c r="F115" s="26">
        <f>E115/A105</f>
        <v>1.001520527116067</v>
      </c>
      <c r="G115" s="35">
        <f t="shared" si="28"/>
        <v>2.5188916876574311E-3</v>
      </c>
      <c r="H115" s="145">
        <f>(167800+20000)*0.4</f>
        <v>75120</v>
      </c>
      <c r="I115" s="83">
        <f t="shared" si="27"/>
        <v>189.21914357682621</v>
      </c>
    </row>
    <row r="116" spans="1:12" s="1" customFormat="1">
      <c r="A116" s="107"/>
      <c r="B116" s="48" t="s">
        <v>39</v>
      </c>
      <c r="C116" s="5" t="s">
        <v>17</v>
      </c>
      <c r="D116" s="5">
        <v>1</v>
      </c>
      <c r="E116" s="97">
        <f>247*8*(A105/1973)</f>
        <v>397.60364926507856</v>
      </c>
      <c r="F116" s="26">
        <f>E116/A105</f>
        <v>1.001520527116067</v>
      </c>
      <c r="G116" s="35">
        <f t="shared" si="28"/>
        <v>2.5188916876574311E-3</v>
      </c>
      <c r="H116" s="145">
        <f>31113.6*0.4</f>
        <v>12445.44</v>
      </c>
      <c r="I116" s="83">
        <f t="shared" si="27"/>
        <v>31.3487153652393</v>
      </c>
    </row>
    <row r="117" spans="1:12" s="1" customFormat="1">
      <c r="A117" s="107"/>
      <c r="B117" s="48" t="s">
        <v>120</v>
      </c>
      <c r="C117" s="5" t="s">
        <v>17</v>
      </c>
      <c r="D117" s="5">
        <v>1</v>
      </c>
      <c r="E117" s="97">
        <f>247*8*(A105/1973)</f>
        <v>397.60364926507856</v>
      </c>
      <c r="F117" s="26">
        <f>E117/A105</f>
        <v>1.001520527116067</v>
      </c>
      <c r="G117" s="35">
        <f t="shared" si="28"/>
        <v>2.5188916876574311E-3</v>
      </c>
      <c r="H117" s="145">
        <f>(11466.4+24145.8)*0.4</f>
        <v>14244.88</v>
      </c>
      <c r="I117" s="83">
        <f t="shared" si="27"/>
        <v>35.881309823677583</v>
      </c>
    </row>
    <row r="118" spans="1:12" s="1" customFormat="1" ht="13.7" customHeight="1">
      <c r="A118" s="107"/>
      <c r="B118" s="48" t="s">
        <v>113</v>
      </c>
      <c r="C118" s="5" t="s">
        <v>17</v>
      </c>
      <c r="D118" s="5">
        <v>1</v>
      </c>
      <c r="E118" s="97">
        <f>247*8*(A105/1973)</f>
        <v>397.60364926507856</v>
      </c>
      <c r="F118" s="26">
        <f>E118/A105</f>
        <v>1.001520527116067</v>
      </c>
      <c r="G118" s="35">
        <f t="shared" si="28"/>
        <v>2.5188916876574311E-3</v>
      </c>
      <c r="H118" s="145">
        <f>3000*0.4</f>
        <v>1200</v>
      </c>
      <c r="I118" s="83">
        <f t="shared" si="27"/>
        <v>3.0226700251889174</v>
      </c>
    </row>
    <row r="119" spans="1:12" s="1" customFormat="1" ht="15.75" thickBot="1">
      <c r="A119" s="108"/>
      <c r="B119" s="18"/>
      <c r="C119" s="18"/>
      <c r="D119" s="18"/>
      <c r="E119" s="95"/>
      <c r="F119" s="18"/>
      <c r="G119" s="20"/>
      <c r="H119" s="37"/>
      <c r="I119" s="87">
        <f>SUM(I104:I118)</f>
        <v>708.05622166246872</v>
      </c>
      <c r="J119" s="126">
        <f>(148032+36000+60000+43200+31113.6+16800+14000+75000+11466.4+167800+60800+24145.8+11388+3000)*0.4</f>
        <v>281098.32</v>
      </c>
      <c r="K119" s="127">
        <f>I119*A105</f>
        <v>281098.32000000007</v>
      </c>
      <c r="L119" s="127">
        <f>J119-K119</f>
        <v>0</v>
      </c>
    </row>
    <row r="120" spans="1:12" ht="15.75" thickBot="1">
      <c r="E120" s="140"/>
      <c r="I120" s="90"/>
    </row>
    <row r="121" spans="1:12">
      <c r="A121" s="104" t="s">
        <v>73</v>
      </c>
      <c r="B121" s="13" t="s">
        <v>36</v>
      </c>
      <c r="C121" s="13" t="s">
        <v>17</v>
      </c>
      <c r="D121" s="13">
        <v>1</v>
      </c>
      <c r="E121" s="124">
        <f>247*8*(A122/1973)</f>
        <v>134.20375063355294</v>
      </c>
      <c r="F121" s="25">
        <f>E121/A122</f>
        <v>1.0015205271160668</v>
      </c>
      <c r="G121" s="36">
        <f>D121/E121*F121</f>
        <v>7.4626865671641798E-3</v>
      </c>
      <c r="H121" s="156">
        <f>22272*0.46</f>
        <v>10245.120000000001</v>
      </c>
      <c r="I121" s="82">
        <f>H121*G121</f>
        <v>76.456119402985081</v>
      </c>
    </row>
    <row r="122" spans="1:12" s="1" customFormat="1">
      <c r="A122" s="112">
        <f>ком.усл!A47</f>
        <v>134</v>
      </c>
      <c r="B122" s="5" t="s">
        <v>37</v>
      </c>
      <c r="C122" s="5" t="s">
        <v>17</v>
      </c>
      <c r="D122" s="5">
        <v>1</v>
      </c>
      <c r="E122" s="97">
        <f>247*8*(A122/1973)</f>
        <v>134.20375063355294</v>
      </c>
      <c r="F122" s="26">
        <f>E122/A122</f>
        <v>1.0015205271160668</v>
      </c>
      <c r="G122" s="35">
        <f>D122/E122*F122</f>
        <v>7.4626865671641798E-3</v>
      </c>
      <c r="H122" s="145">
        <f>18000*0.46</f>
        <v>8280</v>
      </c>
      <c r="I122" s="83">
        <f t="shared" ref="I122:I135" si="29">H122*G122</f>
        <v>61.791044776119406</v>
      </c>
    </row>
    <row r="123" spans="1:12" s="1" customFormat="1">
      <c r="A123" s="113"/>
      <c r="B123" s="5" t="s">
        <v>40</v>
      </c>
      <c r="C123" s="5" t="s">
        <v>17</v>
      </c>
      <c r="D123" s="5">
        <v>1</v>
      </c>
      <c r="E123" s="97">
        <f>247*8*(A122/1973)</f>
        <v>134.20375063355294</v>
      </c>
      <c r="F123" s="26">
        <f>E123/A122</f>
        <v>1.0015205271160668</v>
      </c>
      <c r="G123" s="35">
        <f>D123/E123*F123</f>
        <v>7.4626865671641798E-3</v>
      </c>
      <c r="H123" s="145">
        <f>12000*0.46</f>
        <v>5520</v>
      </c>
      <c r="I123" s="83">
        <f t="shared" si="29"/>
        <v>41.194029850746276</v>
      </c>
    </row>
    <row r="124" spans="1:12" s="1" customFormat="1">
      <c r="A124" s="113"/>
      <c r="B124" s="5" t="s">
        <v>38</v>
      </c>
      <c r="C124" s="5" t="s">
        <v>17</v>
      </c>
      <c r="D124" s="5">
        <v>1</v>
      </c>
      <c r="E124" s="97">
        <f>247*8*(A122/1973)</f>
        <v>134.20375063355294</v>
      </c>
      <c r="F124" s="26">
        <f>E124/A122</f>
        <v>1.0015205271160668</v>
      </c>
      <c r="G124" s="35">
        <f t="shared" ref="G124:G135" si="30">D124/E124*F124</f>
        <v>7.4626865671641798E-3</v>
      </c>
      <c r="H124" s="145">
        <f>20400*0.46</f>
        <v>9384</v>
      </c>
      <c r="I124" s="83">
        <f t="shared" si="29"/>
        <v>70.029850746268664</v>
      </c>
    </row>
    <row r="125" spans="1:12" s="1" customFormat="1">
      <c r="A125" s="113"/>
      <c r="B125" s="5" t="s">
        <v>96</v>
      </c>
      <c r="C125" s="5" t="s">
        <v>17</v>
      </c>
      <c r="D125" s="5">
        <v>1</v>
      </c>
      <c r="E125" s="97">
        <f>247*8*(A122/1973)</f>
        <v>134.20375063355294</v>
      </c>
      <c r="F125" s="26">
        <f>E125/A122</f>
        <v>1.0015205271160668</v>
      </c>
      <c r="G125" s="35">
        <f t="shared" si="30"/>
        <v>7.4626865671641798E-3</v>
      </c>
      <c r="H125" s="145">
        <f>30600*0.46</f>
        <v>14076</v>
      </c>
      <c r="I125" s="83">
        <f t="shared" si="29"/>
        <v>105.044776119403</v>
      </c>
    </row>
    <row r="126" spans="1:12" s="1" customFormat="1">
      <c r="A126" s="113"/>
      <c r="B126" s="5" t="s">
        <v>56</v>
      </c>
      <c r="C126" s="5" t="s">
        <v>17</v>
      </c>
      <c r="D126" s="5">
        <v>1</v>
      </c>
      <c r="E126" s="97">
        <f>247*8*(A122/1973)</f>
        <v>134.20375063355294</v>
      </c>
      <c r="F126" s="26">
        <f>E126/A122</f>
        <v>1.0015205271160668</v>
      </c>
      <c r="G126" s="35">
        <f t="shared" si="30"/>
        <v>7.4626865671641798E-3</v>
      </c>
      <c r="H126" s="145">
        <f>6000*0.46</f>
        <v>2760</v>
      </c>
      <c r="I126" s="83">
        <f t="shared" si="29"/>
        <v>20.597014925373138</v>
      </c>
    </row>
    <row r="127" spans="1:12" s="1" customFormat="1">
      <c r="A127" s="113"/>
      <c r="B127" s="5" t="s">
        <v>41</v>
      </c>
      <c r="C127" s="5" t="s">
        <v>17</v>
      </c>
      <c r="D127" s="5">
        <v>1</v>
      </c>
      <c r="E127" s="97">
        <f>247*8*(A122/1973)</f>
        <v>134.20375063355294</v>
      </c>
      <c r="F127" s="26">
        <f>E127/A122</f>
        <v>1.0015205271160668</v>
      </c>
      <c r="G127" s="35">
        <f t="shared" si="30"/>
        <v>7.4626865671641798E-3</v>
      </c>
      <c r="H127" s="145">
        <f>11040*0.46</f>
        <v>5078.4000000000005</v>
      </c>
      <c r="I127" s="83">
        <f t="shared" si="29"/>
        <v>37.898507462686574</v>
      </c>
    </row>
    <row r="128" spans="1:12" s="1" customFormat="1">
      <c r="A128" s="113"/>
      <c r="B128" s="5" t="s">
        <v>63</v>
      </c>
      <c r="C128" s="5" t="s">
        <v>17</v>
      </c>
      <c r="D128" s="5">
        <v>1</v>
      </c>
      <c r="E128" s="97">
        <f>247*8*(A122/1973)</f>
        <v>134.20375063355294</v>
      </c>
      <c r="F128" s="26">
        <f>E128/A122</f>
        <v>1.0015205271160668</v>
      </c>
      <c r="G128" s="35">
        <f t="shared" si="30"/>
        <v>7.4626865671641798E-3</v>
      </c>
      <c r="H128" s="145">
        <f>30000*0.46</f>
        <v>13800</v>
      </c>
      <c r="I128" s="83">
        <f t="shared" si="29"/>
        <v>102.98507462686568</v>
      </c>
    </row>
    <row r="129" spans="1:12" s="1" customFormat="1">
      <c r="A129" s="113"/>
      <c r="B129" s="31" t="s">
        <v>55</v>
      </c>
      <c r="C129" s="5" t="s">
        <v>17</v>
      </c>
      <c r="D129" s="5">
        <v>1</v>
      </c>
      <c r="E129" s="97">
        <f>247*8*(A122/1973)</f>
        <v>134.20375063355294</v>
      </c>
      <c r="F129" s="26">
        <f>E129/A122</f>
        <v>1.0015205271160668</v>
      </c>
      <c r="G129" s="35">
        <f t="shared" si="30"/>
        <v>7.4626865671641798E-3</v>
      </c>
      <c r="H129" s="145">
        <f>19200*0.46</f>
        <v>8832</v>
      </c>
      <c r="I129" s="83">
        <f t="shared" si="29"/>
        <v>65.910447761194035</v>
      </c>
    </row>
    <row r="130" spans="1:12" s="1" customFormat="1">
      <c r="A130" s="113"/>
      <c r="B130" s="48" t="s">
        <v>82</v>
      </c>
      <c r="C130" s="5" t="s">
        <v>17</v>
      </c>
      <c r="D130" s="5">
        <v>1</v>
      </c>
      <c r="E130" s="97">
        <f>247*8*(A122/1973)</f>
        <v>134.20375063355294</v>
      </c>
      <c r="F130" s="26">
        <f>E130/A122</f>
        <v>1.0015205271160668</v>
      </c>
      <c r="G130" s="35">
        <f t="shared" si="30"/>
        <v>7.4626865671641798E-3</v>
      </c>
      <c r="H130" s="145">
        <f>14400*0.46</f>
        <v>6624</v>
      </c>
      <c r="I130" s="83">
        <f t="shared" si="29"/>
        <v>49.432835820895527</v>
      </c>
    </row>
    <row r="131" spans="1:12" s="1" customFormat="1">
      <c r="A131" s="113"/>
      <c r="B131" s="48" t="s">
        <v>128</v>
      </c>
      <c r="C131" s="5" t="s">
        <v>17</v>
      </c>
      <c r="D131" s="5">
        <v>1</v>
      </c>
      <c r="E131" s="97">
        <f>247*8*(A122/1973)</f>
        <v>134.20375063355294</v>
      </c>
      <c r="F131" s="26">
        <f>E131/A122</f>
        <v>1.0015205271160668</v>
      </c>
      <c r="G131" s="35">
        <f t="shared" si="30"/>
        <v>7.4626865671641798E-3</v>
      </c>
      <c r="H131" s="145">
        <f>125461*0.46</f>
        <v>57712.060000000005</v>
      </c>
      <c r="I131" s="83">
        <f t="shared" si="29"/>
        <v>430.68701492537321</v>
      </c>
    </row>
    <row r="132" spans="1:12" s="1" customFormat="1">
      <c r="A132" s="113"/>
      <c r="B132" s="48" t="s">
        <v>112</v>
      </c>
      <c r="C132" s="5" t="s">
        <v>17</v>
      </c>
      <c r="D132" s="5">
        <v>1</v>
      </c>
      <c r="E132" s="97">
        <f>247*8*(A122/1973)</f>
        <v>134.20375063355294</v>
      </c>
      <c r="F132" s="26">
        <f>E132/A122</f>
        <v>1.0015205271160668</v>
      </c>
      <c r="G132" s="35">
        <f t="shared" si="30"/>
        <v>7.4626865671641798E-3</v>
      </c>
      <c r="H132" s="145">
        <f>14600*0.46</f>
        <v>6716</v>
      </c>
      <c r="I132" s="83">
        <f t="shared" si="29"/>
        <v>50.119402985074629</v>
      </c>
    </row>
    <row r="133" spans="1:12" s="1" customFormat="1">
      <c r="A133" s="107"/>
      <c r="B133" s="48" t="s">
        <v>39</v>
      </c>
      <c r="C133" s="5" t="s">
        <v>17</v>
      </c>
      <c r="D133" s="5">
        <v>1</v>
      </c>
      <c r="E133" s="97">
        <f>247*8*(A122/1973)</f>
        <v>134.20375063355294</v>
      </c>
      <c r="F133" s="26">
        <f>E133/A122</f>
        <v>1.0015205271160668</v>
      </c>
      <c r="G133" s="35">
        <f t="shared" si="30"/>
        <v>7.4626865671641798E-3</v>
      </c>
      <c r="H133" s="145">
        <f>13764*0.46</f>
        <v>6331.4400000000005</v>
      </c>
      <c r="I133" s="83">
        <f t="shared" si="29"/>
        <v>47.249552238805975</v>
      </c>
    </row>
    <row r="134" spans="1:12" s="1" customFormat="1">
      <c r="A134" s="107"/>
      <c r="B134" s="48" t="s">
        <v>120</v>
      </c>
      <c r="C134" s="5" t="s">
        <v>17</v>
      </c>
      <c r="D134" s="5">
        <v>1</v>
      </c>
      <c r="E134" s="97">
        <f>247*8*(A122/1973)</f>
        <v>134.20375063355294</v>
      </c>
      <c r="F134" s="26">
        <f>E134/A122</f>
        <v>1.0015205271160668</v>
      </c>
      <c r="G134" s="35">
        <f t="shared" si="30"/>
        <v>7.4626865671641798E-3</v>
      </c>
      <c r="H134" s="145">
        <f>(2297+2688+13080)*0.46</f>
        <v>8309.9</v>
      </c>
      <c r="I134" s="83">
        <f t="shared" si="29"/>
        <v>62.014179104477613</v>
      </c>
    </row>
    <row r="135" spans="1:12" s="1" customFormat="1" ht="13.7" customHeight="1">
      <c r="A135" s="107"/>
      <c r="B135" s="48" t="s">
        <v>113</v>
      </c>
      <c r="C135" s="5" t="s">
        <v>17</v>
      </c>
      <c r="D135" s="5">
        <v>1</v>
      </c>
      <c r="E135" s="97">
        <f>247*8*(A122/1973)</f>
        <v>134.20375063355294</v>
      </c>
      <c r="F135" s="26">
        <f>E135/A122</f>
        <v>1.0015205271160668</v>
      </c>
      <c r="G135" s="35">
        <f t="shared" si="30"/>
        <v>7.4626865671641798E-3</v>
      </c>
      <c r="H135" s="145">
        <f>4600*0.46</f>
        <v>2116</v>
      </c>
      <c r="I135" s="83">
        <f t="shared" si="29"/>
        <v>15.791044776119405</v>
      </c>
    </row>
    <row r="136" spans="1:12" s="1" customFormat="1" ht="15.75" thickBot="1">
      <c r="A136" s="108"/>
      <c r="B136" s="18"/>
      <c r="C136" s="18"/>
      <c r="D136" s="18"/>
      <c r="E136" s="95"/>
      <c r="F136" s="18"/>
      <c r="G136" s="20"/>
      <c r="H136" s="37"/>
      <c r="I136" s="87">
        <f>SUM(I121:I135)</f>
        <v>1237.2008955223882</v>
      </c>
      <c r="J136" s="126">
        <f>(22272+18000+12000+30000+19200+13764+14400+8600+6000+30600+11040+2297+2688+6000+20400+125461+13080+4600)*0.46</f>
        <v>165784.92000000001</v>
      </c>
      <c r="K136" s="127">
        <f>I136*A122</f>
        <v>165784.92000000001</v>
      </c>
      <c r="L136" s="127">
        <f>J136-K136</f>
        <v>0</v>
      </c>
    </row>
    <row r="137" spans="1:12">
      <c r="A137" s="104" t="s">
        <v>74</v>
      </c>
      <c r="B137" s="13" t="s">
        <v>36</v>
      </c>
      <c r="C137" s="13" t="s">
        <v>17</v>
      </c>
      <c r="D137" s="13">
        <v>1</v>
      </c>
      <c r="E137" s="124">
        <f>247*8*(A138/1973)</f>
        <v>125.19006588950838</v>
      </c>
      <c r="F137" s="25">
        <f>E137/A138</f>
        <v>1.001520527116067</v>
      </c>
      <c r="G137" s="36">
        <f>D137/E137*F137</f>
        <v>7.9999999999999984E-3</v>
      </c>
      <c r="H137" s="156">
        <f>22272*0.49</f>
        <v>10913.28</v>
      </c>
      <c r="I137" s="82">
        <f>H137*G137</f>
        <v>87.306239999999988</v>
      </c>
    </row>
    <row r="138" spans="1:12" s="1" customFormat="1">
      <c r="A138" s="112">
        <f>ком.усл!A52</f>
        <v>125</v>
      </c>
      <c r="B138" s="5" t="s">
        <v>37</v>
      </c>
      <c r="C138" s="5" t="s">
        <v>17</v>
      </c>
      <c r="D138" s="5">
        <v>1</v>
      </c>
      <c r="E138" s="97">
        <f>247*8*(A138/1973)</f>
        <v>125.19006588950838</v>
      </c>
      <c r="F138" s="26">
        <f>E138/A138</f>
        <v>1.001520527116067</v>
      </c>
      <c r="G138" s="35">
        <f>D138/E138*F138</f>
        <v>7.9999999999999984E-3</v>
      </c>
      <c r="H138" s="145">
        <f>19200*0.49</f>
        <v>9408</v>
      </c>
      <c r="I138" s="83">
        <f t="shared" ref="I138:I151" si="31">H138*G138</f>
        <v>75.263999999999982</v>
      </c>
    </row>
    <row r="139" spans="1:12" s="1" customFormat="1">
      <c r="A139" s="113"/>
      <c r="B139" s="5" t="s">
        <v>40</v>
      </c>
      <c r="C139" s="5" t="s">
        <v>17</v>
      </c>
      <c r="D139" s="5">
        <v>1</v>
      </c>
      <c r="E139" s="97">
        <f>247*8*(A138/1973)</f>
        <v>125.19006588950838</v>
      </c>
      <c r="F139" s="26">
        <f>E139/A138</f>
        <v>1.001520527116067</v>
      </c>
      <c r="G139" s="35">
        <f>D139/E139*F139</f>
        <v>7.9999999999999984E-3</v>
      </c>
      <c r="H139" s="145">
        <f>6000*0.49</f>
        <v>2940</v>
      </c>
      <c r="I139" s="83">
        <f t="shared" si="31"/>
        <v>23.519999999999996</v>
      </c>
    </row>
    <row r="140" spans="1:12" s="1" customFormat="1">
      <c r="A140" s="113"/>
      <c r="B140" s="5" t="s">
        <v>38</v>
      </c>
      <c r="C140" s="5" t="s">
        <v>17</v>
      </c>
      <c r="D140" s="5">
        <v>1</v>
      </c>
      <c r="E140" s="97">
        <f>247*8*(A138/1973)</f>
        <v>125.19006588950838</v>
      </c>
      <c r="F140" s="26">
        <f>E140/A138</f>
        <v>1.001520527116067</v>
      </c>
      <c r="G140" s="35">
        <f t="shared" ref="G140:G151" si="32">D140/E140*F140</f>
        <v>7.9999999999999984E-3</v>
      </c>
      <c r="H140" s="145">
        <f>(6000+20400)*0.49</f>
        <v>12936</v>
      </c>
      <c r="I140" s="83">
        <f t="shared" si="31"/>
        <v>103.48799999999999</v>
      </c>
    </row>
    <row r="141" spans="1:12" s="1" customFormat="1">
      <c r="A141" s="113"/>
      <c r="B141" s="5" t="s">
        <v>96</v>
      </c>
      <c r="C141" s="5" t="s">
        <v>17</v>
      </c>
      <c r="D141" s="5">
        <v>1</v>
      </c>
      <c r="E141" s="97">
        <f>247*8*(A138/1973)</f>
        <v>125.19006588950838</v>
      </c>
      <c r="F141" s="26">
        <f>E141/A138</f>
        <v>1.001520527116067</v>
      </c>
      <c r="G141" s="35">
        <f t="shared" si="32"/>
        <v>7.9999999999999984E-3</v>
      </c>
      <c r="H141" s="145"/>
      <c r="I141" s="83">
        <f t="shared" si="31"/>
        <v>0</v>
      </c>
    </row>
    <row r="142" spans="1:12" s="1" customFormat="1">
      <c r="A142" s="113"/>
      <c r="B142" s="5" t="s">
        <v>56</v>
      </c>
      <c r="C142" s="5" t="s">
        <v>17</v>
      </c>
      <c r="D142" s="5">
        <v>1</v>
      </c>
      <c r="E142" s="97">
        <f>247*8*(A138/1973)</f>
        <v>125.19006588950838</v>
      </c>
      <c r="F142" s="26">
        <f>E142/A138</f>
        <v>1.001520527116067</v>
      </c>
      <c r="G142" s="35">
        <f t="shared" si="32"/>
        <v>7.9999999999999984E-3</v>
      </c>
      <c r="H142" s="145">
        <f>16000*0.49</f>
        <v>7840</v>
      </c>
      <c r="I142" s="83">
        <f t="shared" si="31"/>
        <v>62.719999999999985</v>
      </c>
    </row>
    <row r="143" spans="1:12" s="1" customFormat="1">
      <c r="A143" s="113"/>
      <c r="B143" s="5" t="s">
        <v>41</v>
      </c>
      <c r="C143" s="5" t="s">
        <v>17</v>
      </c>
      <c r="D143" s="5">
        <v>1</v>
      </c>
      <c r="E143" s="97">
        <f>247*8*(A138/1973)</f>
        <v>125.19006588950838</v>
      </c>
      <c r="F143" s="26">
        <f>E143/A138</f>
        <v>1.001520527116067</v>
      </c>
      <c r="G143" s="35">
        <f t="shared" si="32"/>
        <v>7.9999999999999984E-3</v>
      </c>
      <c r="H143" s="145">
        <f>19590*0.49</f>
        <v>9599.1</v>
      </c>
      <c r="I143" s="83">
        <f t="shared" si="31"/>
        <v>76.792799999999986</v>
      </c>
    </row>
    <row r="144" spans="1:12" s="1" customFormat="1">
      <c r="A144" s="113"/>
      <c r="B144" s="5" t="s">
        <v>63</v>
      </c>
      <c r="C144" s="5" t="s">
        <v>17</v>
      </c>
      <c r="D144" s="5">
        <v>1</v>
      </c>
      <c r="E144" s="97">
        <f>247*8*(A138/1973)</f>
        <v>125.19006588950838</v>
      </c>
      <c r="F144" s="26">
        <f>E144/A138</f>
        <v>1.001520527116067</v>
      </c>
      <c r="G144" s="35">
        <f t="shared" si="32"/>
        <v>7.9999999999999984E-3</v>
      </c>
      <c r="H144" s="145">
        <f>30000*0.49</f>
        <v>14700</v>
      </c>
      <c r="I144" s="83">
        <f t="shared" si="31"/>
        <v>117.59999999999998</v>
      </c>
    </row>
    <row r="145" spans="1:20" s="1" customFormat="1">
      <c r="A145" s="113"/>
      <c r="B145" s="31" t="s">
        <v>55</v>
      </c>
      <c r="C145" s="5" t="s">
        <v>17</v>
      </c>
      <c r="D145" s="5">
        <v>1</v>
      </c>
      <c r="E145" s="97">
        <f>247*8*(A138/1973)</f>
        <v>125.19006588950838</v>
      </c>
      <c r="F145" s="26">
        <f>E145/A138</f>
        <v>1.001520527116067</v>
      </c>
      <c r="G145" s="35">
        <f t="shared" si="32"/>
        <v>7.9999999999999984E-3</v>
      </c>
      <c r="H145" s="145">
        <f>26400*0.49</f>
        <v>12936</v>
      </c>
      <c r="I145" s="83">
        <f t="shared" si="31"/>
        <v>103.48799999999999</v>
      </c>
    </row>
    <row r="146" spans="1:20" s="1" customFormat="1">
      <c r="A146" s="113"/>
      <c r="B146" s="48" t="s">
        <v>82</v>
      </c>
      <c r="C146" s="5" t="s">
        <v>17</v>
      </c>
      <c r="D146" s="5">
        <v>1</v>
      </c>
      <c r="E146" s="97">
        <f>247*8*(A138/1973)</f>
        <v>125.19006588950838</v>
      </c>
      <c r="F146" s="26">
        <f>E146/A138</f>
        <v>1.001520527116067</v>
      </c>
      <c r="G146" s="35">
        <f>D146/E146*F146</f>
        <v>7.9999999999999984E-3</v>
      </c>
      <c r="H146" s="145">
        <f>18000*0.49</f>
        <v>8820</v>
      </c>
      <c r="I146" s="83">
        <f t="shared" si="31"/>
        <v>70.559999999999988</v>
      </c>
    </row>
    <row r="147" spans="1:20" s="1" customFormat="1">
      <c r="A147" s="113"/>
      <c r="B147" s="48" t="s">
        <v>129</v>
      </c>
      <c r="C147" s="5" t="s">
        <v>17</v>
      </c>
      <c r="D147" s="5">
        <v>1</v>
      </c>
      <c r="E147" s="97">
        <f>247*8*(A138/1973)</f>
        <v>125.19006588950838</v>
      </c>
      <c r="F147" s="26">
        <f>E147/A138</f>
        <v>1.001520527116067</v>
      </c>
      <c r="G147" s="35">
        <f t="shared" si="32"/>
        <v>7.9999999999999984E-3</v>
      </c>
      <c r="H147" s="145">
        <f>150000*0.49</f>
        <v>73500</v>
      </c>
      <c r="I147" s="83">
        <f t="shared" si="31"/>
        <v>587.99999999999989</v>
      </c>
    </row>
    <row r="148" spans="1:20" s="1" customFormat="1">
      <c r="A148" s="107"/>
      <c r="B148" s="48" t="s">
        <v>112</v>
      </c>
      <c r="C148" s="5" t="s">
        <v>17</v>
      </c>
      <c r="D148" s="5">
        <v>1</v>
      </c>
      <c r="E148" s="97">
        <f>247*8*(A138/1973)</f>
        <v>125.19006588950838</v>
      </c>
      <c r="F148" s="26">
        <f>E148/A138</f>
        <v>1.001520527116067</v>
      </c>
      <c r="G148" s="35">
        <f t="shared" si="32"/>
        <v>7.9999999999999984E-3</v>
      </c>
      <c r="H148" s="145"/>
      <c r="I148" s="83">
        <f t="shared" si="31"/>
        <v>0</v>
      </c>
    </row>
    <row r="149" spans="1:20" s="1" customFormat="1">
      <c r="A149" s="107"/>
      <c r="B149" s="48" t="s">
        <v>39</v>
      </c>
      <c r="C149" s="5" t="s">
        <v>17</v>
      </c>
      <c r="D149" s="5">
        <v>1</v>
      </c>
      <c r="E149" s="97">
        <f>247*8*(A138/1973)</f>
        <v>125.19006588950838</v>
      </c>
      <c r="F149" s="26">
        <f>E149/A138</f>
        <v>1.001520527116067</v>
      </c>
      <c r="G149" s="35">
        <f t="shared" si="32"/>
        <v>7.9999999999999984E-3</v>
      </c>
      <c r="H149" s="145">
        <f>18780*0.49</f>
        <v>9202.2000000000007</v>
      </c>
      <c r="I149" s="83">
        <f t="shared" si="31"/>
        <v>73.617599999999996</v>
      </c>
    </row>
    <row r="150" spans="1:20" s="1" customFormat="1">
      <c r="A150" s="107"/>
      <c r="B150" s="48" t="s">
        <v>120</v>
      </c>
      <c r="C150" s="5" t="s">
        <v>17</v>
      </c>
      <c r="D150" s="5">
        <v>1</v>
      </c>
      <c r="E150" s="97">
        <f>247*8*(A138/1973)</f>
        <v>125.19006588950838</v>
      </c>
      <c r="F150" s="26">
        <f>E150/A138</f>
        <v>1.001520527116067</v>
      </c>
      <c r="G150" s="35">
        <f t="shared" si="32"/>
        <v>7.9999999999999984E-3</v>
      </c>
      <c r="H150" s="145">
        <f>(2300+13084+2990)*0.49</f>
        <v>9003.26</v>
      </c>
      <c r="I150" s="83">
        <f t="shared" si="31"/>
        <v>72.026079999999993</v>
      </c>
    </row>
    <row r="151" spans="1:20" s="1" customFormat="1" ht="13.7" customHeight="1">
      <c r="A151" s="107"/>
      <c r="B151" s="48" t="s">
        <v>113</v>
      </c>
      <c r="C151" s="5" t="s">
        <v>17</v>
      </c>
      <c r="D151" s="5">
        <v>1</v>
      </c>
      <c r="E151" s="97">
        <f>247*8*(A138/1973)</f>
        <v>125.19006588950838</v>
      </c>
      <c r="F151" s="26">
        <f>E151/A138</f>
        <v>1.001520527116067</v>
      </c>
      <c r="G151" s="35">
        <f t="shared" si="32"/>
        <v>7.9999999999999984E-3</v>
      </c>
      <c r="H151" s="145">
        <f>5000*0.49</f>
        <v>2450</v>
      </c>
      <c r="I151" s="83">
        <f t="shared" si="31"/>
        <v>19.599999999999998</v>
      </c>
    </row>
    <row r="152" spans="1:20" s="1" customFormat="1" ht="15.75" thickBot="1">
      <c r="A152" s="108"/>
      <c r="B152" s="18"/>
      <c r="C152" s="18"/>
      <c r="D152" s="18"/>
      <c r="E152" s="95"/>
      <c r="F152" s="18"/>
      <c r="G152" s="20"/>
      <c r="H152" s="37"/>
      <c r="I152" s="87">
        <f>SUM(I137:I151)</f>
        <v>1473.9827199999997</v>
      </c>
      <c r="J152" s="126">
        <f>(22272+19200+12000+56400+18780+18000+16000+19590+2300+2990+20400+13084+150000+5000)*0.49</f>
        <v>184247.84</v>
      </c>
      <c r="K152" s="127">
        <f>I152*A138</f>
        <v>184247.83999999997</v>
      </c>
      <c r="L152" s="127">
        <f>J152-K152</f>
        <v>0</v>
      </c>
    </row>
    <row r="153" spans="1:20">
      <c r="I153" s="72"/>
    </row>
    <row r="154" spans="1:20" ht="19.5" thickBot="1">
      <c r="A154" s="100" t="s">
        <v>76</v>
      </c>
      <c r="H154"/>
      <c r="I154" s="72"/>
      <c r="S154" s="1"/>
      <c r="T154" s="1"/>
    </row>
    <row r="155" spans="1:20" ht="105">
      <c r="A155" s="102" t="s">
        <v>2</v>
      </c>
      <c r="B155" s="21" t="s">
        <v>15</v>
      </c>
      <c r="C155" s="21" t="s">
        <v>14</v>
      </c>
      <c r="D155" s="21" t="s">
        <v>16</v>
      </c>
      <c r="E155" s="133" t="s">
        <v>27</v>
      </c>
      <c r="F155" s="21" t="s">
        <v>54</v>
      </c>
      <c r="G155" s="21" t="s">
        <v>29</v>
      </c>
      <c r="H155" s="21" t="s">
        <v>30</v>
      </c>
      <c r="I155" s="79" t="s">
        <v>11</v>
      </c>
      <c r="J155" s="2" t="s">
        <v>34</v>
      </c>
      <c r="K155" s="2" t="s">
        <v>33</v>
      </c>
    </row>
    <row r="156" spans="1:20" ht="15.75" thickBot="1">
      <c r="A156" s="111">
        <v>1</v>
      </c>
      <c r="B156" s="10">
        <v>2</v>
      </c>
      <c r="C156" s="10">
        <v>3</v>
      </c>
      <c r="D156" s="10">
        <v>4</v>
      </c>
      <c r="E156" s="118">
        <v>5</v>
      </c>
      <c r="F156" s="10">
        <v>6</v>
      </c>
      <c r="G156" s="10" t="s">
        <v>31</v>
      </c>
      <c r="H156" s="9">
        <v>8</v>
      </c>
      <c r="I156" s="80" t="s">
        <v>32</v>
      </c>
    </row>
    <row r="157" spans="1:20">
      <c r="A157" s="104" t="s">
        <v>64</v>
      </c>
      <c r="B157" s="13" t="s">
        <v>36</v>
      </c>
      <c r="C157" s="13" t="s">
        <v>17</v>
      </c>
      <c r="D157" s="13">
        <v>1</v>
      </c>
      <c r="E157" s="124">
        <f>247*8*(A158/1973)</f>
        <v>224.34059807399899</v>
      </c>
      <c r="F157" s="25">
        <f>E157/A158</f>
        <v>1.001520527116067</v>
      </c>
      <c r="G157" s="36">
        <f>D157/E157*F157</f>
        <v>4.464285714285714E-3</v>
      </c>
      <c r="H157" s="156">
        <f>59400*0.5</f>
        <v>29700</v>
      </c>
      <c r="I157" s="82">
        <f>H157*G157</f>
        <v>132.58928571428569</v>
      </c>
    </row>
    <row r="158" spans="1:20" s="1" customFormat="1">
      <c r="A158" s="112">
        <f>ком.усл!A62</f>
        <v>224</v>
      </c>
      <c r="B158" s="5" t="s">
        <v>37</v>
      </c>
      <c r="C158" s="5" t="s">
        <v>17</v>
      </c>
      <c r="D158" s="5">
        <v>1</v>
      </c>
      <c r="E158" s="97">
        <f>247*8*(A158/1973)</f>
        <v>224.34059807399899</v>
      </c>
      <c r="F158" s="26">
        <f>E158/A158</f>
        <v>1.001520527116067</v>
      </c>
      <c r="G158" s="35">
        <f>D158/E158*F158</f>
        <v>4.464285714285714E-3</v>
      </c>
      <c r="H158" s="145">
        <f>19200*0.5</f>
        <v>9600</v>
      </c>
      <c r="I158" s="83">
        <f t="shared" ref="I158:I171" si="33">H158*G158</f>
        <v>42.857142857142854</v>
      </c>
    </row>
    <row r="159" spans="1:20" s="1" customFormat="1">
      <c r="A159" s="113"/>
      <c r="B159" s="5" t="s">
        <v>40</v>
      </c>
      <c r="C159" s="5" t="s">
        <v>17</v>
      </c>
      <c r="D159" s="5">
        <v>1</v>
      </c>
      <c r="E159" s="97">
        <f>247*8*(A158/1973)</f>
        <v>224.34059807399899</v>
      </c>
      <c r="F159" s="26">
        <f>E159/A158</f>
        <v>1.001520527116067</v>
      </c>
      <c r="G159" s="35">
        <f>D159/E159*F159</f>
        <v>4.464285714285714E-3</v>
      </c>
      <c r="H159" s="145">
        <f>12000*0.5</f>
        <v>6000</v>
      </c>
      <c r="I159" s="83">
        <f t="shared" si="33"/>
        <v>26.785714285714285</v>
      </c>
    </row>
    <row r="160" spans="1:20" s="1" customFormat="1">
      <c r="A160" s="113"/>
      <c r="B160" s="5" t="s">
        <v>38</v>
      </c>
      <c r="C160" s="5" t="s">
        <v>17</v>
      </c>
      <c r="D160" s="5">
        <v>1</v>
      </c>
      <c r="E160" s="97">
        <f>247*8*(A158/1973)</f>
        <v>224.34059807399899</v>
      </c>
      <c r="F160" s="26">
        <f>E160/A158</f>
        <v>1.001520527116067</v>
      </c>
      <c r="G160" s="35">
        <f t="shared" ref="G160:G171" si="34">D160/E160*F160</f>
        <v>4.464285714285714E-3</v>
      </c>
      <c r="H160" s="145">
        <f>(6240+24000)*0.5</f>
        <v>15120</v>
      </c>
      <c r="I160" s="83">
        <f t="shared" si="33"/>
        <v>67.5</v>
      </c>
    </row>
    <row r="161" spans="1:12" s="1" customFormat="1">
      <c r="A161" s="113"/>
      <c r="B161" s="5" t="s">
        <v>96</v>
      </c>
      <c r="C161" s="5" t="s">
        <v>17</v>
      </c>
      <c r="D161" s="5">
        <v>1</v>
      </c>
      <c r="E161" s="97">
        <f>247*8*(A158/1973)</f>
        <v>224.34059807399899</v>
      </c>
      <c r="F161" s="26">
        <f>E161/A158</f>
        <v>1.001520527116067</v>
      </c>
      <c r="G161" s="35">
        <f t="shared" si="34"/>
        <v>4.464285714285714E-3</v>
      </c>
      <c r="H161" s="145">
        <f>29000*0.5</f>
        <v>14500</v>
      </c>
      <c r="I161" s="83">
        <f t="shared" si="33"/>
        <v>64.732142857142847</v>
      </c>
    </row>
    <row r="162" spans="1:12" s="1" customFormat="1">
      <c r="A162" s="113"/>
      <c r="B162" s="5" t="s">
        <v>56</v>
      </c>
      <c r="C162" s="5" t="s">
        <v>17</v>
      </c>
      <c r="D162" s="5">
        <v>1</v>
      </c>
      <c r="E162" s="97">
        <f>247*8*(A158/1973)</f>
        <v>224.34059807399899</v>
      </c>
      <c r="F162" s="26">
        <f>E162/A158</f>
        <v>1.001520527116067</v>
      </c>
      <c r="G162" s="35">
        <f t="shared" si="34"/>
        <v>4.464285714285714E-3</v>
      </c>
      <c r="H162" s="145">
        <f>15000*0.5</f>
        <v>7500</v>
      </c>
      <c r="I162" s="83">
        <f t="shared" si="33"/>
        <v>33.482142857142854</v>
      </c>
    </row>
    <row r="163" spans="1:12" s="1" customFormat="1">
      <c r="A163" s="113"/>
      <c r="B163" s="5" t="s">
        <v>41</v>
      </c>
      <c r="C163" s="5" t="s">
        <v>17</v>
      </c>
      <c r="D163" s="5">
        <v>1</v>
      </c>
      <c r="E163" s="97">
        <f>247*8*(A158/1973)</f>
        <v>224.34059807399899</v>
      </c>
      <c r="F163" s="26">
        <f>E163/A158</f>
        <v>1.001520527116067</v>
      </c>
      <c r="G163" s="35">
        <f t="shared" si="34"/>
        <v>4.464285714285714E-3</v>
      </c>
      <c r="H163" s="145">
        <f>27870*0.5</f>
        <v>13935</v>
      </c>
      <c r="I163" s="83">
        <f t="shared" si="33"/>
        <v>62.209821428571423</v>
      </c>
    </row>
    <row r="164" spans="1:12" s="1" customFormat="1">
      <c r="A164" s="113"/>
      <c r="B164" s="5" t="s">
        <v>63</v>
      </c>
      <c r="C164" s="5" t="s">
        <v>17</v>
      </c>
      <c r="D164" s="5">
        <v>1</v>
      </c>
      <c r="E164" s="97">
        <f>247*8*(A158/1973)</f>
        <v>224.34059807399899</v>
      </c>
      <c r="F164" s="26">
        <f>E164/A158</f>
        <v>1.001520527116067</v>
      </c>
      <c r="G164" s="35">
        <f t="shared" si="34"/>
        <v>4.464285714285714E-3</v>
      </c>
      <c r="H164" s="145">
        <f>30000*0.5</f>
        <v>15000</v>
      </c>
      <c r="I164" s="83">
        <f t="shared" si="33"/>
        <v>66.964285714285708</v>
      </c>
    </row>
    <row r="165" spans="1:12" s="1" customFormat="1">
      <c r="A165" s="113"/>
      <c r="B165" s="31" t="s">
        <v>55</v>
      </c>
      <c r="C165" s="5" t="s">
        <v>17</v>
      </c>
      <c r="D165" s="5">
        <v>1</v>
      </c>
      <c r="E165" s="97">
        <f>247*8*(A158/1973)</f>
        <v>224.34059807399899</v>
      </c>
      <c r="F165" s="26">
        <f>E165/A158</f>
        <v>1.001520527116067</v>
      </c>
      <c r="G165" s="35">
        <f t="shared" si="34"/>
        <v>4.464285714285714E-3</v>
      </c>
      <c r="H165" s="145">
        <f>30000*0.5</f>
        <v>15000</v>
      </c>
      <c r="I165" s="83">
        <f t="shared" si="33"/>
        <v>66.964285714285708</v>
      </c>
    </row>
    <row r="166" spans="1:12" s="1" customFormat="1">
      <c r="A166" s="107"/>
      <c r="B166" s="48" t="s">
        <v>82</v>
      </c>
      <c r="C166" s="5" t="s">
        <v>17</v>
      </c>
      <c r="D166" s="5">
        <v>1</v>
      </c>
      <c r="E166" s="97">
        <f>247*8*(A158/1973)</f>
        <v>224.34059807399899</v>
      </c>
      <c r="F166" s="26">
        <f>E166/A158</f>
        <v>1.001520527116067</v>
      </c>
      <c r="G166" s="35">
        <f t="shared" si="34"/>
        <v>4.464285714285714E-3</v>
      </c>
      <c r="H166" s="145">
        <f>6000*0.5</f>
        <v>3000</v>
      </c>
      <c r="I166" s="83">
        <f t="shared" si="33"/>
        <v>13.392857142857142</v>
      </c>
    </row>
    <row r="167" spans="1:12" s="1" customFormat="1" ht="30">
      <c r="A167" s="107"/>
      <c r="B167" s="48" t="s">
        <v>111</v>
      </c>
      <c r="C167" s="5" t="s">
        <v>17</v>
      </c>
      <c r="D167" s="5">
        <v>1</v>
      </c>
      <c r="E167" s="97">
        <f>247*8*(A158/1973)</f>
        <v>224.34059807399899</v>
      </c>
      <c r="F167" s="26">
        <f>E167/A158</f>
        <v>1.001520527116067</v>
      </c>
      <c r="G167" s="35">
        <f t="shared" si="34"/>
        <v>4.464285714285714E-3</v>
      </c>
      <c r="H167" s="145">
        <f>(108530+52870)*0.5</f>
        <v>80700</v>
      </c>
      <c r="I167" s="83">
        <f t="shared" si="33"/>
        <v>360.26785714285711</v>
      </c>
    </row>
    <row r="168" spans="1:12" s="1" customFormat="1">
      <c r="A168" s="107"/>
      <c r="B168" s="48" t="s">
        <v>112</v>
      </c>
      <c r="C168" s="5" t="s">
        <v>17</v>
      </c>
      <c r="D168" s="5">
        <v>1</v>
      </c>
      <c r="E168" s="97">
        <f>247*8*(A158/1973)</f>
        <v>224.34059807399899</v>
      </c>
      <c r="F168" s="26">
        <f>E168/A158</f>
        <v>1.001520527116067</v>
      </c>
      <c r="G168" s="35">
        <f t="shared" si="34"/>
        <v>4.464285714285714E-3</v>
      </c>
      <c r="H168" s="145">
        <f>(9000+7000)*0.5</f>
        <v>8000</v>
      </c>
      <c r="I168" s="83">
        <f t="shared" si="33"/>
        <v>35.714285714285715</v>
      </c>
    </row>
    <row r="169" spans="1:12" s="1" customFormat="1">
      <c r="A169" s="107"/>
      <c r="B169" s="48" t="s">
        <v>39</v>
      </c>
      <c r="C169" s="5" t="s">
        <v>17</v>
      </c>
      <c r="D169" s="5">
        <v>1</v>
      </c>
      <c r="E169" s="97">
        <f>247*8*(A158/1973)</f>
        <v>224.34059807399899</v>
      </c>
      <c r="F169" s="26">
        <f>E169/A158</f>
        <v>1.001520527116067</v>
      </c>
      <c r="G169" s="35">
        <f t="shared" si="34"/>
        <v>4.464285714285714E-3</v>
      </c>
      <c r="H169" s="145">
        <f>12191.41*0.5</f>
        <v>6095.7049999999999</v>
      </c>
      <c r="I169" s="83">
        <f t="shared" si="33"/>
        <v>27.212968749999998</v>
      </c>
    </row>
    <row r="170" spans="1:12" s="1" customFormat="1">
      <c r="A170" s="107"/>
      <c r="B170" s="48" t="s">
        <v>120</v>
      </c>
      <c r="C170" s="5" t="s">
        <v>17</v>
      </c>
      <c r="D170" s="5">
        <v>1</v>
      </c>
      <c r="E170" s="97">
        <f>247*8*(A158/1973)</f>
        <v>224.34059807399899</v>
      </c>
      <c r="F170" s="26">
        <f>E170/A158</f>
        <v>1.001520527116067</v>
      </c>
      <c r="G170" s="35">
        <f t="shared" si="34"/>
        <v>4.464285714285714E-3</v>
      </c>
      <c r="H170" s="145">
        <f>(5502.09+14002.52+32008)*0.5</f>
        <v>25756.305</v>
      </c>
      <c r="I170" s="83">
        <f t="shared" si="33"/>
        <v>114.98350446428572</v>
      </c>
    </row>
    <row r="171" spans="1:12" s="1" customFormat="1" ht="13.7" customHeight="1">
      <c r="A171" s="107"/>
      <c r="B171" s="48" t="s">
        <v>113</v>
      </c>
      <c r="C171" s="5" t="s">
        <v>17</v>
      </c>
      <c r="D171" s="5">
        <v>1</v>
      </c>
      <c r="E171" s="97">
        <f>247*8*(A158/1973)</f>
        <v>224.34059807399899</v>
      </c>
      <c r="F171" s="26">
        <f>E171/A158</f>
        <v>1.001520527116067</v>
      </c>
      <c r="G171" s="35">
        <f t="shared" si="34"/>
        <v>4.464285714285714E-3</v>
      </c>
      <c r="H171" s="145">
        <f>6206.48*0.5</f>
        <v>3103.24</v>
      </c>
      <c r="I171" s="83">
        <f t="shared" si="33"/>
        <v>13.853749999999998</v>
      </c>
    </row>
    <row r="172" spans="1:12" s="1" customFormat="1" ht="15.75" thickBot="1">
      <c r="A172" s="108"/>
      <c r="B172" s="18"/>
      <c r="C172" s="18"/>
      <c r="D172" s="18"/>
      <c r="E172" s="95"/>
      <c r="F172" s="18"/>
      <c r="G172" s="20"/>
      <c r="H172" s="37"/>
      <c r="I172" s="87">
        <f>SUM(I157:I171)</f>
        <v>1129.5100446428569</v>
      </c>
      <c r="J172" s="126">
        <f>(59400+108530+19200+12000+6240+30000+30000+12191.41+15000+15000+29000+27870+5502.09+32008+7000+24000+14002.52+6206.48+52870)*0.5</f>
        <v>253010.25</v>
      </c>
      <c r="K172" s="127">
        <f>I172*A158</f>
        <v>253010.24999999994</v>
      </c>
      <c r="L172" s="127">
        <f>J172-K172</f>
        <v>0</v>
      </c>
    </row>
    <row r="173" spans="1:12">
      <c r="A173" s="104" t="s">
        <v>67</v>
      </c>
      <c r="B173" s="13" t="s">
        <v>36</v>
      </c>
      <c r="C173" s="13" t="s">
        <v>17</v>
      </c>
      <c r="D173" s="13">
        <v>1</v>
      </c>
      <c r="E173" s="124">
        <f>247*8*(A174/1973)</f>
        <v>330.50177394830206</v>
      </c>
      <c r="F173" s="25">
        <f>E173/A174</f>
        <v>1.0015205271160668</v>
      </c>
      <c r="G173" s="36">
        <f>D173/E173*F173</f>
        <v>3.0303030303030299E-3</v>
      </c>
      <c r="H173" s="156">
        <f>92060*0.49</f>
        <v>45109.4</v>
      </c>
      <c r="I173" s="82">
        <f>H173*G173</f>
        <v>136.69515151515151</v>
      </c>
    </row>
    <row r="174" spans="1:12" s="1" customFormat="1">
      <c r="A174" s="112">
        <f>ком.усл!A67</f>
        <v>330</v>
      </c>
      <c r="B174" s="5" t="s">
        <v>37</v>
      </c>
      <c r="C174" s="5" t="s">
        <v>17</v>
      </c>
      <c r="D174" s="5">
        <v>1</v>
      </c>
      <c r="E174" s="97">
        <f>247*8*(A174/1973)</f>
        <v>330.50177394830206</v>
      </c>
      <c r="F174" s="26">
        <f>E174/A174</f>
        <v>1.0015205271160668</v>
      </c>
      <c r="G174" s="35">
        <f>D174/E174*F174</f>
        <v>3.0303030303030299E-3</v>
      </c>
      <c r="H174" s="145">
        <f>38400*0.49</f>
        <v>18816</v>
      </c>
      <c r="I174" s="83">
        <f t="shared" ref="I174:I184" si="35">H174*G174</f>
        <v>57.018181818181809</v>
      </c>
    </row>
    <row r="175" spans="1:12" s="1" customFormat="1">
      <c r="A175" s="113"/>
      <c r="B175" s="5" t="s">
        <v>40</v>
      </c>
      <c r="C175" s="5" t="s">
        <v>17</v>
      </c>
      <c r="D175" s="5">
        <v>1</v>
      </c>
      <c r="E175" s="97">
        <f>247*8*(A174/1973)</f>
        <v>330.50177394830206</v>
      </c>
      <c r="F175" s="26">
        <f>E175/A174</f>
        <v>1.0015205271160668</v>
      </c>
      <c r="G175" s="35">
        <f>D175/E175*F175</f>
        <v>3.0303030303030299E-3</v>
      </c>
      <c r="H175" s="145">
        <f>33600*0.49</f>
        <v>16464</v>
      </c>
      <c r="I175" s="83">
        <f t="shared" si="35"/>
        <v>49.890909090909084</v>
      </c>
    </row>
    <row r="176" spans="1:12" s="1" customFormat="1">
      <c r="A176" s="113"/>
      <c r="B176" s="5" t="s">
        <v>38</v>
      </c>
      <c r="C176" s="5" t="s">
        <v>17</v>
      </c>
      <c r="D176" s="5">
        <v>1</v>
      </c>
      <c r="E176" s="97">
        <f>247*8*(A174/1973)</f>
        <v>330.50177394830206</v>
      </c>
      <c r="F176" s="26">
        <f>E176/A174</f>
        <v>1.0015205271160668</v>
      </c>
      <c r="G176" s="35">
        <f t="shared" ref="G176:G187" si="36">D176/E176*F176</f>
        <v>3.0303030303030299E-3</v>
      </c>
      <c r="H176" s="145">
        <f>40800*0.49</f>
        <v>19992</v>
      </c>
      <c r="I176" s="83">
        <f t="shared" si="35"/>
        <v>60.581818181818171</v>
      </c>
    </row>
    <row r="177" spans="1:12" s="1" customFormat="1">
      <c r="A177" s="113"/>
      <c r="B177" s="5" t="s">
        <v>121</v>
      </c>
      <c r="C177" s="5" t="s">
        <v>17</v>
      </c>
      <c r="D177" s="5">
        <v>1</v>
      </c>
      <c r="E177" s="97">
        <f>247*8*(A174/1973)</f>
        <v>330.50177394830206</v>
      </c>
      <c r="F177" s="26">
        <f>E177/A174</f>
        <v>1.0015205271160668</v>
      </c>
      <c r="G177" s="35">
        <f t="shared" si="36"/>
        <v>3.0303030303030299E-3</v>
      </c>
      <c r="H177" s="145"/>
      <c r="I177" s="83">
        <f t="shared" si="35"/>
        <v>0</v>
      </c>
    </row>
    <row r="178" spans="1:12" s="1" customFormat="1">
      <c r="A178" s="113"/>
      <c r="B178" s="5" t="s">
        <v>56</v>
      </c>
      <c r="C178" s="5" t="s">
        <v>17</v>
      </c>
      <c r="D178" s="5">
        <v>1</v>
      </c>
      <c r="E178" s="97">
        <f>247*8*(A174/1973)</f>
        <v>330.50177394830206</v>
      </c>
      <c r="F178" s="26">
        <f>E178/A174</f>
        <v>1.0015205271160668</v>
      </c>
      <c r="G178" s="35">
        <f t="shared" si="36"/>
        <v>3.0303030303030299E-3</v>
      </c>
      <c r="H178" s="145">
        <f>20000*0.49</f>
        <v>9800</v>
      </c>
      <c r="I178" s="83">
        <f t="shared" si="35"/>
        <v>29.696969696969692</v>
      </c>
    </row>
    <row r="179" spans="1:12" s="1" customFormat="1">
      <c r="A179" s="113"/>
      <c r="B179" s="5" t="s">
        <v>41</v>
      </c>
      <c r="C179" s="5" t="s">
        <v>17</v>
      </c>
      <c r="D179" s="5">
        <v>1</v>
      </c>
      <c r="E179" s="97">
        <f>247*8*(A174/1973)</f>
        <v>330.50177394830206</v>
      </c>
      <c r="F179" s="26">
        <f>E179/A174</f>
        <v>1.0015205271160668</v>
      </c>
      <c r="G179" s="35">
        <f t="shared" si="36"/>
        <v>3.0303030303030299E-3</v>
      </c>
      <c r="H179" s="145">
        <f>56000*0.49</f>
        <v>27440</v>
      </c>
      <c r="I179" s="83">
        <f t="shared" si="35"/>
        <v>83.151515151515142</v>
      </c>
    </row>
    <row r="180" spans="1:12" s="1" customFormat="1">
      <c r="A180" s="113"/>
      <c r="B180" s="5" t="s">
        <v>63</v>
      </c>
      <c r="C180" s="5" t="s">
        <v>17</v>
      </c>
      <c r="D180" s="5">
        <v>1</v>
      </c>
      <c r="E180" s="97">
        <f>247*8*(A174/1973)</f>
        <v>330.50177394830206</v>
      </c>
      <c r="F180" s="26">
        <f>E180/A174</f>
        <v>1.0015205271160668</v>
      </c>
      <c r="G180" s="35">
        <f t="shared" si="36"/>
        <v>3.0303030303030299E-3</v>
      </c>
      <c r="H180" s="145">
        <f>60000*0.49</f>
        <v>29400</v>
      </c>
      <c r="I180" s="83">
        <f t="shared" si="35"/>
        <v>89.090909090909079</v>
      </c>
    </row>
    <row r="181" spans="1:12" s="1" customFormat="1">
      <c r="A181" s="113"/>
      <c r="B181" s="31" t="s">
        <v>55</v>
      </c>
      <c r="C181" s="5" t="s">
        <v>17</v>
      </c>
      <c r="D181" s="5">
        <v>1</v>
      </c>
      <c r="E181" s="97">
        <f>247*8*(A174/1973)</f>
        <v>330.50177394830206</v>
      </c>
      <c r="F181" s="26">
        <f>E181/A174</f>
        <v>1.0015205271160668</v>
      </c>
      <c r="G181" s="35">
        <f t="shared" si="36"/>
        <v>3.0303030303030299E-3</v>
      </c>
      <c r="H181" s="145">
        <f>50400*0.49</f>
        <v>24696</v>
      </c>
      <c r="I181" s="83">
        <f t="shared" si="35"/>
        <v>74.836363636363629</v>
      </c>
    </row>
    <row r="182" spans="1:12" s="1" customFormat="1">
      <c r="A182" s="113"/>
      <c r="B182" s="48" t="s">
        <v>82</v>
      </c>
      <c r="C182" s="5" t="s">
        <v>17</v>
      </c>
      <c r="D182" s="5">
        <v>1</v>
      </c>
      <c r="E182" s="97">
        <f>247*8*(A174/1973)</f>
        <v>330.50177394830206</v>
      </c>
      <c r="F182" s="26">
        <f>E182/A174</f>
        <v>1.0015205271160668</v>
      </c>
      <c r="G182" s="35">
        <f t="shared" si="36"/>
        <v>3.0303030303030299E-3</v>
      </c>
      <c r="H182" s="145">
        <f>33600*0.49</f>
        <v>16464</v>
      </c>
      <c r="I182" s="83">
        <f t="shared" si="35"/>
        <v>49.890909090909084</v>
      </c>
    </row>
    <row r="183" spans="1:12" s="1" customFormat="1">
      <c r="A183" s="113"/>
      <c r="B183" s="5" t="s">
        <v>96</v>
      </c>
      <c r="C183" s="5" t="s">
        <v>17</v>
      </c>
      <c r="D183" s="5">
        <v>1</v>
      </c>
      <c r="E183" s="97">
        <f>247*8*(A174/1973)</f>
        <v>330.50177394830206</v>
      </c>
      <c r="F183" s="26">
        <f>E183/A174</f>
        <v>1.0015205271160668</v>
      </c>
      <c r="G183" s="35">
        <f t="shared" si="36"/>
        <v>3.0303030303030299E-3</v>
      </c>
      <c r="H183" s="145">
        <f>20000*0.49</f>
        <v>9800</v>
      </c>
      <c r="I183" s="83">
        <f t="shared" si="35"/>
        <v>29.696969696969692</v>
      </c>
    </row>
    <row r="184" spans="1:12" s="1" customFormat="1">
      <c r="A184" s="113"/>
      <c r="B184" s="48" t="s">
        <v>112</v>
      </c>
      <c r="C184" s="5" t="s">
        <v>17</v>
      </c>
      <c r="D184" s="5">
        <v>1</v>
      </c>
      <c r="E184" s="97">
        <f>247*8*(A174/1973)</f>
        <v>330.50177394830206</v>
      </c>
      <c r="F184" s="26">
        <f>E184/A174</f>
        <v>1.0015205271160668</v>
      </c>
      <c r="G184" s="35">
        <f t="shared" si="36"/>
        <v>3.0303030303030299E-3</v>
      </c>
      <c r="H184" s="145">
        <f>(4500+0)*0.49</f>
        <v>2205</v>
      </c>
      <c r="I184" s="83">
        <f t="shared" si="35"/>
        <v>6.6818181818181808</v>
      </c>
    </row>
    <row r="185" spans="1:12" s="1" customFormat="1">
      <c r="A185" s="107"/>
      <c r="B185" s="48" t="s">
        <v>39</v>
      </c>
      <c r="C185" s="5" t="s">
        <v>17</v>
      </c>
      <c r="D185" s="5">
        <v>1</v>
      </c>
      <c r="E185" s="97">
        <f>247*8*(A174/1973)</f>
        <v>330.50177394830206</v>
      </c>
      <c r="F185" s="26">
        <f>E185/A174</f>
        <v>1.0015205271160668</v>
      </c>
      <c r="G185" s="35">
        <f t="shared" si="36"/>
        <v>3.0303030303030299E-3</v>
      </c>
      <c r="H185" s="145">
        <f>17132.38*0.49</f>
        <v>8394.8662000000004</v>
      </c>
      <c r="I185" s="83">
        <f>H185*G185</f>
        <v>25.438988484848483</v>
      </c>
    </row>
    <row r="186" spans="1:12" s="1" customFormat="1">
      <c r="A186" s="107"/>
      <c r="B186" s="48" t="s">
        <v>120</v>
      </c>
      <c r="C186" s="5" t="s">
        <v>17</v>
      </c>
      <c r="D186" s="5">
        <v>1</v>
      </c>
      <c r="E186" s="97">
        <f>247*8*(A174/1973)</f>
        <v>330.50177394830206</v>
      </c>
      <c r="F186" s="26">
        <f>E186/A174</f>
        <v>1.0015205271160668</v>
      </c>
      <c r="G186" s="35">
        <f t="shared" si="36"/>
        <v>3.0303030303030299E-3</v>
      </c>
      <c r="H186" s="145">
        <f>(6877.62+17288.87+0)*0.49</f>
        <v>11841.580099999999</v>
      </c>
      <c r="I186" s="83">
        <f t="shared" ref="I186:I187" si="37">H186*G186</f>
        <v>35.883576060606053</v>
      </c>
    </row>
    <row r="187" spans="1:12" s="1" customFormat="1" ht="13.7" customHeight="1">
      <c r="A187" s="107"/>
      <c r="B187" s="48" t="s">
        <v>113</v>
      </c>
      <c r="C187" s="5" t="s">
        <v>17</v>
      </c>
      <c r="D187" s="5">
        <v>1</v>
      </c>
      <c r="E187" s="97">
        <f>247*8*(A174/1973)</f>
        <v>330.50177394830206</v>
      </c>
      <c r="F187" s="26">
        <f>E187/A174</f>
        <v>1.0015205271160668</v>
      </c>
      <c r="G187" s="35">
        <f t="shared" si="36"/>
        <v>3.0303030303030299E-3</v>
      </c>
      <c r="H187" s="145">
        <f>4140*0.49</f>
        <v>2028.6</v>
      </c>
      <c r="I187" s="83">
        <f t="shared" si="37"/>
        <v>6.1472727272727266</v>
      </c>
    </row>
    <row r="188" spans="1:12" s="1" customFormat="1" ht="15.75" thickBot="1">
      <c r="A188" s="108"/>
      <c r="B188" s="18"/>
      <c r="C188" s="18"/>
      <c r="D188" s="18"/>
      <c r="E188" s="95"/>
      <c r="F188" s="18"/>
      <c r="G188" s="20"/>
      <c r="H188" s="37"/>
      <c r="I188" s="87">
        <f>SUM(I173:I187)</f>
        <v>734.70135242424226</v>
      </c>
      <c r="J188" s="126">
        <f>(92060+38400+33600+60000+50400+17132.38+33600+4500+40000+56000+6877.62+40800+17288.87+4140)*0.49</f>
        <v>242451.44629999998</v>
      </c>
      <c r="K188" s="127">
        <f>I188*A174</f>
        <v>242451.44629999995</v>
      </c>
      <c r="L188" s="127">
        <f>J188-K188</f>
        <v>0</v>
      </c>
    </row>
    <row r="189" spans="1:12">
      <c r="A189" s="104" t="s">
        <v>68</v>
      </c>
      <c r="B189" s="13" t="s">
        <v>36</v>
      </c>
      <c r="C189" s="13" t="s">
        <v>17</v>
      </c>
      <c r="D189" s="13">
        <v>1</v>
      </c>
      <c r="E189" s="124">
        <f>247*8*(A190/1973)</f>
        <v>267.4059807399899</v>
      </c>
      <c r="F189" s="25">
        <f>E189/A190</f>
        <v>1.001520527116067</v>
      </c>
      <c r="G189" s="36">
        <f>D189/E189*F189</f>
        <v>3.7453183520599251E-3</v>
      </c>
      <c r="H189" s="156">
        <f>85080*0.45</f>
        <v>38286</v>
      </c>
      <c r="I189" s="82">
        <f>H189*G189</f>
        <v>143.3932584269663</v>
      </c>
    </row>
    <row r="190" spans="1:12" s="1" customFormat="1">
      <c r="A190" s="112">
        <f>ком.усл!A72</f>
        <v>267</v>
      </c>
      <c r="B190" s="5" t="s">
        <v>37</v>
      </c>
      <c r="C190" s="5" t="s">
        <v>17</v>
      </c>
      <c r="D190" s="5">
        <v>1</v>
      </c>
      <c r="E190" s="97">
        <f>247*8*(A190/1973)</f>
        <v>267.4059807399899</v>
      </c>
      <c r="F190" s="26">
        <f>E190/A190</f>
        <v>1.001520527116067</v>
      </c>
      <c r="G190" s="35">
        <f>D190/E190*F190</f>
        <v>3.7453183520599251E-3</v>
      </c>
      <c r="H190" s="145">
        <f>74196*0.45</f>
        <v>33388.200000000004</v>
      </c>
      <c r="I190" s="83">
        <f t="shared" ref="I190:I203" si="38">H190*G190</f>
        <v>125.0494382022472</v>
      </c>
    </row>
    <row r="191" spans="1:12" s="1" customFormat="1">
      <c r="A191" s="113"/>
      <c r="B191" s="5" t="s">
        <v>40</v>
      </c>
      <c r="C191" s="5" t="s">
        <v>17</v>
      </c>
      <c r="D191" s="5">
        <v>1</v>
      </c>
      <c r="E191" s="97">
        <f>247*8*(A190/1973)</f>
        <v>267.4059807399899</v>
      </c>
      <c r="F191" s="26">
        <f>E191/A190</f>
        <v>1.001520527116067</v>
      </c>
      <c r="G191" s="35">
        <f>D191/E191*F191</f>
        <v>3.7453183520599251E-3</v>
      </c>
      <c r="H191" s="145">
        <f>74196*0.45</f>
        <v>33388.200000000004</v>
      </c>
      <c r="I191" s="83">
        <f t="shared" si="38"/>
        <v>125.0494382022472</v>
      </c>
    </row>
    <row r="192" spans="1:12" s="1" customFormat="1">
      <c r="A192" s="113"/>
      <c r="B192" s="5" t="s">
        <v>38</v>
      </c>
      <c r="C192" s="5" t="s">
        <v>17</v>
      </c>
      <c r="D192" s="5">
        <v>1</v>
      </c>
      <c r="E192" s="97">
        <f>247*8*(A190/1973)</f>
        <v>267.4059807399899</v>
      </c>
      <c r="F192" s="26">
        <f>E192/A190</f>
        <v>1.001520527116067</v>
      </c>
      <c r="G192" s="35">
        <f t="shared" ref="G192:G203" si="39">D192/E192*F192</f>
        <v>3.7453183520599251E-3</v>
      </c>
      <c r="H192" s="145">
        <f>61200*0.45</f>
        <v>27540</v>
      </c>
      <c r="I192" s="83">
        <f t="shared" si="38"/>
        <v>103.14606741573034</v>
      </c>
    </row>
    <row r="193" spans="1:12" s="1" customFormat="1">
      <c r="A193" s="113"/>
      <c r="B193" s="5" t="s">
        <v>121</v>
      </c>
      <c r="C193" s="5" t="s">
        <v>17</v>
      </c>
      <c r="D193" s="5">
        <v>1</v>
      </c>
      <c r="E193" s="97">
        <f>247*8*(A190/1973)</f>
        <v>267.4059807399899</v>
      </c>
      <c r="F193" s="26">
        <f>E193/A190</f>
        <v>1.001520527116067</v>
      </c>
      <c r="G193" s="35">
        <f t="shared" si="39"/>
        <v>3.7453183520599251E-3</v>
      </c>
      <c r="H193" s="145">
        <f>5376*0.45</f>
        <v>2419.2000000000003</v>
      </c>
      <c r="I193" s="83">
        <f t="shared" si="38"/>
        <v>9.0606741573033727</v>
      </c>
    </row>
    <row r="194" spans="1:12" s="1" customFormat="1">
      <c r="A194" s="113"/>
      <c r="B194" s="5" t="s">
        <v>56</v>
      </c>
      <c r="C194" s="5" t="s">
        <v>17</v>
      </c>
      <c r="D194" s="5">
        <v>1</v>
      </c>
      <c r="E194" s="97">
        <f>247*8*(A190/1973)</f>
        <v>267.4059807399899</v>
      </c>
      <c r="F194" s="26">
        <f>E194/A190</f>
        <v>1.001520527116067</v>
      </c>
      <c r="G194" s="35">
        <f t="shared" si="39"/>
        <v>3.7453183520599251E-3</v>
      </c>
      <c r="H194" s="145">
        <f>30000*0.45</f>
        <v>13500</v>
      </c>
      <c r="I194" s="83">
        <f t="shared" si="38"/>
        <v>50.561797752808992</v>
      </c>
    </row>
    <row r="195" spans="1:12" s="1" customFormat="1">
      <c r="A195" s="113"/>
      <c r="B195" s="5" t="s">
        <v>41</v>
      </c>
      <c r="C195" s="5" t="s">
        <v>17</v>
      </c>
      <c r="D195" s="5">
        <v>1</v>
      </c>
      <c r="E195" s="97">
        <f>247*8*(A190/1973)</f>
        <v>267.4059807399899</v>
      </c>
      <c r="F195" s="26">
        <f>E195/A190</f>
        <v>1.001520527116067</v>
      </c>
      <c r="G195" s="35">
        <f t="shared" si="39"/>
        <v>3.7453183520599251E-3</v>
      </c>
      <c r="H195" s="145">
        <f>70000*0.45</f>
        <v>31500</v>
      </c>
      <c r="I195" s="83">
        <f t="shared" si="38"/>
        <v>117.97752808988764</v>
      </c>
    </row>
    <row r="196" spans="1:12" s="1" customFormat="1">
      <c r="A196" s="113"/>
      <c r="B196" s="5" t="s">
        <v>63</v>
      </c>
      <c r="C196" s="5" t="s">
        <v>17</v>
      </c>
      <c r="D196" s="5">
        <v>1</v>
      </c>
      <c r="E196" s="97">
        <f>247*8*(A190/1973)</f>
        <v>267.4059807399899</v>
      </c>
      <c r="F196" s="26">
        <f>E196/A190</f>
        <v>1.001520527116067</v>
      </c>
      <c r="G196" s="35">
        <f t="shared" si="39"/>
        <v>3.7453183520599251E-3</v>
      </c>
      <c r="H196" s="145">
        <f>90000*0.45</f>
        <v>40500</v>
      </c>
      <c r="I196" s="83">
        <f t="shared" si="38"/>
        <v>151.68539325842696</v>
      </c>
    </row>
    <row r="197" spans="1:12" s="1" customFormat="1">
      <c r="A197" s="113"/>
      <c r="B197" s="31" t="s">
        <v>55</v>
      </c>
      <c r="C197" s="5" t="s">
        <v>17</v>
      </c>
      <c r="D197" s="5">
        <v>1</v>
      </c>
      <c r="E197" s="97">
        <f>247*8*(A190/1973)</f>
        <v>267.4059807399899</v>
      </c>
      <c r="F197" s="26">
        <f>E197/A190</f>
        <v>1.001520527116067</v>
      </c>
      <c r="G197" s="35">
        <f t="shared" si="39"/>
        <v>3.7453183520599251E-3</v>
      </c>
      <c r="H197" s="145">
        <f>30000*0.45</f>
        <v>13500</v>
      </c>
      <c r="I197" s="83">
        <f t="shared" si="38"/>
        <v>50.561797752808992</v>
      </c>
    </row>
    <row r="198" spans="1:12" s="1" customFormat="1">
      <c r="A198" s="113"/>
      <c r="B198" s="48" t="s">
        <v>82</v>
      </c>
      <c r="C198" s="5" t="s">
        <v>17</v>
      </c>
      <c r="D198" s="5">
        <v>1</v>
      </c>
      <c r="E198" s="97">
        <f>247*8*(A190/1973)</f>
        <v>267.4059807399899</v>
      </c>
      <c r="F198" s="26">
        <f>E198/A190</f>
        <v>1.001520527116067</v>
      </c>
      <c r="G198" s="35">
        <f t="shared" si="39"/>
        <v>3.7453183520599251E-3</v>
      </c>
      <c r="H198" s="145">
        <f>54000*0.45</f>
        <v>24300</v>
      </c>
      <c r="I198" s="83">
        <f t="shared" si="38"/>
        <v>91.011235955056179</v>
      </c>
    </row>
    <row r="199" spans="1:12" s="1" customFormat="1">
      <c r="A199" s="113"/>
      <c r="B199" s="5" t="s">
        <v>96</v>
      </c>
      <c r="C199" s="5" t="s">
        <v>17</v>
      </c>
      <c r="D199" s="5">
        <v>1</v>
      </c>
      <c r="E199" s="97">
        <f>247*8*(A190/1973)</f>
        <v>267.4059807399899</v>
      </c>
      <c r="F199" s="26">
        <f>E199/A190</f>
        <v>1.001520527116067</v>
      </c>
      <c r="G199" s="35">
        <f t="shared" si="39"/>
        <v>3.7453183520599251E-3</v>
      </c>
      <c r="H199" s="145">
        <f>45000*0.45</f>
        <v>20250</v>
      </c>
      <c r="I199" s="83">
        <f t="shared" si="38"/>
        <v>75.842696629213478</v>
      </c>
    </row>
    <row r="200" spans="1:12" s="1" customFormat="1">
      <c r="A200" s="107"/>
      <c r="B200" s="48" t="s">
        <v>112</v>
      </c>
      <c r="C200" s="5" t="s">
        <v>17</v>
      </c>
      <c r="D200" s="5">
        <v>1</v>
      </c>
      <c r="E200" s="97">
        <f>247*8*(A190/1973)</f>
        <v>267.4059807399899</v>
      </c>
      <c r="F200" s="26">
        <f>E200/A190</f>
        <v>1.001520527116067</v>
      </c>
      <c r="G200" s="35">
        <f t="shared" si="39"/>
        <v>3.7453183520599251E-3</v>
      </c>
      <c r="H200" s="145">
        <f>(16800+41700+12000)*0.45</f>
        <v>31725</v>
      </c>
      <c r="I200" s="83">
        <f t="shared" si="38"/>
        <v>118.82022471910112</v>
      </c>
    </row>
    <row r="201" spans="1:12" s="1" customFormat="1">
      <c r="A201" s="107"/>
      <c r="B201" s="48" t="s">
        <v>39</v>
      </c>
      <c r="C201" s="5" t="s">
        <v>17</v>
      </c>
      <c r="D201" s="5">
        <v>1</v>
      </c>
      <c r="E201" s="97">
        <f>247*8*(A190/1973)</f>
        <v>267.4059807399899</v>
      </c>
      <c r="F201" s="26">
        <f>E201/A190</f>
        <v>1.001520527116067</v>
      </c>
      <c r="G201" s="35">
        <f t="shared" si="39"/>
        <v>3.7453183520599251E-3</v>
      </c>
      <c r="H201" s="145">
        <f>31833.32*0.45</f>
        <v>14324.994000000001</v>
      </c>
      <c r="I201" s="83">
        <f t="shared" si="38"/>
        <v>53.651662921348318</v>
      </c>
    </row>
    <row r="202" spans="1:12" s="1" customFormat="1">
      <c r="A202" s="107"/>
      <c r="B202" s="48" t="s">
        <v>120</v>
      </c>
      <c r="C202" s="5" t="s">
        <v>17</v>
      </c>
      <c r="D202" s="5">
        <v>1</v>
      </c>
      <c r="E202" s="97">
        <f>247*8*(A190/1973)</f>
        <v>267.4059807399899</v>
      </c>
      <c r="F202" s="26">
        <f>E202/A190</f>
        <v>1.001520527116067</v>
      </c>
      <c r="G202" s="35">
        <f t="shared" si="39"/>
        <v>3.7453183520599251E-3</v>
      </c>
      <c r="H202" s="145">
        <f>(1528.68+18241.16+12000)*0.45</f>
        <v>14296.428</v>
      </c>
      <c r="I202" s="83">
        <f t="shared" si="38"/>
        <v>53.544674157303369</v>
      </c>
    </row>
    <row r="203" spans="1:12" s="1" customFormat="1" ht="13.7" customHeight="1">
      <c r="A203" s="107"/>
      <c r="B203" s="48" t="s">
        <v>113</v>
      </c>
      <c r="C203" s="5" t="s">
        <v>17</v>
      </c>
      <c r="D203" s="5">
        <v>1</v>
      </c>
      <c r="E203" s="97">
        <f>247*8*(A190/1973)</f>
        <v>267.4059807399899</v>
      </c>
      <c r="F203" s="26">
        <f>E203/A190</f>
        <v>1.001520527116067</v>
      </c>
      <c r="G203" s="35">
        <f t="shared" si="39"/>
        <v>3.7453183520599251E-3</v>
      </c>
      <c r="H203" s="145">
        <f>4026*0.45</f>
        <v>1811.7</v>
      </c>
      <c r="I203" s="83">
        <f t="shared" si="38"/>
        <v>6.7853932584269669</v>
      </c>
    </row>
    <row r="204" spans="1:12" s="1" customFormat="1" ht="15.75" thickBot="1">
      <c r="A204" s="108"/>
      <c r="B204" s="18"/>
      <c r="C204" s="18"/>
      <c r="D204" s="18"/>
      <c r="E204" s="95"/>
      <c r="F204" s="18"/>
      <c r="G204" s="20"/>
      <c r="H204" s="37"/>
      <c r="I204" s="87">
        <f>SUM(I189:I203)</f>
        <v>1276.1412808988764</v>
      </c>
      <c r="J204" s="126">
        <f>(85080+74196+74196+90000+30000+31833.32+54000+16800+30000+45000+70000+1528.68+5376+41700+12000+61200+18241.16+4026+12000)*0.45</f>
        <v>340729.72200000007</v>
      </c>
      <c r="K204" s="127">
        <f>I204*A190</f>
        <v>340729.72200000001</v>
      </c>
      <c r="L204" s="127">
        <f>J204-K204</f>
        <v>0</v>
      </c>
    </row>
    <row r="205" spans="1:12">
      <c r="A205" s="104" t="s">
        <v>69</v>
      </c>
      <c r="B205" s="13" t="s">
        <v>36</v>
      </c>
      <c r="C205" s="13" t="s">
        <v>17</v>
      </c>
      <c r="D205" s="13">
        <v>1</v>
      </c>
      <c r="E205" s="124">
        <f>247*8*(A206/1973)</f>
        <v>446.67815509376584</v>
      </c>
      <c r="F205" s="25">
        <f>E205/A206</f>
        <v>1.001520527116067</v>
      </c>
      <c r="G205" s="36">
        <f>D205/E205*F205</f>
        <v>2.2421524663677134E-3</v>
      </c>
      <c r="H205" s="156">
        <f>59393*0.47</f>
        <v>27914.71</v>
      </c>
      <c r="I205" s="82">
        <f>H205*G205</f>
        <v>62.589035874439475</v>
      </c>
    </row>
    <row r="206" spans="1:12" s="1" customFormat="1">
      <c r="A206" s="112">
        <f>ком.усл!A77</f>
        <v>446</v>
      </c>
      <c r="B206" s="5" t="s">
        <v>37</v>
      </c>
      <c r="C206" s="5" t="s">
        <v>17</v>
      </c>
      <c r="D206" s="5">
        <v>1</v>
      </c>
      <c r="E206" s="97">
        <f>247*8*(A206/1973)</f>
        <v>446.67815509376584</v>
      </c>
      <c r="F206" s="26">
        <f>E206/A206</f>
        <v>1.001520527116067</v>
      </c>
      <c r="G206" s="35">
        <f>D206/E206*F206</f>
        <v>2.2421524663677134E-3</v>
      </c>
      <c r="H206" s="145">
        <f>21600*0.47</f>
        <v>10152</v>
      </c>
      <c r="I206" s="83">
        <f t="shared" ref="I206:I219" si="40">H206*G206</f>
        <v>22.762331838565025</v>
      </c>
    </row>
    <row r="207" spans="1:12" s="1" customFormat="1">
      <c r="A207" s="113"/>
      <c r="B207" s="5" t="s">
        <v>40</v>
      </c>
      <c r="C207" s="5" t="s">
        <v>17</v>
      </c>
      <c r="D207" s="5">
        <v>1</v>
      </c>
      <c r="E207" s="97">
        <f>247*8*(A206/1973)</f>
        <v>446.67815509376584</v>
      </c>
      <c r="F207" s="26">
        <f>E207/A206</f>
        <v>1.001520527116067</v>
      </c>
      <c r="G207" s="35">
        <f>D207/E207*F207</f>
        <v>2.2421524663677134E-3</v>
      </c>
      <c r="H207" s="145">
        <f>6000*0.47</f>
        <v>2820</v>
      </c>
      <c r="I207" s="83">
        <f t="shared" si="40"/>
        <v>6.3228699551569516</v>
      </c>
    </row>
    <row r="208" spans="1:12" s="1" customFormat="1">
      <c r="A208" s="113"/>
      <c r="B208" s="5" t="s">
        <v>38</v>
      </c>
      <c r="C208" s="5" t="s">
        <v>17</v>
      </c>
      <c r="D208" s="5">
        <v>1</v>
      </c>
      <c r="E208" s="97">
        <f>247*8*(A206/1973)</f>
        <v>446.67815509376584</v>
      </c>
      <c r="F208" s="26">
        <f>E208/A206</f>
        <v>1.001520527116067</v>
      </c>
      <c r="G208" s="35">
        <f t="shared" ref="G208:G219" si="41">D208/E208*F208</f>
        <v>2.2421524663677134E-3</v>
      </c>
      <c r="H208" s="145">
        <f>(4800+20400)*0.47</f>
        <v>11844</v>
      </c>
      <c r="I208" s="83">
        <f t="shared" si="40"/>
        <v>26.556053811659197</v>
      </c>
    </row>
    <row r="209" spans="1:12" s="1" customFormat="1">
      <c r="A209" s="113"/>
      <c r="B209" s="5" t="s">
        <v>122</v>
      </c>
      <c r="C209" s="5" t="s">
        <v>17</v>
      </c>
      <c r="D209" s="5">
        <v>1</v>
      </c>
      <c r="E209" s="97">
        <f>247*8*(A206/1973)</f>
        <v>446.67815509376584</v>
      </c>
      <c r="F209" s="26">
        <f>E209/A206</f>
        <v>1.001520527116067</v>
      </c>
      <c r="G209" s="35">
        <f t="shared" si="41"/>
        <v>2.2421524663677134E-3</v>
      </c>
      <c r="H209" s="145">
        <f>525600*0.47</f>
        <v>247032</v>
      </c>
      <c r="I209" s="83">
        <f t="shared" si="40"/>
        <v>553.88340807174893</v>
      </c>
    </row>
    <row r="210" spans="1:12" s="1" customFormat="1">
      <c r="A210" s="113"/>
      <c r="B210" s="5" t="s">
        <v>56</v>
      </c>
      <c r="C210" s="5" t="s">
        <v>17</v>
      </c>
      <c r="D210" s="5">
        <v>1</v>
      </c>
      <c r="E210" s="97">
        <f>247*8*(A206/1973)</f>
        <v>446.67815509376584</v>
      </c>
      <c r="F210" s="26">
        <f>E210/A206</f>
        <v>1.001520527116067</v>
      </c>
      <c r="G210" s="35">
        <f t="shared" si="41"/>
        <v>2.2421524663677134E-3</v>
      </c>
      <c r="H210" s="145">
        <f>16000*0.47</f>
        <v>7520</v>
      </c>
      <c r="I210" s="83">
        <f t="shared" si="40"/>
        <v>16.860986547085204</v>
      </c>
    </row>
    <row r="211" spans="1:12" s="1" customFormat="1">
      <c r="A211" s="113"/>
      <c r="B211" s="5" t="s">
        <v>41</v>
      </c>
      <c r="C211" s="5" t="s">
        <v>17</v>
      </c>
      <c r="D211" s="5">
        <v>1</v>
      </c>
      <c r="E211" s="97">
        <f>247*8*(A206/1973)</f>
        <v>446.67815509376584</v>
      </c>
      <c r="F211" s="26">
        <f>E211/A206</f>
        <v>1.001520527116067</v>
      </c>
      <c r="G211" s="35">
        <f t="shared" si="41"/>
        <v>2.2421524663677134E-3</v>
      </c>
      <c r="H211" s="145">
        <f>27020*0.47</f>
        <v>12699.4</v>
      </c>
      <c r="I211" s="83">
        <f t="shared" si="40"/>
        <v>28.473991031390138</v>
      </c>
    </row>
    <row r="212" spans="1:12" s="1" customFormat="1">
      <c r="A212" s="113"/>
      <c r="B212" s="5" t="s">
        <v>63</v>
      </c>
      <c r="C212" s="5" t="s">
        <v>17</v>
      </c>
      <c r="D212" s="5">
        <v>1</v>
      </c>
      <c r="E212" s="97">
        <f>247*8*(A206/1973)</f>
        <v>446.67815509376584</v>
      </c>
      <c r="F212" s="26">
        <f>E212/A206</f>
        <v>1.001520527116067</v>
      </c>
      <c r="G212" s="35">
        <f t="shared" si="41"/>
        <v>2.2421524663677134E-3</v>
      </c>
      <c r="H212" s="145">
        <f>30000*0.47</f>
        <v>14100</v>
      </c>
      <c r="I212" s="83">
        <f t="shared" si="40"/>
        <v>31.61434977578476</v>
      </c>
    </row>
    <row r="213" spans="1:12" s="1" customFormat="1">
      <c r="A213" s="107"/>
      <c r="B213" s="31" t="s">
        <v>55</v>
      </c>
      <c r="C213" s="5" t="s">
        <v>17</v>
      </c>
      <c r="D213" s="5">
        <v>1</v>
      </c>
      <c r="E213" s="97">
        <f>247*8*(A206/1973)</f>
        <v>446.67815509376584</v>
      </c>
      <c r="F213" s="26">
        <f>E213/A206</f>
        <v>1.001520527116067</v>
      </c>
      <c r="G213" s="35">
        <f t="shared" si="41"/>
        <v>2.2421524663677134E-3</v>
      </c>
      <c r="H213" s="145">
        <f>25200*0.47</f>
        <v>11844</v>
      </c>
      <c r="I213" s="83">
        <f t="shared" si="40"/>
        <v>26.556053811659197</v>
      </c>
    </row>
    <row r="214" spans="1:12" s="1" customFormat="1">
      <c r="A214" s="107"/>
      <c r="B214" s="48" t="s">
        <v>82</v>
      </c>
      <c r="C214" s="5" t="s">
        <v>17</v>
      </c>
      <c r="D214" s="5">
        <v>1</v>
      </c>
      <c r="E214" s="97">
        <f>247*8*(A206/1973)</f>
        <v>446.67815509376584</v>
      </c>
      <c r="F214" s="26">
        <f>E214/A206</f>
        <v>1.001520527116067</v>
      </c>
      <c r="G214" s="35">
        <f t="shared" si="41"/>
        <v>2.2421524663677134E-3</v>
      </c>
      <c r="H214" s="145">
        <f>9000*0.47</f>
        <v>4230</v>
      </c>
      <c r="I214" s="83">
        <f t="shared" si="40"/>
        <v>9.4843049327354283</v>
      </c>
    </row>
    <row r="215" spans="1:12" s="1" customFormat="1" ht="30">
      <c r="A215" s="107"/>
      <c r="B215" s="48" t="s">
        <v>111</v>
      </c>
      <c r="C215" s="5" t="s">
        <v>17</v>
      </c>
      <c r="D215" s="5">
        <v>1</v>
      </c>
      <c r="E215" s="97">
        <f>247*8*(A206/1973)</f>
        <v>446.67815509376584</v>
      </c>
      <c r="F215" s="26">
        <f>E215/A206</f>
        <v>1.001520527116067</v>
      </c>
      <c r="G215" s="35">
        <f t="shared" si="41"/>
        <v>2.2421524663677134E-3</v>
      </c>
      <c r="H215" s="145">
        <f>(108528+52870)*0.47</f>
        <v>75857.06</v>
      </c>
      <c r="I215" s="83">
        <f t="shared" si="40"/>
        <v>170.08309417040363</v>
      </c>
    </row>
    <row r="216" spans="1:12" s="1" customFormat="1" ht="15.75" customHeight="1">
      <c r="A216" s="107"/>
      <c r="B216" s="48" t="s">
        <v>112</v>
      </c>
      <c r="C216" s="5" t="s">
        <v>17</v>
      </c>
      <c r="D216" s="5">
        <v>1</v>
      </c>
      <c r="E216" s="97">
        <f>247*8*(A206/1973)</f>
        <v>446.67815509376584</v>
      </c>
      <c r="F216" s="26">
        <f>E216/A206</f>
        <v>1.001520527116067</v>
      </c>
      <c r="G216" s="35">
        <f t="shared" si="41"/>
        <v>2.2421524663677134E-3</v>
      </c>
      <c r="H216" s="145">
        <f>13286*0.47</f>
        <v>6244.42</v>
      </c>
      <c r="I216" s="83">
        <f t="shared" si="40"/>
        <v>14.000941704035878</v>
      </c>
    </row>
    <row r="217" spans="1:12" s="1" customFormat="1">
      <c r="A217" s="107"/>
      <c r="B217" s="48" t="s">
        <v>39</v>
      </c>
      <c r="C217" s="5" t="s">
        <v>17</v>
      </c>
      <c r="D217" s="5">
        <v>1</v>
      </c>
      <c r="E217" s="97">
        <f>247*8*(A206/1973)</f>
        <v>446.67815509376584</v>
      </c>
      <c r="F217" s="26">
        <f>E217/A206</f>
        <v>1.001520527116067</v>
      </c>
      <c r="G217" s="35">
        <f t="shared" si="41"/>
        <v>2.2421524663677134E-3</v>
      </c>
      <c r="H217" s="145">
        <f>6541.2*0.47</f>
        <v>3074.3639999999996</v>
      </c>
      <c r="I217" s="83">
        <f t="shared" si="40"/>
        <v>6.8931928251121075</v>
      </c>
    </row>
    <row r="218" spans="1:12" s="1" customFormat="1">
      <c r="A218" s="107"/>
      <c r="B218" s="48" t="s">
        <v>120</v>
      </c>
      <c r="C218" s="5" t="s">
        <v>17</v>
      </c>
      <c r="D218" s="5">
        <v>1</v>
      </c>
      <c r="E218" s="97">
        <f>247*8*(A206/1973)</f>
        <v>446.67815509376584</v>
      </c>
      <c r="F218" s="26">
        <f>E218/A206</f>
        <v>1.001520527116067</v>
      </c>
      <c r="G218" s="35">
        <f t="shared" si="41"/>
        <v>2.2421524663677134E-3</v>
      </c>
      <c r="H218" s="145">
        <f>(6877.8+17289)*0.47</f>
        <v>11358.395999999999</v>
      </c>
      <c r="I218" s="83">
        <f t="shared" si="40"/>
        <v>25.467255605381169</v>
      </c>
    </row>
    <row r="219" spans="1:12" s="1" customFormat="1" ht="13.7" customHeight="1">
      <c r="A219" s="107"/>
      <c r="B219" s="48" t="s">
        <v>113</v>
      </c>
      <c r="C219" s="5" t="s">
        <v>17</v>
      </c>
      <c r="D219" s="5">
        <v>1</v>
      </c>
      <c r="E219" s="97">
        <f>247*8*(A206/1973)</f>
        <v>446.67815509376584</v>
      </c>
      <c r="F219" s="26">
        <f>E219/A206</f>
        <v>1.001520527116067</v>
      </c>
      <c r="G219" s="35">
        <f t="shared" si="41"/>
        <v>2.2421524663677134E-3</v>
      </c>
      <c r="H219" s="145">
        <f>3455*0.47</f>
        <v>1623.85</v>
      </c>
      <c r="I219" s="83">
        <f t="shared" si="40"/>
        <v>3.6409192825112111</v>
      </c>
    </row>
    <row r="220" spans="1:12" s="1" customFormat="1" ht="15.75" thickBot="1">
      <c r="A220" s="108"/>
      <c r="B220" s="18"/>
      <c r="C220" s="18"/>
      <c r="D220" s="18"/>
      <c r="E220" s="95"/>
      <c r="F220" s="18"/>
      <c r="G220" s="20"/>
      <c r="H220" s="37"/>
      <c r="I220" s="87">
        <f>SUM(I205:I219)</f>
        <v>1005.1887892376683</v>
      </c>
      <c r="J220" s="126">
        <f>(59393+108528+21600+6000+4800+55200+6541.2+9000+16000+27020+6877.8+20400+17289+13286+3455+525600+52870)*0.47</f>
        <v>448314.19999999995</v>
      </c>
      <c r="K220" s="127">
        <f>I220*A206</f>
        <v>448314.20000000007</v>
      </c>
      <c r="L220" s="127">
        <f>J220-K220</f>
        <v>0</v>
      </c>
    </row>
    <row r="221" spans="1:12">
      <c r="A221" s="104" t="s">
        <v>70</v>
      </c>
      <c r="B221" s="13" t="s">
        <v>36</v>
      </c>
      <c r="C221" s="13" t="s">
        <v>17</v>
      </c>
      <c r="D221" s="13">
        <v>1</v>
      </c>
      <c r="E221" s="124">
        <f>247*8*(A222/1973)</f>
        <v>466.70856563608714</v>
      </c>
      <c r="F221" s="25">
        <f>E221/A222</f>
        <v>1.0015205271160668</v>
      </c>
      <c r="G221" s="36">
        <f>D221/E221*F221</f>
        <v>2.1459227467811159E-3</v>
      </c>
      <c r="H221" s="156">
        <f>89087*0.48</f>
        <v>42761.760000000002</v>
      </c>
      <c r="I221" s="82">
        <f>H221*G221</f>
        <v>91.763433476394852</v>
      </c>
    </row>
    <row r="222" spans="1:12" s="1" customFormat="1">
      <c r="A222" s="112">
        <f>ком.усл!A82</f>
        <v>466</v>
      </c>
      <c r="B222" s="5" t="s">
        <v>37</v>
      </c>
      <c r="C222" s="5" t="s">
        <v>17</v>
      </c>
      <c r="D222" s="5">
        <v>1</v>
      </c>
      <c r="E222" s="97">
        <f>247*8*(A222/1973)</f>
        <v>466.70856563608714</v>
      </c>
      <c r="F222" s="26">
        <f>E222/A222</f>
        <v>1.0015205271160668</v>
      </c>
      <c r="G222" s="35">
        <f>D222/E222*F222</f>
        <v>2.1459227467811159E-3</v>
      </c>
      <c r="H222" s="145">
        <f>31200*0.48</f>
        <v>14976</v>
      </c>
      <c r="I222" s="83">
        <f t="shared" ref="I222:I235" si="42">H222*G222</f>
        <v>32.137339055793994</v>
      </c>
    </row>
    <row r="223" spans="1:12" s="1" customFormat="1">
      <c r="A223" s="113"/>
      <c r="B223" s="5" t="s">
        <v>40</v>
      </c>
      <c r="C223" s="5" t="s">
        <v>17</v>
      </c>
      <c r="D223" s="5">
        <v>1</v>
      </c>
      <c r="E223" s="97">
        <f>247*8*(A222/1973)</f>
        <v>466.70856563608714</v>
      </c>
      <c r="F223" s="26">
        <f>E223/A222</f>
        <v>1.0015205271160668</v>
      </c>
      <c r="G223" s="35">
        <f>D223/E223*F223</f>
        <v>2.1459227467811159E-3</v>
      </c>
      <c r="H223" s="145">
        <f>31200*0.48</f>
        <v>14976</v>
      </c>
      <c r="I223" s="83">
        <f t="shared" si="42"/>
        <v>32.137339055793994</v>
      </c>
    </row>
    <row r="224" spans="1:12" s="1" customFormat="1">
      <c r="A224" s="113"/>
      <c r="B224" s="5" t="s">
        <v>38</v>
      </c>
      <c r="C224" s="5" t="s">
        <v>17</v>
      </c>
      <c r="D224" s="5">
        <v>1</v>
      </c>
      <c r="E224" s="97">
        <f>247*8*(A222/1973)</f>
        <v>466.70856563608714</v>
      </c>
      <c r="F224" s="26">
        <f>E224/A222</f>
        <v>1.0015205271160668</v>
      </c>
      <c r="G224" s="35">
        <f t="shared" ref="G224:G235" si="43">D224/E224*F224</f>
        <v>2.1459227467811159E-3</v>
      </c>
      <c r="H224" s="145">
        <f>20400*0.48</f>
        <v>9792</v>
      </c>
      <c r="I224" s="83">
        <f t="shared" si="42"/>
        <v>21.012875536480685</v>
      </c>
    </row>
    <row r="225" spans="1:12" s="1" customFormat="1">
      <c r="A225" s="113"/>
      <c r="B225" s="5" t="s">
        <v>121</v>
      </c>
      <c r="C225" s="5" t="s">
        <v>17</v>
      </c>
      <c r="D225" s="5">
        <v>1</v>
      </c>
      <c r="E225" s="97">
        <f>247*8*(A222/1973)</f>
        <v>466.70856563608714</v>
      </c>
      <c r="F225" s="26">
        <f>E225/A222</f>
        <v>1.0015205271160668</v>
      </c>
      <c r="G225" s="35">
        <f t="shared" si="43"/>
        <v>2.1459227467811159E-3</v>
      </c>
      <c r="H225" s="145">
        <f>16400*0.48</f>
        <v>7872</v>
      </c>
      <c r="I225" s="83">
        <f t="shared" si="42"/>
        <v>16.892703862660944</v>
      </c>
    </row>
    <row r="226" spans="1:12" s="1" customFormat="1">
      <c r="A226" s="113"/>
      <c r="B226" s="5" t="s">
        <v>56</v>
      </c>
      <c r="C226" s="5" t="s">
        <v>17</v>
      </c>
      <c r="D226" s="5">
        <v>1</v>
      </c>
      <c r="E226" s="97">
        <f>247*8*(A222/1973)</f>
        <v>466.70856563608714</v>
      </c>
      <c r="F226" s="26">
        <f>E226/A222</f>
        <v>1.0015205271160668</v>
      </c>
      <c r="G226" s="35">
        <f t="shared" si="43"/>
        <v>2.1459227467811159E-3</v>
      </c>
      <c r="H226" s="145">
        <f>14000*0.48</f>
        <v>6720</v>
      </c>
      <c r="I226" s="83">
        <f t="shared" si="42"/>
        <v>14.420600858369099</v>
      </c>
    </row>
    <row r="227" spans="1:12" s="1" customFormat="1">
      <c r="A227" s="113"/>
      <c r="B227" s="5" t="s">
        <v>41</v>
      </c>
      <c r="C227" s="5" t="s">
        <v>17</v>
      </c>
      <c r="D227" s="5">
        <v>1</v>
      </c>
      <c r="E227" s="97">
        <f>247*8*(A222/1973)</f>
        <v>466.70856563608714</v>
      </c>
      <c r="F227" s="26">
        <f>E227/A222</f>
        <v>1.0015205271160668</v>
      </c>
      <c r="G227" s="35">
        <f t="shared" si="43"/>
        <v>2.1459227467811159E-3</v>
      </c>
      <c r="H227" s="145">
        <f>59250*0.48</f>
        <v>28440</v>
      </c>
      <c r="I227" s="83">
        <f t="shared" si="42"/>
        <v>61.030042918454939</v>
      </c>
    </row>
    <row r="228" spans="1:12" s="1" customFormat="1">
      <c r="A228" s="113"/>
      <c r="B228" s="5" t="s">
        <v>63</v>
      </c>
      <c r="C228" s="5" t="s">
        <v>17</v>
      </c>
      <c r="D228" s="5">
        <v>1</v>
      </c>
      <c r="E228" s="97">
        <f>247*8*(A222/1973)</f>
        <v>466.70856563608714</v>
      </c>
      <c r="F228" s="26">
        <f>E228/A222</f>
        <v>1.0015205271160668</v>
      </c>
      <c r="G228" s="35">
        <f t="shared" si="43"/>
        <v>2.1459227467811159E-3</v>
      </c>
      <c r="H228" s="145">
        <f>30000*0.48</f>
        <v>14400</v>
      </c>
      <c r="I228" s="83">
        <f t="shared" si="42"/>
        <v>30.901287553648068</v>
      </c>
    </row>
    <row r="229" spans="1:12" s="1" customFormat="1">
      <c r="A229" s="113"/>
      <c r="B229" s="31" t="s">
        <v>55</v>
      </c>
      <c r="C229" s="5" t="s">
        <v>17</v>
      </c>
      <c r="D229" s="5">
        <v>1</v>
      </c>
      <c r="E229" s="97">
        <f>247*8*(A222/1973)</f>
        <v>466.70856563608714</v>
      </c>
      <c r="F229" s="26">
        <f>E229/A222</f>
        <v>1.0015205271160668</v>
      </c>
      <c r="G229" s="35">
        <f t="shared" si="43"/>
        <v>2.1459227467811159E-3</v>
      </c>
      <c r="H229" s="145">
        <f>50400*0.48</f>
        <v>24192</v>
      </c>
      <c r="I229" s="83">
        <f t="shared" si="42"/>
        <v>51.914163090128753</v>
      </c>
    </row>
    <row r="230" spans="1:12" s="1" customFormat="1">
      <c r="A230" s="113"/>
      <c r="B230" s="48" t="s">
        <v>82</v>
      </c>
      <c r="C230" s="5" t="s">
        <v>17</v>
      </c>
      <c r="D230" s="5">
        <v>1</v>
      </c>
      <c r="E230" s="97">
        <f>247*8*(A222/1973)</f>
        <v>466.70856563608714</v>
      </c>
      <c r="F230" s="26">
        <f>E230/A222</f>
        <v>1.0015205271160668</v>
      </c>
      <c r="G230" s="35">
        <f t="shared" si="43"/>
        <v>2.1459227467811159E-3</v>
      </c>
      <c r="H230" s="145"/>
      <c r="I230" s="83">
        <f t="shared" si="42"/>
        <v>0</v>
      </c>
    </row>
    <row r="231" spans="1:12" s="1" customFormat="1">
      <c r="A231" s="113"/>
      <c r="B231" s="48" t="s">
        <v>126</v>
      </c>
      <c r="C231" s="5" t="s">
        <v>17</v>
      </c>
      <c r="D231" s="5">
        <v>1</v>
      </c>
      <c r="E231" s="97">
        <f>247*8*(A222/1973)</f>
        <v>466.70856563608714</v>
      </c>
      <c r="F231" s="26">
        <f>E231/A222</f>
        <v>1.0015205271160668</v>
      </c>
      <c r="G231" s="35">
        <f t="shared" si="43"/>
        <v>2.1459227467811159E-3</v>
      </c>
      <c r="H231" s="145">
        <f>16050.84*0.48</f>
        <v>7704.4031999999997</v>
      </c>
      <c r="I231" s="83">
        <f t="shared" si="42"/>
        <v>16.533054077253219</v>
      </c>
    </row>
    <row r="232" spans="1:12" s="1" customFormat="1">
      <c r="A232" s="113"/>
      <c r="B232" s="48" t="s">
        <v>125</v>
      </c>
      <c r="C232" s="5" t="s">
        <v>17</v>
      </c>
      <c r="D232" s="5">
        <v>1</v>
      </c>
      <c r="E232" s="97">
        <f>247*8*(A222/1973)</f>
        <v>466.70856563608714</v>
      </c>
      <c r="F232" s="26">
        <f>E232/A222</f>
        <v>1.0015205271160668</v>
      </c>
      <c r="G232" s="35">
        <f t="shared" si="43"/>
        <v>2.1459227467811159E-3</v>
      </c>
      <c r="H232" s="145">
        <f>14000*0.48</f>
        <v>6720</v>
      </c>
      <c r="I232" s="83">
        <f t="shared" si="42"/>
        <v>14.420600858369099</v>
      </c>
    </row>
    <row r="233" spans="1:12" s="1" customFormat="1">
      <c r="A233" s="107"/>
      <c r="B233" s="48" t="s">
        <v>39</v>
      </c>
      <c r="C233" s="5" t="s">
        <v>17</v>
      </c>
      <c r="D233" s="5">
        <v>1</v>
      </c>
      <c r="E233" s="97">
        <f>247*8*(A222/1973)</f>
        <v>466.70856563608714</v>
      </c>
      <c r="F233" s="26">
        <f>E233/A222</f>
        <v>1.0015205271160668</v>
      </c>
      <c r="G233" s="35">
        <f t="shared" si="43"/>
        <v>2.1459227467811159E-3</v>
      </c>
      <c r="H233" s="145">
        <f>18549*0.48</f>
        <v>8903.52</v>
      </c>
      <c r="I233" s="83">
        <f t="shared" si="42"/>
        <v>19.106266094420601</v>
      </c>
    </row>
    <row r="234" spans="1:12" s="1" customFormat="1">
      <c r="A234" s="107"/>
      <c r="B234" s="48" t="s">
        <v>120</v>
      </c>
      <c r="C234" s="5" t="s">
        <v>17</v>
      </c>
      <c r="D234" s="5">
        <v>1</v>
      </c>
      <c r="E234" s="97">
        <f>247*8*(A222/1973)</f>
        <v>466.70856563608714</v>
      </c>
      <c r="F234" s="26">
        <f>E234/A222</f>
        <v>1.0015205271160668</v>
      </c>
      <c r="G234" s="35">
        <f t="shared" si="43"/>
        <v>2.1459227467811159E-3</v>
      </c>
      <c r="H234" s="145">
        <f>(9170.16+19390.4+89000)*0.48</f>
        <v>56429.068799999994</v>
      </c>
      <c r="I234" s="83">
        <f t="shared" si="42"/>
        <v>121.09242231759656</v>
      </c>
    </row>
    <row r="235" spans="1:12" s="1" customFormat="1" ht="13.7" customHeight="1">
      <c r="A235" s="107"/>
      <c r="B235" s="48" t="s">
        <v>113</v>
      </c>
      <c r="C235" s="5" t="s">
        <v>17</v>
      </c>
      <c r="D235" s="5">
        <v>1</v>
      </c>
      <c r="E235" s="97">
        <f>247*8*(A222/1973)</f>
        <v>466.70856563608714</v>
      </c>
      <c r="F235" s="26">
        <f>E235/A222</f>
        <v>1.0015205271160668</v>
      </c>
      <c r="G235" s="35">
        <f t="shared" si="43"/>
        <v>2.1459227467811159E-3</v>
      </c>
      <c r="H235" s="145">
        <f>3000*0.48</f>
        <v>1440</v>
      </c>
      <c r="I235" s="83">
        <f t="shared" si="42"/>
        <v>3.0901287553648067</v>
      </c>
    </row>
    <row r="236" spans="1:12" s="1" customFormat="1" ht="15.75" thickBot="1">
      <c r="A236" s="108"/>
      <c r="B236" s="18"/>
      <c r="C236" s="18"/>
      <c r="D236" s="18"/>
      <c r="E236" s="95"/>
      <c r="F236" s="18"/>
      <c r="G236" s="20"/>
      <c r="H236" s="37"/>
      <c r="I236" s="87">
        <f>SUM(I221:I235)</f>
        <v>526.45225751072962</v>
      </c>
      <c r="J236" s="126">
        <f>(89087+31200+31200+80400+18549+16050.84+14000+59250+9170.16+16400+20400+19390.4+14000+89000+3000)*0.48</f>
        <v>245326.75200000001</v>
      </c>
      <c r="K236" s="127">
        <f>I236*A222</f>
        <v>245326.75200000001</v>
      </c>
      <c r="L236" s="127">
        <f>J236-K236</f>
        <v>0</v>
      </c>
    </row>
    <row r="237" spans="1:12">
      <c r="A237" s="104" t="s">
        <v>71</v>
      </c>
      <c r="B237" s="13" t="s">
        <v>36</v>
      </c>
      <c r="C237" s="13" t="s">
        <v>17</v>
      </c>
      <c r="D237" s="13">
        <v>1</v>
      </c>
      <c r="E237" s="124">
        <f>247*8*(A238/1973)</f>
        <v>309.46984287886465</v>
      </c>
      <c r="F237" s="25">
        <f>E237/A238</f>
        <v>1.0015205271160668</v>
      </c>
      <c r="G237" s="36">
        <f>D237/E237*F237</f>
        <v>3.2362459546925564E-3</v>
      </c>
      <c r="H237" s="156">
        <f>44544*0.53</f>
        <v>23608.32</v>
      </c>
      <c r="I237" s="82">
        <f>H237*G237</f>
        <v>76.402330097087372</v>
      </c>
    </row>
    <row r="238" spans="1:12" s="1" customFormat="1">
      <c r="A238" s="112">
        <f>ком.усл!A87</f>
        <v>309</v>
      </c>
      <c r="B238" s="5" t="s">
        <v>37</v>
      </c>
      <c r="C238" s="5" t="s">
        <v>17</v>
      </c>
      <c r="D238" s="5">
        <v>1</v>
      </c>
      <c r="E238" s="97">
        <f>247*8*(A238/1973)</f>
        <v>309.46984287886465</v>
      </c>
      <c r="F238" s="26">
        <f>E238/A238</f>
        <v>1.0015205271160668</v>
      </c>
      <c r="G238" s="35">
        <f>D238/E238*F238</f>
        <v>3.2362459546925564E-3</v>
      </c>
      <c r="H238" s="145">
        <f>32400*0.53</f>
        <v>17172</v>
      </c>
      <c r="I238" s="83">
        <f t="shared" ref="I238:I251" si="44">H238*G238</f>
        <v>55.572815533980581</v>
      </c>
    </row>
    <row r="239" spans="1:12" s="1" customFormat="1">
      <c r="A239" s="113"/>
      <c r="B239" s="5" t="s">
        <v>40</v>
      </c>
      <c r="C239" s="5" t="s">
        <v>17</v>
      </c>
      <c r="D239" s="5">
        <v>1</v>
      </c>
      <c r="E239" s="97">
        <f>247*8*(A238/1973)</f>
        <v>309.46984287886465</v>
      </c>
      <c r="F239" s="26">
        <f>E239/A238</f>
        <v>1.0015205271160668</v>
      </c>
      <c r="G239" s="35">
        <f>D239/E239*F239</f>
        <v>3.2362459546925564E-3</v>
      </c>
      <c r="H239" s="145">
        <f>14400*0.53</f>
        <v>7632</v>
      </c>
      <c r="I239" s="83">
        <f t="shared" si="44"/>
        <v>24.699029126213588</v>
      </c>
    </row>
    <row r="240" spans="1:12" s="1" customFormat="1">
      <c r="A240" s="113"/>
      <c r="B240" s="5" t="s">
        <v>38</v>
      </c>
      <c r="C240" s="5" t="s">
        <v>17</v>
      </c>
      <c r="D240" s="5">
        <v>1</v>
      </c>
      <c r="E240" s="97">
        <f>247*8*(A238/1973)</f>
        <v>309.46984287886465</v>
      </c>
      <c r="F240" s="26">
        <f>E240/A238</f>
        <v>1.0015205271160668</v>
      </c>
      <c r="G240" s="35">
        <f t="shared" ref="G240:G251" si="45">D240/E240*F240</f>
        <v>3.2362459546925564E-3</v>
      </c>
      <c r="H240" s="145">
        <f>20400*0.53</f>
        <v>10812</v>
      </c>
      <c r="I240" s="83">
        <f t="shared" si="44"/>
        <v>34.990291262135919</v>
      </c>
    </row>
    <row r="241" spans="1:12" s="1" customFormat="1">
      <c r="A241" s="113"/>
      <c r="B241" s="5" t="s">
        <v>96</v>
      </c>
      <c r="C241" s="5" t="s">
        <v>17</v>
      </c>
      <c r="D241" s="5">
        <v>1</v>
      </c>
      <c r="E241" s="97">
        <f>247*8*(A238/1973)</f>
        <v>309.46984287886465</v>
      </c>
      <c r="F241" s="26">
        <f>E241/A238</f>
        <v>1.0015205271160668</v>
      </c>
      <c r="G241" s="35">
        <f t="shared" si="45"/>
        <v>3.2362459546925564E-3</v>
      </c>
      <c r="H241" s="145">
        <f>10000*0.53</f>
        <v>5300</v>
      </c>
      <c r="I241" s="83">
        <f t="shared" si="44"/>
        <v>17.15210355987055</v>
      </c>
    </row>
    <row r="242" spans="1:12" s="1" customFormat="1">
      <c r="A242" s="113"/>
      <c r="B242" s="5" t="s">
        <v>56</v>
      </c>
      <c r="C242" s="5" t="s">
        <v>17</v>
      </c>
      <c r="D242" s="5">
        <v>1</v>
      </c>
      <c r="E242" s="97">
        <f>247*8*(A238/1973)</f>
        <v>309.46984287886465</v>
      </c>
      <c r="F242" s="26">
        <f>E242/A238</f>
        <v>1.0015205271160668</v>
      </c>
      <c r="G242" s="35">
        <f t="shared" si="45"/>
        <v>3.2362459546925564E-3</v>
      </c>
      <c r="H242" s="145">
        <f>10000*0.53</f>
        <v>5300</v>
      </c>
      <c r="I242" s="83">
        <f t="shared" si="44"/>
        <v>17.15210355987055</v>
      </c>
    </row>
    <row r="243" spans="1:12" s="1" customFormat="1">
      <c r="A243" s="113"/>
      <c r="B243" s="5" t="s">
        <v>41</v>
      </c>
      <c r="C243" s="5" t="s">
        <v>17</v>
      </c>
      <c r="D243" s="5">
        <v>1</v>
      </c>
      <c r="E243" s="97">
        <f>247*8*(A238/1973)</f>
        <v>309.46984287886465</v>
      </c>
      <c r="F243" s="26">
        <f>E243/A238</f>
        <v>1.0015205271160668</v>
      </c>
      <c r="G243" s="35">
        <f t="shared" si="45"/>
        <v>3.2362459546925564E-3</v>
      </c>
      <c r="H243" s="145">
        <f>10180*0.53</f>
        <v>5395.4000000000005</v>
      </c>
      <c r="I243" s="83">
        <f t="shared" si="44"/>
        <v>17.460841423948221</v>
      </c>
    </row>
    <row r="244" spans="1:12" s="1" customFormat="1">
      <c r="A244" s="113"/>
      <c r="B244" s="5" t="s">
        <v>63</v>
      </c>
      <c r="C244" s="5" t="s">
        <v>17</v>
      </c>
      <c r="D244" s="5">
        <v>1</v>
      </c>
      <c r="E244" s="97">
        <f>247*8*(A238/1973)</f>
        <v>309.46984287886465</v>
      </c>
      <c r="F244" s="26">
        <f>E244/A238</f>
        <v>1.0015205271160668</v>
      </c>
      <c r="G244" s="35">
        <f t="shared" si="45"/>
        <v>3.2362459546925564E-3</v>
      </c>
      <c r="H244" s="145">
        <f>30000*0.53</f>
        <v>15900</v>
      </c>
      <c r="I244" s="83">
        <f t="shared" si="44"/>
        <v>51.456310679611647</v>
      </c>
    </row>
    <row r="245" spans="1:12" s="1" customFormat="1">
      <c r="A245" s="113"/>
      <c r="B245" s="31" t="s">
        <v>55</v>
      </c>
      <c r="C245" s="5" t="s">
        <v>17</v>
      </c>
      <c r="D245" s="5">
        <v>1</v>
      </c>
      <c r="E245" s="97">
        <f>247*8*(A238/1973)</f>
        <v>309.46984287886465</v>
      </c>
      <c r="F245" s="26">
        <f>E245/A238</f>
        <v>1.0015205271160668</v>
      </c>
      <c r="G245" s="35">
        <f t="shared" si="45"/>
        <v>3.2362459546925564E-3</v>
      </c>
      <c r="H245" s="145">
        <f>25200*0.53</f>
        <v>13356</v>
      </c>
      <c r="I245" s="83">
        <f t="shared" si="44"/>
        <v>43.22330097087378</v>
      </c>
    </row>
    <row r="246" spans="1:12" s="1" customFormat="1">
      <c r="A246" s="113"/>
      <c r="B246" s="48" t="s">
        <v>82</v>
      </c>
      <c r="C246" s="5" t="s">
        <v>17</v>
      </c>
      <c r="D246" s="5">
        <v>1</v>
      </c>
      <c r="E246" s="97">
        <f>247*8*(A238/1973)</f>
        <v>309.46984287886465</v>
      </c>
      <c r="F246" s="26">
        <f>E246/A238</f>
        <v>1.0015205271160668</v>
      </c>
      <c r="G246" s="35">
        <f t="shared" si="45"/>
        <v>3.2362459546925564E-3</v>
      </c>
      <c r="H246" s="145"/>
      <c r="I246" s="83">
        <f t="shared" si="44"/>
        <v>0</v>
      </c>
    </row>
    <row r="247" spans="1:12" s="1" customFormat="1" ht="30">
      <c r="A247" s="113"/>
      <c r="B247" s="48" t="s">
        <v>111</v>
      </c>
      <c r="C247" s="5" t="s">
        <v>17</v>
      </c>
      <c r="D247" s="5">
        <v>1</v>
      </c>
      <c r="E247" s="97">
        <f>247*8*(A238/1973)</f>
        <v>309.46984287886465</v>
      </c>
      <c r="F247" s="26">
        <f>E247/A238</f>
        <v>1.0015205271160668</v>
      </c>
      <c r="G247" s="35">
        <f t="shared" si="45"/>
        <v>3.2362459546925564E-3</v>
      </c>
      <c r="H247" s="145">
        <f>(108528+52860)*0.53</f>
        <v>85535.64</v>
      </c>
      <c r="I247" s="83">
        <f t="shared" si="44"/>
        <v>276.8143689320388</v>
      </c>
    </row>
    <row r="248" spans="1:12" s="1" customFormat="1">
      <c r="A248" s="107"/>
      <c r="B248" s="48" t="s">
        <v>127</v>
      </c>
      <c r="C248" s="5" t="s">
        <v>17</v>
      </c>
      <c r="D248" s="5">
        <v>1</v>
      </c>
      <c r="E248" s="97">
        <f>247*8*(A238/1973)</f>
        <v>309.46984287886465</v>
      </c>
      <c r="F248" s="26">
        <f>E248/A238</f>
        <v>1.0015205271160668</v>
      </c>
      <c r="G248" s="35">
        <f t="shared" si="45"/>
        <v>3.2362459546925564E-3</v>
      </c>
      <c r="H248" s="145">
        <f>6450*0.53</f>
        <v>3418.5</v>
      </c>
      <c r="I248" s="83">
        <f t="shared" si="44"/>
        <v>11.063106796116504</v>
      </c>
    </row>
    <row r="249" spans="1:12" s="1" customFormat="1">
      <c r="A249" s="107"/>
      <c r="B249" s="48" t="s">
        <v>39</v>
      </c>
      <c r="C249" s="5" t="s">
        <v>17</v>
      </c>
      <c r="D249" s="5">
        <v>1</v>
      </c>
      <c r="E249" s="97">
        <f>247*8*(A238/1973)</f>
        <v>309.46984287886465</v>
      </c>
      <c r="F249" s="26">
        <f>E249/A238</f>
        <v>1.0015205271160668</v>
      </c>
      <c r="G249" s="35">
        <f t="shared" si="45"/>
        <v>3.2362459546925564E-3</v>
      </c>
      <c r="H249" s="145">
        <f>19834*0.53</f>
        <v>10512.02</v>
      </c>
      <c r="I249" s="83">
        <f t="shared" si="44"/>
        <v>34.019482200647246</v>
      </c>
    </row>
    <row r="250" spans="1:12" s="1" customFormat="1">
      <c r="A250" s="107"/>
      <c r="B250" s="48" t="s">
        <v>120</v>
      </c>
      <c r="C250" s="5" t="s">
        <v>17</v>
      </c>
      <c r="D250" s="5">
        <v>1</v>
      </c>
      <c r="E250" s="97">
        <f>247*8*(A238/1973)</f>
        <v>309.46984287886465</v>
      </c>
      <c r="F250" s="26">
        <f>E250/A238</f>
        <v>1.0015205271160668</v>
      </c>
      <c r="G250" s="35">
        <f t="shared" si="45"/>
        <v>3.2362459546925564E-3</v>
      </c>
      <c r="H250" s="145">
        <f>(9043+19368)*0.53</f>
        <v>15057.83</v>
      </c>
      <c r="I250" s="83">
        <f t="shared" si="44"/>
        <v>48.730841423948213</v>
      </c>
    </row>
    <row r="251" spans="1:12" s="1" customFormat="1" ht="13.7" customHeight="1">
      <c r="A251" s="107"/>
      <c r="B251" s="48" t="s">
        <v>113</v>
      </c>
      <c r="C251" s="5" t="s">
        <v>17</v>
      </c>
      <c r="D251" s="5">
        <v>1</v>
      </c>
      <c r="E251" s="97">
        <f>247*8*(A238/1973)</f>
        <v>309.46984287886465</v>
      </c>
      <c r="F251" s="26">
        <f>E251/A238</f>
        <v>1.0015205271160668</v>
      </c>
      <c r="G251" s="35">
        <f t="shared" si="45"/>
        <v>3.2362459546925564E-3</v>
      </c>
      <c r="H251" s="145">
        <f>5176*0.53</f>
        <v>2743.28</v>
      </c>
      <c r="I251" s="83">
        <f t="shared" si="44"/>
        <v>8.8779288025889969</v>
      </c>
    </row>
    <row r="252" spans="1:12" s="1" customFormat="1" ht="15.75" thickBot="1">
      <c r="A252" s="108"/>
      <c r="B252" s="18"/>
      <c r="C252" s="18"/>
      <c r="D252" s="18"/>
      <c r="E252" s="95"/>
      <c r="F252" s="18"/>
      <c r="G252" s="20"/>
      <c r="H252" s="37"/>
      <c r="I252" s="87">
        <f>SUM(I237:I251)</f>
        <v>717.6148543689319</v>
      </c>
      <c r="J252" s="126">
        <f>(44544+108528+32400+14400+30000+25200+19834+6450+20000+10180+9043+20400+19368+5176+52860)*0.53</f>
        <v>221742.99000000002</v>
      </c>
      <c r="K252" s="127">
        <f>I252*A238</f>
        <v>221742.98999999996</v>
      </c>
      <c r="L252" s="127">
        <f>J252-K252</f>
        <v>0</v>
      </c>
    </row>
    <row r="253" spans="1:12" ht="15.75" thickBot="1">
      <c r="I253" s="90"/>
    </row>
    <row r="254" spans="1:12">
      <c r="A254" s="104" t="s">
        <v>94</v>
      </c>
      <c r="B254" s="13" t="s">
        <v>36</v>
      </c>
      <c r="C254" s="13" t="s">
        <v>17</v>
      </c>
      <c r="D254" s="13">
        <v>1</v>
      </c>
      <c r="E254" s="124">
        <f>247*8*(A255/1973)</f>
        <v>490.74505828687273</v>
      </c>
      <c r="F254" s="25">
        <f>E254/A255</f>
        <v>1.0015205271160668</v>
      </c>
      <c r="G254" s="36">
        <f>D254/E254*F254</f>
        <v>2.040816326530612E-3</v>
      </c>
      <c r="H254" s="156">
        <f>148032*0.49</f>
        <v>72535.679999999993</v>
      </c>
      <c r="I254" s="82">
        <f>H254*G254</f>
        <v>148.03199999999995</v>
      </c>
    </row>
    <row r="255" spans="1:12" s="1" customFormat="1">
      <c r="A255" s="112">
        <f>ком.усл!A92</f>
        <v>490</v>
      </c>
      <c r="B255" s="5" t="s">
        <v>37</v>
      </c>
      <c r="C255" s="5" t="s">
        <v>17</v>
      </c>
      <c r="D255" s="5">
        <v>1</v>
      </c>
      <c r="E255" s="97">
        <f>247*8*(A255/1973)</f>
        <v>490.74505828687273</v>
      </c>
      <c r="F255" s="26">
        <f>E255/A255</f>
        <v>1.0015205271160668</v>
      </c>
      <c r="G255" s="35">
        <f>D255/E255*F255</f>
        <v>2.040816326530612E-3</v>
      </c>
      <c r="H255" s="145">
        <f>36000*0.49</f>
        <v>17640</v>
      </c>
      <c r="I255" s="83">
        <f t="shared" ref="I255:I268" si="46">H255*G255</f>
        <v>35.999999999999993</v>
      </c>
    </row>
    <row r="256" spans="1:12" s="1" customFormat="1">
      <c r="A256" s="113"/>
      <c r="B256" s="5" t="s">
        <v>40</v>
      </c>
      <c r="C256" s="5" t="s">
        <v>17</v>
      </c>
      <c r="D256" s="5">
        <v>1</v>
      </c>
      <c r="E256" s="97">
        <f>247*8*(A255/1973)</f>
        <v>490.74505828687273</v>
      </c>
      <c r="F256" s="26">
        <f>E256/A255</f>
        <v>1.0015205271160668</v>
      </c>
      <c r="G256" s="35">
        <f>D256/E256*F256</f>
        <v>2.040816326530612E-3</v>
      </c>
      <c r="H256" s="145"/>
      <c r="I256" s="83">
        <f t="shared" si="46"/>
        <v>0</v>
      </c>
    </row>
    <row r="257" spans="1:12" s="1" customFormat="1">
      <c r="A257" s="113"/>
      <c r="B257" s="5" t="s">
        <v>38</v>
      </c>
      <c r="C257" s="5" t="s">
        <v>17</v>
      </c>
      <c r="D257" s="5">
        <v>1</v>
      </c>
      <c r="E257" s="97">
        <f>247*8*(A255/1973)</f>
        <v>490.74505828687273</v>
      </c>
      <c r="F257" s="26">
        <f>E257/A255</f>
        <v>1.0015205271160668</v>
      </c>
      <c r="G257" s="35">
        <f t="shared" ref="G257:G268" si="47">D257/E257*F257</f>
        <v>2.040816326530612E-3</v>
      </c>
      <c r="H257" s="145">
        <f>40800*0.49</f>
        <v>19992</v>
      </c>
      <c r="I257" s="83">
        <f t="shared" si="46"/>
        <v>40.799999999999997</v>
      </c>
    </row>
    <row r="258" spans="1:12" s="1" customFormat="1">
      <c r="A258" s="113"/>
      <c r="B258" s="5" t="s">
        <v>121</v>
      </c>
      <c r="C258" s="5" t="s">
        <v>17</v>
      </c>
      <c r="D258" s="5">
        <v>1</v>
      </c>
      <c r="E258" s="97">
        <f>247*8*(A255/1973)</f>
        <v>490.74505828687273</v>
      </c>
      <c r="F258" s="26">
        <f>E258/A255</f>
        <v>1.0015205271160668</v>
      </c>
      <c r="G258" s="35">
        <f t="shared" si="47"/>
        <v>2.040816326530612E-3</v>
      </c>
      <c r="H258" s="145"/>
      <c r="I258" s="83">
        <f t="shared" si="46"/>
        <v>0</v>
      </c>
    </row>
    <row r="259" spans="1:12" s="1" customFormat="1">
      <c r="A259" s="113"/>
      <c r="B259" s="5" t="s">
        <v>56</v>
      </c>
      <c r="C259" s="5" t="s">
        <v>17</v>
      </c>
      <c r="D259" s="5">
        <v>1</v>
      </c>
      <c r="E259" s="97">
        <f>247*8*(A255/1973)</f>
        <v>490.74505828687273</v>
      </c>
      <c r="F259" s="26">
        <f>E259/A255</f>
        <v>1.0015205271160668</v>
      </c>
      <c r="G259" s="35">
        <f t="shared" si="47"/>
        <v>2.040816326530612E-3</v>
      </c>
      <c r="H259" s="145">
        <f>14000*0.49</f>
        <v>6860</v>
      </c>
      <c r="I259" s="83">
        <f t="shared" si="46"/>
        <v>13.999999999999998</v>
      </c>
    </row>
    <row r="260" spans="1:12" s="1" customFormat="1">
      <c r="A260" s="113"/>
      <c r="B260" s="5" t="s">
        <v>41</v>
      </c>
      <c r="C260" s="5" t="s">
        <v>17</v>
      </c>
      <c r="D260" s="5">
        <v>1</v>
      </c>
      <c r="E260" s="97">
        <f>247*8*(A255/1973)</f>
        <v>490.74505828687273</v>
      </c>
      <c r="F260" s="26">
        <f>E260/A255</f>
        <v>1.0015205271160668</v>
      </c>
      <c r="G260" s="35">
        <f t="shared" si="47"/>
        <v>2.040816326530612E-3</v>
      </c>
      <c r="H260" s="145">
        <f>75000*0.49</f>
        <v>36750</v>
      </c>
      <c r="I260" s="83">
        <f t="shared" si="46"/>
        <v>74.999999999999986</v>
      </c>
    </row>
    <row r="261" spans="1:12" s="1" customFormat="1">
      <c r="A261" s="113"/>
      <c r="B261" s="5" t="s">
        <v>63</v>
      </c>
      <c r="C261" s="5" t="s">
        <v>17</v>
      </c>
      <c r="D261" s="5">
        <v>1</v>
      </c>
      <c r="E261" s="97">
        <f>247*8*(A255/1973)</f>
        <v>490.74505828687273</v>
      </c>
      <c r="F261" s="26">
        <f>E261/A255</f>
        <v>1.0015205271160668</v>
      </c>
      <c r="G261" s="35">
        <f t="shared" si="47"/>
        <v>2.040816326530612E-3</v>
      </c>
      <c r="H261" s="145">
        <f>60000*0.49</f>
        <v>29400</v>
      </c>
      <c r="I261" s="83">
        <f t="shared" si="46"/>
        <v>59.999999999999993</v>
      </c>
    </row>
    <row r="262" spans="1:12" s="1" customFormat="1">
      <c r="A262" s="113"/>
      <c r="B262" s="31" t="s">
        <v>55</v>
      </c>
      <c r="C262" s="5" t="s">
        <v>17</v>
      </c>
      <c r="D262" s="5">
        <v>1</v>
      </c>
      <c r="E262" s="97">
        <f>247*8*(A255/1973)</f>
        <v>490.74505828687273</v>
      </c>
      <c r="F262" s="26">
        <f>E262/A255</f>
        <v>1.0015205271160668</v>
      </c>
      <c r="G262" s="35">
        <f t="shared" si="47"/>
        <v>2.040816326530612E-3</v>
      </c>
      <c r="H262" s="145">
        <f>43200*0.49</f>
        <v>21168</v>
      </c>
      <c r="I262" s="83">
        <f t="shared" si="46"/>
        <v>43.199999999999996</v>
      </c>
    </row>
    <row r="263" spans="1:12" s="1" customFormat="1">
      <c r="A263" s="113"/>
      <c r="B263" s="48" t="s">
        <v>82</v>
      </c>
      <c r="C263" s="5" t="s">
        <v>17</v>
      </c>
      <c r="D263" s="5">
        <v>1</v>
      </c>
      <c r="E263" s="97">
        <f>247*8*(A255/1973)</f>
        <v>490.74505828687273</v>
      </c>
      <c r="F263" s="26">
        <f>E263/A255</f>
        <v>1.0015205271160668</v>
      </c>
      <c r="G263" s="35">
        <f t="shared" si="47"/>
        <v>2.040816326530612E-3</v>
      </c>
      <c r="H263" s="145">
        <f>16800*0.49</f>
        <v>8232</v>
      </c>
      <c r="I263" s="83">
        <f t="shared" si="46"/>
        <v>16.799999999999997</v>
      </c>
    </row>
    <row r="264" spans="1:12" s="1" customFormat="1">
      <c r="A264" s="113"/>
      <c r="B264" s="48" t="s">
        <v>125</v>
      </c>
      <c r="C264" s="5" t="s">
        <v>17</v>
      </c>
      <c r="D264" s="5">
        <v>1</v>
      </c>
      <c r="E264" s="97">
        <f>247*8*(A255/1973)</f>
        <v>490.74505828687273</v>
      </c>
      <c r="F264" s="26">
        <f>E264/A255</f>
        <v>1.0015205271160668</v>
      </c>
      <c r="G264" s="35">
        <f t="shared" si="47"/>
        <v>2.040816326530612E-3</v>
      </c>
      <c r="H264" s="145">
        <f>11388*0.49</f>
        <v>5580.12</v>
      </c>
      <c r="I264" s="83">
        <f t="shared" si="46"/>
        <v>11.387999999999998</v>
      </c>
    </row>
    <row r="265" spans="1:12" s="1" customFormat="1">
      <c r="A265" s="113"/>
      <c r="B265" s="48" t="s">
        <v>112</v>
      </c>
      <c r="C265" s="5" t="s">
        <v>17</v>
      </c>
      <c r="D265" s="5">
        <v>1</v>
      </c>
      <c r="E265" s="97">
        <f>247*8*(A255/1973)</f>
        <v>490.74505828687273</v>
      </c>
      <c r="F265" s="26">
        <f>E265/A255</f>
        <v>1.0015205271160668</v>
      </c>
      <c r="G265" s="35">
        <f t="shared" si="47"/>
        <v>2.040816326530612E-3</v>
      </c>
      <c r="H265" s="145">
        <f>(167800+20000)*0.49</f>
        <v>92022</v>
      </c>
      <c r="I265" s="83">
        <f t="shared" si="46"/>
        <v>187.79999999999998</v>
      </c>
    </row>
    <row r="266" spans="1:12" s="1" customFormat="1">
      <c r="A266" s="107"/>
      <c r="B266" s="48" t="s">
        <v>39</v>
      </c>
      <c r="C266" s="5" t="s">
        <v>17</v>
      </c>
      <c r="D266" s="5">
        <v>1</v>
      </c>
      <c r="E266" s="97">
        <f>247*8*(A255/1973)</f>
        <v>490.74505828687273</v>
      </c>
      <c r="F266" s="26">
        <f>E266/A255</f>
        <v>1.0015205271160668</v>
      </c>
      <c r="G266" s="35">
        <f t="shared" si="47"/>
        <v>2.040816326530612E-3</v>
      </c>
      <c r="H266" s="145">
        <f>31113.6*0.49</f>
        <v>15245.663999999999</v>
      </c>
      <c r="I266" s="83">
        <f t="shared" si="46"/>
        <v>31.113599999999995</v>
      </c>
    </row>
    <row r="267" spans="1:12" s="1" customFormat="1">
      <c r="A267" s="107"/>
      <c r="B267" s="48" t="s">
        <v>120</v>
      </c>
      <c r="C267" s="5" t="s">
        <v>17</v>
      </c>
      <c r="D267" s="5">
        <v>1</v>
      </c>
      <c r="E267" s="97">
        <f>247*8*(A255/1973)</f>
        <v>490.74505828687273</v>
      </c>
      <c r="F267" s="26">
        <f>E267/A255</f>
        <v>1.0015205271160668</v>
      </c>
      <c r="G267" s="35">
        <f t="shared" si="47"/>
        <v>2.040816326530612E-3</v>
      </c>
      <c r="H267" s="145">
        <f>(11466.4+24145.8)*0.49</f>
        <v>17449.977999999999</v>
      </c>
      <c r="I267" s="83">
        <f t="shared" si="46"/>
        <v>35.612199999999994</v>
      </c>
    </row>
    <row r="268" spans="1:12" s="1" customFormat="1" ht="13.7" customHeight="1">
      <c r="A268" s="107"/>
      <c r="B268" s="48" t="s">
        <v>113</v>
      </c>
      <c r="C268" s="5" t="s">
        <v>17</v>
      </c>
      <c r="D268" s="5">
        <v>1</v>
      </c>
      <c r="E268" s="97">
        <f>247*8*(A255/1973)</f>
        <v>490.74505828687273</v>
      </c>
      <c r="F268" s="26">
        <f>E268/A255</f>
        <v>1.0015205271160668</v>
      </c>
      <c r="G268" s="35">
        <f t="shared" si="47"/>
        <v>2.040816326530612E-3</v>
      </c>
      <c r="H268" s="145">
        <f>3000*0.49</f>
        <v>1470</v>
      </c>
      <c r="I268" s="83">
        <f t="shared" si="46"/>
        <v>2.9999999999999996</v>
      </c>
    </row>
    <row r="269" spans="1:12" s="1" customFormat="1" ht="15.75" thickBot="1">
      <c r="A269" s="108"/>
      <c r="B269" s="18"/>
      <c r="C269" s="18"/>
      <c r="D269" s="18"/>
      <c r="E269" s="95"/>
      <c r="F269" s="18"/>
      <c r="G269" s="20"/>
      <c r="H269" s="37"/>
      <c r="I269" s="87">
        <f>SUM(I254:I268)</f>
        <v>702.74579999999992</v>
      </c>
      <c r="J269" s="126">
        <f>(148032+36000+60000+43200+31113.6+16800+14000+75000+11466.4+167800+60800+24145.8+11388+3000)*0.49</f>
        <v>344345.44200000004</v>
      </c>
      <c r="K269" s="127">
        <f>I269*A255</f>
        <v>344345.44199999998</v>
      </c>
      <c r="L269" s="127">
        <f>J269-K269</f>
        <v>0</v>
      </c>
    </row>
    <row r="270" spans="1:12" ht="15.75" thickBot="1">
      <c r="E270" s="140"/>
      <c r="I270" s="90"/>
    </row>
    <row r="271" spans="1:12">
      <c r="A271" s="104" t="s">
        <v>73</v>
      </c>
      <c r="B271" s="13" t="s">
        <v>36</v>
      </c>
      <c r="C271" s="13" t="s">
        <v>17</v>
      </c>
      <c r="D271" s="13">
        <v>1</v>
      </c>
      <c r="E271" s="124">
        <f>247*8*(A272/1973)</f>
        <v>125.19006588950838</v>
      </c>
      <c r="F271" s="25">
        <f>E271/A272</f>
        <v>1.001520527116067</v>
      </c>
      <c r="G271" s="36">
        <f>D271/E271*F271</f>
        <v>7.9999999999999984E-3</v>
      </c>
      <c r="H271" s="156">
        <f>22272*0.43</f>
        <v>9576.9599999999991</v>
      </c>
      <c r="I271" s="82">
        <f>H271*G271</f>
        <v>76.615679999999983</v>
      </c>
    </row>
    <row r="272" spans="1:12" s="1" customFormat="1">
      <c r="A272" s="112">
        <f>ком.усл!A98</f>
        <v>125</v>
      </c>
      <c r="B272" s="5" t="s">
        <v>37</v>
      </c>
      <c r="C272" s="5" t="s">
        <v>17</v>
      </c>
      <c r="D272" s="5">
        <v>1</v>
      </c>
      <c r="E272" s="97">
        <f>247*8*(A272/1973)</f>
        <v>125.19006588950838</v>
      </c>
      <c r="F272" s="26">
        <f>E272/A272</f>
        <v>1.001520527116067</v>
      </c>
      <c r="G272" s="35">
        <f>D272/E272*F272</f>
        <v>7.9999999999999984E-3</v>
      </c>
      <c r="H272" s="145">
        <f>18000*0.43</f>
        <v>7740</v>
      </c>
      <c r="I272" s="83">
        <f t="shared" ref="I272:I285" si="48">H272*G272</f>
        <v>61.919999999999987</v>
      </c>
    </row>
    <row r="273" spans="1:12" s="1" customFormat="1">
      <c r="A273" s="113"/>
      <c r="B273" s="5" t="s">
        <v>40</v>
      </c>
      <c r="C273" s="5" t="s">
        <v>17</v>
      </c>
      <c r="D273" s="5">
        <v>1</v>
      </c>
      <c r="E273" s="97">
        <f>247*8*(A272/1973)</f>
        <v>125.19006588950838</v>
      </c>
      <c r="F273" s="26">
        <f>E273/A272</f>
        <v>1.001520527116067</v>
      </c>
      <c r="G273" s="35">
        <f>D273/E273*F273</f>
        <v>7.9999999999999984E-3</v>
      </c>
      <c r="H273" s="145">
        <f>12000*0.43</f>
        <v>5160</v>
      </c>
      <c r="I273" s="83">
        <f t="shared" si="48"/>
        <v>41.279999999999994</v>
      </c>
    </row>
    <row r="274" spans="1:12" s="1" customFormat="1">
      <c r="A274" s="113"/>
      <c r="B274" s="5" t="s">
        <v>38</v>
      </c>
      <c r="C274" s="5" t="s">
        <v>17</v>
      </c>
      <c r="D274" s="5">
        <v>1</v>
      </c>
      <c r="E274" s="97">
        <f>247*8*(A272/1973)</f>
        <v>125.19006588950838</v>
      </c>
      <c r="F274" s="26">
        <f>E274/A272</f>
        <v>1.001520527116067</v>
      </c>
      <c r="G274" s="35">
        <f t="shared" ref="G274:G285" si="49">D274/E274*F274</f>
        <v>7.9999999999999984E-3</v>
      </c>
      <c r="H274" s="145">
        <f>20400*0.43</f>
        <v>8772</v>
      </c>
      <c r="I274" s="83">
        <f t="shared" si="48"/>
        <v>70.175999999999988</v>
      </c>
    </row>
    <row r="275" spans="1:12" s="1" customFormat="1">
      <c r="A275" s="113"/>
      <c r="B275" s="5" t="s">
        <v>96</v>
      </c>
      <c r="C275" s="5" t="s">
        <v>17</v>
      </c>
      <c r="D275" s="5">
        <v>1</v>
      </c>
      <c r="E275" s="97">
        <f>247*8*(A272/1973)</f>
        <v>125.19006588950838</v>
      </c>
      <c r="F275" s="26">
        <f>E275/A272</f>
        <v>1.001520527116067</v>
      </c>
      <c r="G275" s="35">
        <f t="shared" si="49"/>
        <v>7.9999999999999984E-3</v>
      </c>
      <c r="H275" s="145">
        <f>30600*0.43</f>
        <v>13158</v>
      </c>
      <c r="I275" s="83">
        <f t="shared" si="48"/>
        <v>105.26399999999998</v>
      </c>
    </row>
    <row r="276" spans="1:12" s="1" customFormat="1">
      <c r="A276" s="113"/>
      <c r="B276" s="5" t="s">
        <v>56</v>
      </c>
      <c r="C276" s="5" t="s">
        <v>17</v>
      </c>
      <c r="D276" s="5">
        <v>1</v>
      </c>
      <c r="E276" s="97">
        <f>247*8*(A272/1973)</f>
        <v>125.19006588950838</v>
      </c>
      <c r="F276" s="26">
        <f>E276/A272</f>
        <v>1.001520527116067</v>
      </c>
      <c r="G276" s="35">
        <f t="shared" si="49"/>
        <v>7.9999999999999984E-3</v>
      </c>
      <c r="H276" s="145">
        <f>6000*0.43</f>
        <v>2580</v>
      </c>
      <c r="I276" s="83">
        <f t="shared" si="48"/>
        <v>20.639999999999997</v>
      </c>
    </row>
    <row r="277" spans="1:12" s="1" customFormat="1">
      <c r="A277" s="113"/>
      <c r="B277" s="5" t="s">
        <v>41</v>
      </c>
      <c r="C277" s="5" t="s">
        <v>17</v>
      </c>
      <c r="D277" s="5">
        <v>1</v>
      </c>
      <c r="E277" s="97">
        <f>247*8*(A272/1973)</f>
        <v>125.19006588950838</v>
      </c>
      <c r="F277" s="26">
        <f>E277/A272</f>
        <v>1.001520527116067</v>
      </c>
      <c r="G277" s="35">
        <f t="shared" si="49"/>
        <v>7.9999999999999984E-3</v>
      </c>
      <c r="H277" s="145">
        <f>11040*0.43</f>
        <v>4747.2</v>
      </c>
      <c r="I277" s="83">
        <f t="shared" si="48"/>
        <v>37.977599999999988</v>
      </c>
    </row>
    <row r="278" spans="1:12" s="1" customFormat="1">
      <c r="A278" s="113"/>
      <c r="B278" s="5" t="s">
        <v>63</v>
      </c>
      <c r="C278" s="5" t="s">
        <v>17</v>
      </c>
      <c r="D278" s="5">
        <v>1</v>
      </c>
      <c r="E278" s="97">
        <f>247*8*(A272/1973)</f>
        <v>125.19006588950838</v>
      </c>
      <c r="F278" s="26">
        <f>E278/A272</f>
        <v>1.001520527116067</v>
      </c>
      <c r="G278" s="35">
        <f t="shared" si="49"/>
        <v>7.9999999999999984E-3</v>
      </c>
      <c r="H278" s="145">
        <f>30000*0.43</f>
        <v>12900</v>
      </c>
      <c r="I278" s="83">
        <f t="shared" si="48"/>
        <v>103.19999999999997</v>
      </c>
    </row>
    <row r="279" spans="1:12" s="1" customFormat="1">
      <c r="A279" s="113"/>
      <c r="B279" s="31" t="s">
        <v>55</v>
      </c>
      <c r="C279" s="5" t="s">
        <v>17</v>
      </c>
      <c r="D279" s="5">
        <v>1</v>
      </c>
      <c r="E279" s="97">
        <f>247*8*(A272/1973)</f>
        <v>125.19006588950838</v>
      </c>
      <c r="F279" s="26">
        <f>E279/A272</f>
        <v>1.001520527116067</v>
      </c>
      <c r="G279" s="35">
        <f t="shared" si="49"/>
        <v>7.9999999999999984E-3</v>
      </c>
      <c r="H279" s="145">
        <f>19200*0.43</f>
        <v>8256</v>
      </c>
      <c r="I279" s="83">
        <f t="shared" si="48"/>
        <v>66.047999999999988</v>
      </c>
    </row>
    <row r="280" spans="1:12" s="1" customFormat="1">
      <c r="A280" s="113"/>
      <c r="B280" s="48" t="s">
        <v>82</v>
      </c>
      <c r="C280" s="5" t="s">
        <v>17</v>
      </c>
      <c r="D280" s="5">
        <v>1</v>
      </c>
      <c r="E280" s="97">
        <f>247*8*(A272/1973)</f>
        <v>125.19006588950838</v>
      </c>
      <c r="F280" s="26">
        <f>E280/A272</f>
        <v>1.001520527116067</v>
      </c>
      <c r="G280" s="35">
        <f t="shared" si="49"/>
        <v>7.9999999999999984E-3</v>
      </c>
      <c r="H280" s="145">
        <f>14400*0.43</f>
        <v>6192</v>
      </c>
      <c r="I280" s="83">
        <f t="shared" si="48"/>
        <v>49.535999999999987</v>
      </c>
    </row>
    <row r="281" spans="1:12" s="1" customFormat="1">
      <c r="A281" s="113"/>
      <c r="B281" s="48" t="s">
        <v>128</v>
      </c>
      <c r="C281" s="5" t="s">
        <v>17</v>
      </c>
      <c r="D281" s="5">
        <v>1</v>
      </c>
      <c r="E281" s="97">
        <f>247*8*(A272/1973)</f>
        <v>125.19006588950838</v>
      </c>
      <c r="F281" s="26">
        <f>E281/A272</f>
        <v>1.001520527116067</v>
      </c>
      <c r="G281" s="35">
        <f t="shared" si="49"/>
        <v>7.9999999999999984E-3</v>
      </c>
      <c r="H281" s="145">
        <f>125461*0.43</f>
        <v>53948.229999999996</v>
      </c>
      <c r="I281" s="83">
        <f t="shared" si="48"/>
        <v>431.58583999999991</v>
      </c>
    </row>
    <row r="282" spans="1:12" s="1" customFormat="1">
      <c r="A282" s="113"/>
      <c r="B282" s="48" t="s">
        <v>112</v>
      </c>
      <c r="C282" s="5" t="s">
        <v>17</v>
      </c>
      <c r="D282" s="5">
        <v>1</v>
      </c>
      <c r="E282" s="97">
        <f>247*8*(A272/1973)</f>
        <v>125.19006588950838</v>
      </c>
      <c r="F282" s="26">
        <f>E282/A272</f>
        <v>1.001520527116067</v>
      </c>
      <c r="G282" s="35">
        <f t="shared" si="49"/>
        <v>7.9999999999999984E-3</v>
      </c>
      <c r="H282" s="145">
        <f>14600*0.43</f>
        <v>6278</v>
      </c>
      <c r="I282" s="83">
        <f t="shared" si="48"/>
        <v>50.22399999999999</v>
      </c>
    </row>
    <row r="283" spans="1:12" s="1" customFormat="1">
      <c r="A283" s="107"/>
      <c r="B283" s="48" t="s">
        <v>39</v>
      </c>
      <c r="C283" s="5" t="s">
        <v>17</v>
      </c>
      <c r="D283" s="5">
        <v>1</v>
      </c>
      <c r="E283" s="97">
        <f>247*8*(A272/1973)</f>
        <v>125.19006588950838</v>
      </c>
      <c r="F283" s="26">
        <f>E283/A272</f>
        <v>1.001520527116067</v>
      </c>
      <c r="G283" s="35">
        <f t="shared" si="49"/>
        <v>7.9999999999999984E-3</v>
      </c>
      <c r="H283" s="145">
        <f>13764*0.43</f>
        <v>5918.5199999999995</v>
      </c>
      <c r="I283" s="83">
        <f t="shared" si="48"/>
        <v>47.348159999999986</v>
      </c>
    </row>
    <row r="284" spans="1:12" s="1" customFormat="1">
      <c r="A284" s="107"/>
      <c r="B284" s="48" t="s">
        <v>120</v>
      </c>
      <c r="C284" s="5" t="s">
        <v>17</v>
      </c>
      <c r="D284" s="5">
        <v>1</v>
      </c>
      <c r="E284" s="97">
        <f>247*8*(A272/1973)</f>
        <v>125.19006588950838</v>
      </c>
      <c r="F284" s="26">
        <f>E284/A272</f>
        <v>1.001520527116067</v>
      </c>
      <c r="G284" s="35">
        <f t="shared" si="49"/>
        <v>7.9999999999999984E-3</v>
      </c>
      <c r="H284" s="145">
        <f>(2297+2688+13080)*0.43</f>
        <v>7767.95</v>
      </c>
      <c r="I284" s="83">
        <f t="shared" si="48"/>
        <v>62.143599999999985</v>
      </c>
    </row>
    <row r="285" spans="1:12" s="1" customFormat="1" ht="13.7" customHeight="1">
      <c r="A285" s="107"/>
      <c r="B285" s="48" t="s">
        <v>113</v>
      </c>
      <c r="C285" s="5" t="s">
        <v>17</v>
      </c>
      <c r="D285" s="5">
        <v>1</v>
      </c>
      <c r="E285" s="97">
        <f>247*8*(A272/1973)</f>
        <v>125.19006588950838</v>
      </c>
      <c r="F285" s="26">
        <f>E285/A272</f>
        <v>1.001520527116067</v>
      </c>
      <c r="G285" s="35">
        <f t="shared" si="49"/>
        <v>7.9999999999999984E-3</v>
      </c>
      <c r="H285" s="145">
        <f>4600*0.43</f>
        <v>1978</v>
      </c>
      <c r="I285" s="83">
        <f t="shared" si="48"/>
        <v>15.823999999999996</v>
      </c>
    </row>
    <row r="286" spans="1:12" s="1" customFormat="1" ht="15.75" thickBot="1">
      <c r="A286" s="108"/>
      <c r="B286" s="18"/>
      <c r="C286" s="18"/>
      <c r="D286" s="18"/>
      <c r="E286" s="95"/>
      <c r="F286" s="18"/>
      <c r="G286" s="20"/>
      <c r="H286" s="37"/>
      <c r="I286" s="87">
        <f>SUM(I271:I285)</f>
        <v>1239.7828799999995</v>
      </c>
      <c r="J286" s="126">
        <f>(22272+18000+12000+30000+19200+13764+14400+8600+6000+30600+11040+2297+2688+6000+20400+125461+13080+4600)*0.43</f>
        <v>154972.85999999999</v>
      </c>
      <c r="K286" s="127">
        <f>I286*A272</f>
        <v>154972.85999999993</v>
      </c>
      <c r="L286" s="127">
        <f>J286-K286</f>
        <v>0</v>
      </c>
    </row>
    <row r="287" spans="1:12">
      <c r="A287" s="104" t="s">
        <v>74</v>
      </c>
      <c r="B287" s="13" t="s">
        <v>36</v>
      </c>
      <c r="C287" s="13" t="s">
        <v>17</v>
      </c>
      <c r="D287" s="13">
        <v>1</v>
      </c>
      <c r="E287" s="124">
        <f>247*8*(A288/1973)</f>
        <v>131.19918905220476</v>
      </c>
      <c r="F287" s="25">
        <f>E287/A288</f>
        <v>1.0015205271160668</v>
      </c>
      <c r="G287" s="36">
        <f>D287/E287*F287</f>
        <v>7.6335877862595417E-3</v>
      </c>
      <c r="H287" s="156">
        <f>22272*0.51</f>
        <v>11358.72</v>
      </c>
      <c r="I287" s="82">
        <f>H287*G287</f>
        <v>86.707786259541976</v>
      </c>
    </row>
    <row r="288" spans="1:12" s="1" customFormat="1">
      <c r="A288" s="112">
        <f>ком.усл!A103</f>
        <v>131</v>
      </c>
      <c r="B288" s="5" t="s">
        <v>37</v>
      </c>
      <c r="C288" s="5" t="s">
        <v>17</v>
      </c>
      <c r="D288" s="5">
        <v>1</v>
      </c>
      <c r="E288" s="97">
        <f>247*8*(A288/1973)</f>
        <v>131.19918905220476</v>
      </c>
      <c r="F288" s="26">
        <f>E288/A288</f>
        <v>1.0015205271160668</v>
      </c>
      <c r="G288" s="35">
        <f>D288/E288*F288</f>
        <v>7.6335877862595417E-3</v>
      </c>
      <c r="H288" s="145">
        <f>19200*0.51</f>
        <v>9792</v>
      </c>
      <c r="I288" s="83">
        <f t="shared" ref="I288:I301" si="50">H288*G288</f>
        <v>74.748091603053439</v>
      </c>
    </row>
    <row r="289" spans="1:20" s="1" customFormat="1">
      <c r="A289" s="113"/>
      <c r="B289" s="5" t="s">
        <v>40</v>
      </c>
      <c r="C289" s="5" t="s">
        <v>17</v>
      </c>
      <c r="D289" s="5">
        <v>1</v>
      </c>
      <c r="E289" s="97">
        <f>247*8*(A288/1973)</f>
        <v>131.19918905220476</v>
      </c>
      <c r="F289" s="26">
        <f>E289/A288</f>
        <v>1.0015205271160668</v>
      </c>
      <c r="G289" s="35">
        <f>D289/E289*F289</f>
        <v>7.6335877862595417E-3</v>
      </c>
      <c r="H289" s="145">
        <f>6000*0.51</f>
        <v>3060</v>
      </c>
      <c r="I289" s="83">
        <f t="shared" si="50"/>
        <v>23.358778625954198</v>
      </c>
    </row>
    <row r="290" spans="1:20" s="1" customFormat="1">
      <c r="A290" s="113"/>
      <c r="B290" s="5" t="s">
        <v>38</v>
      </c>
      <c r="C290" s="5" t="s">
        <v>17</v>
      </c>
      <c r="D290" s="5">
        <v>1</v>
      </c>
      <c r="E290" s="97">
        <f>247*8*(A288/1973)</f>
        <v>131.19918905220476</v>
      </c>
      <c r="F290" s="26">
        <f>E290/A288</f>
        <v>1.0015205271160668</v>
      </c>
      <c r="G290" s="35">
        <f t="shared" ref="G290:G295" si="51">D290/E290*F290</f>
        <v>7.6335877862595417E-3</v>
      </c>
      <c r="H290" s="145">
        <f>(6000+20400)*0.51</f>
        <v>13464</v>
      </c>
      <c r="I290" s="83">
        <f t="shared" si="50"/>
        <v>102.77862595419847</v>
      </c>
    </row>
    <row r="291" spans="1:20" s="1" customFormat="1">
      <c r="A291" s="113"/>
      <c r="B291" s="5" t="s">
        <v>96</v>
      </c>
      <c r="C291" s="5" t="s">
        <v>17</v>
      </c>
      <c r="D291" s="5">
        <v>1</v>
      </c>
      <c r="E291" s="97">
        <f>247*8*(A288/1973)</f>
        <v>131.19918905220476</v>
      </c>
      <c r="F291" s="26">
        <f>E291/A288</f>
        <v>1.0015205271160668</v>
      </c>
      <c r="G291" s="35">
        <f t="shared" si="51"/>
        <v>7.6335877862595417E-3</v>
      </c>
      <c r="H291" s="145"/>
      <c r="I291" s="83">
        <f t="shared" si="50"/>
        <v>0</v>
      </c>
    </row>
    <row r="292" spans="1:20" s="1" customFormat="1">
      <c r="A292" s="113"/>
      <c r="B292" s="5" t="s">
        <v>56</v>
      </c>
      <c r="C292" s="5" t="s">
        <v>17</v>
      </c>
      <c r="D292" s="5">
        <v>1</v>
      </c>
      <c r="E292" s="97">
        <f>247*8*(A288/1973)</f>
        <v>131.19918905220476</v>
      </c>
      <c r="F292" s="26">
        <f>E292/A288</f>
        <v>1.0015205271160668</v>
      </c>
      <c r="G292" s="35">
        <f t="shared" si="51"/>
        <v>7.6335877862595417E-3</v>
      </c>
      <c r="H292" s="145">
        <f>16000*0.51</f>
        <v>8160</v>
      </c>
      <c r="I292" s="83">
        <f t="shared" si="50"/>
        <v>62.290076335877863</v>
      </c>
    </row>
    <row r="293" spans="1:20" s="1" customFormat="1">
      <c r="A293" s="113"/>
      <c r="B293" s="5" t="s">
        <v>41</v>
      </c>
      <c r="C293" s="5" t="s">
        <v>17</v>
      </c>
      <c r="D293" s="5">
        <v>1</v>
      </c>
      <c r="E293" s="97">
        <f>247*8*(A288/1973)</f>
        <v>131.19918905220476</v>
      </c>
      <c r="F293" s="26">
        <f>E293/A288</f>
        <v>1.0015205271160668</v>
      </c>
      <c r="G293" s="35">
        <f t="shared" si="51"/>
        <v>7.6335877862595417E-3</v>
      </c>
      <c r="H293" s="145">
        <f>19590*0.51</f>
        <v>9990.9</v>
      </c>
      <c r="I293" s="83">
        <f t="shared" si="50"/>
        <v>76.266412213740452</v>
      </c>
    </row>
    <row r="294" spans="1:20" s="1" customFormat="1">
      <c r="A294" s="113"/>
      <c r="B294" s="5" t="s">
        <v>63</v>
      </c>
      <c r="C294" s="5" t="s">
        <v>17</v>
      </c>
      <c r="D294" s="5">
        <v>1</v>
      </c>
      <c r="E294" s="97">
        <f>247*8*(A288/1973)</f>
        <v>131.19918905220476</v>
      </c>
      <c r="F294" s="26">
        <f>E294/A288</f>
        <v>1.0015205271160668</v>
      </c>
      <c r="G294" s="35">
        <f t="shared" si="51"/>
        <v>7.6335877862595417E-3</v>
      </c>
      <c r="H294" s="145">
        <f>30000*0.51</f>
        <v>15300</v>
      </c>
      <c r="I294" s="83">
        <f t="shared" si="50"/>
        <v>116.79389312977099</v>
      </c>
    </row>
    <row r="295" spans="1:20" s="1" customFormat="1">
      <c r="A295" s="113"/>
      <c r="B295" s="31" t="s">
        <v>55</v>
      </c>
      <c r="C295" s="5" t="s">
        <v>17</v>
      </c>
      <c r="D295" s="5">
        <v>1</v>
      </c>
      <c r="E295" s="97">
        <f>247*8*(A288/1973)</f>
        <v>131.19918905220476</v>
      </c>
      <c r="F295" s="26">
        <f>E295/A288</f>
        <v>1.0015205271160668</v>
      </c>
      <c r="G295" s="35">
        <f t="shared" si="51"/>
        <v>7.6335877862595417E-3</v>
      </c>
      <c r="H295" s="145">
        <f>26400*0.51</f>
        <v>13464</v>
      </c>
      <c r="I295" s="83">
        <f t="shared" si="50"/>
        <v>102.77862595419847</v>
      </c>
    </row>
    <row r="296" spans="1:20" s="1" customFormat="1">
      <c r="A296" s="113"/>
      <c r="B296" s="48" t="s">
        <v>82</v>
      </c>
      <c r="C296" s="5" t="s">
        <v>17</v>
      </c>
      <c r="D296" s="5">
        <v>1</v>
      </c>
      <c r="E296" s="97">
        <f>247*8*(A288/1973)</f>
        <v>131.19918905220476</v>
      </c>
      <c r="F296" s="26">
        <f>E296/A288</f>
        <v>1.0015205271160668</v>
      </c>
      <c r="G296" s="35">
        <f>D296/E296*F296</f>
        <v>7.6335877862595417E-3</v>
      </c>
      <c r="H296" s="145">
        <f>18000*0.51</f>
        <v>9180</v>
      </c>
      <c r="I296" s="83">
        <f t="shared" si="50"/>
        <v>70.07633587786259</v>
      </c>
    </row>
    <row r="297" spans="1:20" s="1" customFormat="1">
      <c r="A297" s="113"/>
      <c r="B297" s="48" t="s">
        <v>129</v>
      </c>
      <c r="C297" s="5" t="s">
        <v>17</v>
      </c>
      <c r="D297" s="5">
        <v>1</v>
      </c>
      <c r="E297" s="97">
        <f>247*8*(A288/1973)</f>
        <v>131.19918905220476</v>
      </c>
      <c r="F297" s="26">
        <f>E297/A288</f>
        <v>1.0015205271160668</v>
      </c>
      <c r="G297" s="35">
        <f t="shared" ref="G297:G301" si="52">D297/E297*F297</f>
        <v>7.6335877862595417E-3</v>
      </c>
      <c r="H297" s="145">
        <f>150000*0.51</f>
        <v>76500</v>
      </c>
      <c r="I297" s="83">
        <f t="shared" si="50"/>
        <v>583.96946564885491</v>
      </c>
    </row>
    <row r="298" spans="1:20" s="1" customFormat="1">
      <c r="A298" s="107"/>
      <c r="B298" s="48" t="s">
        <v>112</v>
      </c>
      <c r="C298" s="5" t="s">
        <v>17</v>
      </c>
      <c r="D298" s="5">
        <v>1</v>
      </c>
      <c r="E298" s="97">
        <f>247*8*(A288/1973)</f>
        <v>131.19918905220476</v>
      </c>
      <c r="F298" s="26">
        <f>E298/A288</f>
        <v>1.0015205271160668</v>
      </c>
      <c r="G298" s="35">
        <f t="shared" si="52"/>
        <v>7.6335877862595417E-3</v>
      </c>
      <c r="H298" s="145"/>
      <c r="I298" s="83">
        <f t="shared" si="50"/>
        <v>0</v>
      </c>
    </row>
    <row r="299" spans="1:20" s="1" customFormat="1">
      <c r="A299" s="107"/>
      <c r="B299" s="48" t="s">
        <v>39</v>
      </c>
      <c r="C299" s="5" t="s">
        <v>17</v>
      </c>
      <c r="D299" s="5">
        <v>1</v>
      </c>
      <c r="E299" s="97">
        <f>247*8*(A288/1973)</f>
        <v>131.19918905220476</v>
      </c>
      <c r="F299" s="26">
        <f>E299/A288</f>
        <v>1.0015205271160668</v>
      </c>
      <c r="G299" s="35">
        <f t="shared" si="52"/>
        <v>7.6335877862595417E-3</v>
      </c>
      <c r="H299" s="145">
        <f>18780*0.51</f>
        <v>9577.7999999999993</v>
      </c>
      <c r="I299" s="83">
        <f t="shared" si="50"/>
        <v>73.11297709923663</v>
      </c>
    </row>
    <row r="300" spans="1:20" s="1" customFormat="1">
      <c r="A300" s="107"/>
      <c r="B300" s="48" t="s">
        <v>120</v>
      </c>
      <c r="C300" s="5" t="s">
        <v>17</v>
      </c>
      <c r="D300" s="5">
        <v>1</v>
      </c>
      <c r="E300" s="97">
        <f>247*8*(A288/1973)</f>
        <v>131.19918905220476</v>
      </c>
      <c r="F300" s="26">
        <f>E300/A288</f>
        <v>1.0015205271160668</v>
      </c>
      <c r="G300" s="35">
        <f t="shared" si="52"/>
        <v>7.6335877862595417E-3</v>
      </c>
      <c r="H300" s="145">
        <f>(2300+13084+2990)*0.51</f>
        <v>9370.74</v>
      </c>
      <c r="I300" s="83">
        <f t="shared" si="50"/>
        <v>71.532366412213733</v>
      </c>
    </row>
    <row r="301" spans="1:20" s="1" customFormat="1" ht="13.7" customHeight="1">
      <c r="A301" s="107"/>
      <c r="B301" s="48" t="s">
        <v>113</v>
      </c>
      <c r="C301" s="5" t="s">
        <v>17</v>
      </c>
      <c r="D301" s="5">
        <v>1</v>
      </c>
      <c r="E301" s="97">
        <f>247*8*(A288/1973)</f>
        <v>131.19918905220476</v>
      </c>
      <c r="F301" s="26">
        <f>E301/A288</f>
        <v>1.0015205271160668</v>
      </c>
      <c r="G301" s="35">
        <f t="shared" si="52"/>
        <v>7.6335877862595417E-3</v>
      </c>
      <c r="H301" s="145">
        <f>5000*0.51</f>
        <v>2550</v>
      </c>
      <c r="I301" s="83">
        <f t="shared" si="50"/>
        <v>19.465648854961831</v>
      </c>
    </row>
    <row r="302" spans="1:20" s="1" customFormat="1" ht="15.75" thickBot="1">
      <c r="A302" s="108"/>
      <c r="B302" s="18"/>
      <c r="C302" s="18"/>
      <c r="D302" s="18"/>
      <c r="E302" s="95"/>
      <c r="F302" s="18"/>
      <c r="G302" s="20"/>
      <c r="H302" s="37"/>
      <c r="I302" s="87">
        <f>SUM(I287:I301)</f>
        <v>1463.8790839694655</v>
      </c>
      <c r="J302" s="126">
        <f>(22272+19200+12000+56400+18780+18000+16000+19590+2300+2990+20400+13084+150000+5000)*0.51</f>
        <v>191768.16</v>
      </c>
      <c r="K302" s="127">
        <f>I302*A288</f>
        <v>191768.15999999997</v>
      </c>
      <c r="L302" s="127">
        <f>J302-K302</f>
        <v>0</v>
      </c>
    </row>
    <row r="303" spans="1:20">
      <c r="I303" s="72"/>
    </row>
    <row r="304" spans="1:20" ht="19.5" thickBot="1">
      <c r="A304" s="100" t="s">
        <v>77</v>
      </c>
      <c r="H304"/>
      <c r="I304" s="72"/>
      <c r="S304" s="1"/>
      <c r="T304" s="1"/>
    </row>
    <row r="305" spans="1:11" ht="105">
      <c r="A305" s="102" t="s">
        <v>2</v>
      </c>
      <c r="B305" s="21" t="s">
        <v>15</v>
      </c>
      <c r="C305" s="21" t="s">
        <v>14</v>
      </c>
      <c r="D305" s="21" t="s">
        <v>16</v>
      </c>
      <c r="E305" s="133" t="s">
        <v>27</v>
      </c>
      <c r="F305" s="21" t="s">
        <v>54</v>
      </c>
      <c r="G305" s="21" t="s">
        <v>29</v>
      </c>
      <c r="H305" s="21" t="s">
        <v>30</v>
      </c>
      <c r="I305" s="79" t="s">
        <v>11</v>
      </c>
      <c r="J305" s="2" t="s">
        <v>34</v>
      </c>
      <c r="K305" s="2" t="s">
        <v>33</v>
      </c>
    </row>
    <row r="306" spans="1:11" ht="15.75" thickBot="1">
      <c r="A306" s="111">
        <v>1</v>
      </c>
      <c r="B306" s="10">
        <v>2</v>
      </c>
      <c r="C306" s="10">
        <v>3</v>
      </c>
      <c r="D306" s="10">
        <v>4</v>
      </c>
      <c r="E306" s="118">
        <v>5</v>
      </c>
      <c r="F306" s="10">
        <v>6</v>
      </c>
      <c r="G306" s="10" t="s">
        <v>31</v>
      </c>
      <c r="H306" s="9">
        <v>8</v>
      </c>
      <c r="I306" s="80" t="s">
        <v>32</v>
      </c>
    </row>
    <row r="307" spans="1:11">
      <c r="A307" s="104" t="s">
        <v>64</v>
      </c>
      <c r="B307" s="13" t="s">
        <v>36</v>
      </c>
      <c r="C307" s="13" t="s">
        <v>17</v>
      </c>
      <c r="D307" s="13">
        <v>1</v>
      </c>
      <c r="E307" s="124">
        <f>247*8*(A308/1973)</f>
        <v>52.079067410035478</v>
      </c>
      <c r="F307" s="25">
        <f>E307/A308</f>
        <v>1.001520527116067</v>
      </c>
      <c r="G307" s="36">
        <f>D307/E307*F307</f>
        <v>1.9230769230769232E-2</v>
      </c>
      <c r="H307" s="156">
        <f>59400*0.12</f>
        <v>7128</v>
      </c>
      <c r="I307" s="82">
        <f>H307*G307</f>
        <v>137.07692307692309</v>
      </c>
    </row>
    <row r="308" spans="1:11" s="1" customFormat="1">
      <c r="A308" s="112">
        <f>ком.усл!A113</f>
        <v>52</v>
      </c>
      <c r="B308" s="5" t="s">
        <v>37</v>
      </c>
      <c r="C308" s="5" t="s">
        <v>17</v>
      </c>
      <c r="D308" s="5">
        <v>1</v>
      </c>
      <c r="E308" s="97">
        <f>247*8*(A308/1973)</f>
        <v>52.079067410035478</v>
      </c>
      <c r="F308" s="26">
        <f>E308/A308</f>
        <v>1.001520527116067</v>
      </c>
      <c r="G308" s="35">
        <f>D308/E308*F308</f>
        <v>1.9230769230769232E-2</v>
      </c>
      <c r="H308" s="145">
        <f>19200*0.12</f>
        <v>2304</v>
      </c>
      <c r="I308" s="83">
        <f t="shared" ref="I308:I321" si="53">H308*G308</f>
        <v>44.307692307692307</v>
      </c>
    </row>
    <row r="309" spans="1:11" s="1" customFormat="1">
      <c r="A309" s="113"/>
      <c r="B309" s="5" t="s">
        <v>40</v>
      </c>
      <c r="C309" s="5" t="s">
        <v>17</v>
      </c>
      <c r="D309" s="5">
        <v>1</v>
      </c>
      <c r="E309" s="97">
        <f>247*8*(A308/1973)</f>
        <v>52.079067410035478</v>
      </c>
      <c r="F309" s="26">
        <f>E309/A308</f>
        <v>1.001520527116067</v>
      </c>
      <c r="G309" s="35">
        <f>D309/E309*F309</f>
        <v>1.9230769230769232E-2</v>
      </c>
      <c r="H309" s="145">
        <f>12000*0.12</f>
        <v>1440</v>
      </c>
      <c r="I309" s="83">
        <f t="shared" si="53"/>
        <v>27.692307692307693</v>
      </c>
    </row>
    <row r="310" spans="1:11" s="1" customFormat="1">
      <c r="A310" s="113"/>
      <c r="B310" s="5" t="s">
        <v>38</v>
      </c>
      <c r="C310" s="5" t="s">
        <v>17</v>
      </c>
      <c r="D310" s="5">
        <v>1</v>
      </c>
      <c r="E310" s="97">
        <f>247*8*(A308/1973)</f>
        <v>52.079067410035478</v>
      </c>
      <c r="F310" s="26">
        <f>E310/A308</f>
        <v>1.001520527116067</v>
      </c>
      <c r="G310" s="35">
        <f t="shared" ref="G310:G321" si="54">D310/E310*F310</f>
        <v>1.9230769230769232E-2</v>
      </c>
      <c r="H310" s="145">
        <f>(6240+24000)*0.12</f>
        <v>3628.7999999999997</v>
      </c>
      <c r="I310" s="83">
        <f t="shared" si="53"/>
        <v>69.784615384615378</v>
      </c>
    </row>
    <row r="311" spans="1:11" s="1" customFormat="1">
      <c r="A311" s="113"/>
      <c r="B311" s="5" t="s">
        <v>96</v>
      </c>
      <c r="C311" s="5" t="s">
        <v>17</v>
      </c>
      <c r="D311" s="5">
        <v>1</v>
      </c>
      <c r="E311" s="97">
        <f>247*8*(A308/1973)</f>
        <v>52.079067410035478</v>
      </c>
      <c r="F311" s="26">
        <f>E311/A308</f>
        <v>1.001520527116067</v>
      </c>
      <c r="G311" s="35">
        <f t="shared" si="54"/>
        <v>1.9230769230769232E-2</v>
      </c>
      <c r="H311" s="145">
        <f>29000*0.12</f>
        <v>3480</v>
      </c>
      <c r="I311" s="83">
        <f t="shared" si="53"/>
        <v>66.92307692307692</v>
      </c>
    </row>
    <row r="312" spans="1:11" s="1" customFormat="1">
      <c r="A312" s="113"/>
      <c r="B312" s="5" t="s">
        <v>56</v>
      </c>
      <c r="C312" s="5" t="s">
        <v>17</v>
      </c>
      <c r="D312" s="5">
        <v>1</v>
      </c>
      <c r="E312" s="97">
        <f>247*8*(A308/1973)</f>
        <v>52.079067410035478</v>
      </c>
      <c r="F312" s="26">
        <f>E312/A308</f>
        <v>1.001520527116067</v>
      </c>
      <c r="G312" s="35">
        <f t="shared" si="54"/>
        <v>1.9230769230769232E-2</v>
      </c>
      <c r="H312" s="145">
        <f>15000*0.12</f>
        <v>1800</v>
      </c>
      <c r="I312" s="83">
        <f t="shared" si="53"/>
        <v>34.61538461538462</v>
      </c>
    </row>
    <row r="313" spans="1:11" s="1" customFormat="1">
      <c r="A313" s="113"/>
      <c r="B313" s="5" t="s">
        <v>41</v>
      </c>
      <c r="C313" s="5" t="s">
        <v>17</v>
      </c>
      <c r="D313" s="5">
        <v>1</v>
      </c>
      <c r="E313" s="97">
        <f>247*8*(A308/1973)</f>
        <v>52.079067410035478</v>
      </c>
      <c r="F313" s="26">
        <f>E313/A308</f>
        <v>1.001520527116067</v>
      </c>
      <c r="G313" s="35">
        <f t="shared" si="54"/>
        <v>1.9230769230769232E-2</v>
      </c>
      <c r="H313" s="145">
        <f>27870*0.12</f>
        <v>3344.4</v>
      </c>
      <c r="I313" s="83">
        <f t="shared" si="53"/>
        <v>64.315384615384616</v>
      </c>
    </row>
    <row r="314" spans="1:11" s="1" customFormat="1">
      <c r="A314" s="113"/>
      <c r="B314" s="5" t="s">
        <v>63</v>
      </c>
      <c r="C314" s="5" t="s">
        <v>17</v>
      </c>
      <c r="D314" s="5">
        <v>1</v>
      </c>
      <c r="E314" s="97">
        <f>247*8*(A308/1973)</f>
        <v>52.079067410035478</v>
      </c>
      <c r="F314" s="26">
        <f>E314/A308</f>
        <v>1.001520527116067</v>
      </c>
      <c r="G314" s="35">
        <f t="shared" si="54"/>
        <v>1.9230769230769232E-2</v>
      </c>
      <c r="H314" s="145">
        <f>30000*0.12</f>
        <v>3600</v>
      </c>
      <c r="I314" s="83">
        <f t="shared" si="53"/>
        <v>69.230769230769241</v>
      </c>
    </row>
    <row r="315" spans="1:11" s="1" customFormat="1">
      <c r="A315" s="113"/>
      <c r="B315" s="31" t="s">
        <v>55</v>
      </c>
      <c r="C315" s="5" t="s">
        <v>17</v>
      </c>
      <c r="D315" s="5">
        <v>1</v>
      </c>
      <c r="E315" s="97">
        <f>247*8*(A308/1973)</f>
        <v>52.079067410035478</v>
      </c>
      <c r="F315" s="26">
        <f>E315/A308</f>
        <v>1.001520527116067</v>
      </c>
      <c r="G315" s="35">
        <f t="shared" si="54"/>
        <v>1.9230769230769232E-2</v>
      </c>
      <c r="H315" s="145">
        <f>30000*0.12</f>
        <v>3600</v>
      </c>
      <c r="I315" s="83">
        <f t="shared" si="53"/>
        <v>69.230769230769241</v>
      </c>
    </row>
    <row r="316" spans="1:11" s="1" customFormat="1">
      <c r="A316" s="107"/>
      <c r="B316" s="48" t="s">
        <v>82</v>
      </c>
      <c r="C316" s="5" t="s">
        <v>17</v>
      </c>
      <c r="D316" s="5">
        <v>1</v>
      </c>
      <c r="E316" s="97">
        <f>247*8*(A308/1973)</f>
        <v>52.079067410035478</v>
      </c>
      <c r="F316" s="26">
        <f>E316/A308</f>
        <v>1.001520527116067</v>
      </c>
      <c r="G316" s="35">
        <f t="shared" si="54"/>
        <v>1.9230769230769232E-2</v>
      </c>
      <c r="H316" s="145">
        <f>6000*0.12</f>
        <v>720</v>
      </c>
      <c r="I316" s="83">
        <f t="shared" si="53"/>
        <v>13.846153846153847</v>
      </c>
    </row>
    <row r="317" spans="1:11" s="1" customFormat="1" ht="30">
      <c r="A317" s="107"/>
      <c r="B317" s="48" t="s">
        <v>111</v>
      </c>
      <c r="C317" s="5" t="s">
        <v>17</v>
      </c>
      <c r="D317" s="5">
        <v>1</v>
      </c>
      <c r="E317" s="97">
        <f>247*8*(A308/1973)</f>
        <v>52.079067410035478</v>
      </c>
      <c r="F317" s="26">
        <f>E317/A308</f>
        <v>1.001520527116067</v>
      </c>
      <c r="G317" s="35">
        <f t="shared" si="54"/>
        <v>1.9230769230769232E-2</v>
      </c>
      <c r="H317" s="145">
        <f>(108530+52870)*0.12</f>
        <v>19368</v>
      </c>
      <c r="I317" s="83">
        <f t="shared" si="53"/>
        <v>372.46153846153851</v>
      </c>
    </row>
    <row r="318" spans="1:11" s="1" customFormat="1">
      <c r="A318" s="107"/>
      <c r="B318" s="48" t="s">
        <v>112</v>
      </c>
      <c r="C318" s="5" t="s">
        <v>17</v>
      </c>
      <c r="D318" s="5">
        <v>1</v>
      </c>
      <c r="E318" s="97">
        <f>247*8*(A308/1973)</f>
        <v>52.079067410035478</v>
      </c>
      <c r="F318" s="26">
        <f>E318/A308</f>
        <v>1.001520527116067</v>
      </c>
      <c r="G318" s="35">
        <f t="shared" si="54"/>
        <v>1.9230769230769232E-2</v>
      </c>
      <c r="H318" s="145">
        <f>(9000+7000)*0.12</f>
        <v>1920</v>
      </c>
      <c r="I318" s="83">
        <f t="shared" si="53"/>
        <v>36.923076923076927</v>
      </c>
    </row>
    <row r="319" spans="1:11" s="1" customFormat="1">
      <c r="A319" s="107"/>
      <c r="B319" s="48" t="s">
        <v>39</v>
      </c>
      <c r="C319" s="5" t="s">
        <v>17</v>
      </c>
      <c r="D319" s="5">
        <v>1</v>
      </c>
      <c r="E319" s="97">
        <f>247*8*(A308/1973)</f>
        <v>52.079067410035478</v>
      </c>
      <c r="F319" s="26">
        <f>E319/A308</f>
        <v>1.001520527116067</v>
      </c>
      <c r="G319" s="35">
        <f t="shared" si="54"/>
        <v>1.9230769230769232E-2</v>
      </c>
      <c r="H319" s="145">
        <f>12191.41*0.12</f>
        <v>1462.9692</v>
      </c>
      <c r="I319" s="83">
        <f t="shared" si="53"/>
        <v>28.134023076923079</v>
      </c>
    </row>
    <row r="320" spans="1:11" s="1" customFormat="1">
      <c r="A320" s="107"/>
      <c r="B320" s="48" t="s">
        <v>120</v>
      </c>
      <c r="C320" s="5" t="s">
        <v>17</v>
      </c>
      <c r="D320" s="5">
        <v>1</v>
      </c>
      <c r="E320" s="97">
        <f>247*8*(A308/1973)</f>
        <v>52.079067410035478</v>
      </c>
      <c r="F320" s="26">
        <f>E320/A308</f>
        <v>1.001520527116067</v>
      </c>
      <c r="G320" s="35">
        <f t="shared" si="54"/>
        <v>1.9230769230769232E-2</v>
      </c>
      <c r="H320" s="145">
        <f>(5502.09+14002.52+32008)*0.12</f>
        <v>6181.5131999999994</v>
      </c>
      <c r="I320" s="83">
        <f t="shared" si="53"/>
        <v>118.87525384615384</v>
      </c>
    </row>
    <row r="321" spans="1:12" s="1" customFormat="1" ht="13.7" customHeight="1">
      <c r="A321" s="107"/>
      <c r="B321" s="48" t="s">
        <v>113</v>
      </c>
      <c r="C321" s="5" t="s">
        <v>17</v>
      </c>
      <c r="D321" s="5">
        <v>1</v>
      </c>
      <c r="E321" s="97">
        <f>247*8*(A308/1973)</f>
        <v>52.079067410035478</v>
      </c>
      <c r="F321" s="26">
        <f>E321/A308</f>
        <v>1.001520527116067</v>
      </c>
      <c r="G321" s="35">
        <f t="shared" si="54"/>
        <v>1.9230769230769232E-2</v>
      </c>
      <c r="H321" s="145">
        <f>6206.48*0.12</f>
        <v>744.77759999999989</v>
      </c>
      <c r="I321" s="83">
        <f t="shared" si="53"/>
        <v>14.322646153846152</v>
      </c>
    </row>
    <row r="322" spans="1:12" s="1" customFormat="1" ht="15.75" thickBot="1">
      <c r="A322" s="108"/>
      <c r="B322" s="18"/>
      <c r="C322" s="18"/>
      <c r="D322" s="18"/>
      <c r="E322" s="95"/>
      <c r="F322" s="18"/>
      <c r="G322" s="20"/>
      <c r="H322" s="37"/>
      <c r="I322" s="87">
        <f>SUM(I307:I321)</f>
        <v>1167.7396153846155</v>
      </c>
      <c r="J322" s="126">
        <f>(59400+108530+19200+12000+6240+30000+30000+12191.41+15000+15000+29000+27870+5502.09+32008+7000+24000+14002.52+6206.48+52870)*0.12</f>
        <v>60722.46</v>
      </c>
      <c r="K322" s="127">
        <f>I322*A308</f>
        <v>60722.460000000006</v>
      </c>
      <c r="L322" s="127">
        <f>J322-K322</f>
        <v>0</v>
      </c>
    </row>
    <row r="323" spans="1:12">
      <c r="A323" s="104" t="s">
        <v>67</v>
      </c>
      <c r="B323" s="13" t="s">
        <v>36</v>
      </c>
      <c r="C323" s="13" t="s">
        <v>17</v>
      </c>
      <c r="D323" s="13">
        <v>1</v>
      </c>
      <c r="E323" s="124">
        <f>247*8*(A324/1973)</f>
        <v>44.066903193106945</v>
      </c>
      <c r="F323" s="25">
        <f>E323/A324</f>
        <v>1.001520527116067</v>
      </c>
      <c r="G323" s="36">
        <f>D323/E323*F323</f>
        <v>2.2727272727272728E-2</v>
      </c>
      <c r="H323" s="156">
        <f>92060*0.06</f>
        <v>5523.5999999999995</v>
      </c>
      <c r="I323" s="82">
        <f>H323*G323</f>
        <v>125.53636363636363</v>
      </c>
    </row>
    <row r="324" spans="1:12" s="1" customFormat="1">
      <c r="A324" s="112">
        <f>ком.усл!A118</f>
        <v>44</v>
      </c>
      <c r="B324" s="5" t="s">
        <v>37</v>
      </c>
      <c r="C324" s="5" t="s">
        <v>17</v>
      </c>
      <c r="D324" s="5">
        <v>1</v>
      </c>
      <c r="E324" s="97">
        <f>247*8*(A324/1973)</f>
        <v>44.066903193106945</v>
      </c>
      <c r="F324" s="26">
        <f>E324/A324</f>
        <v>1.001520527116067</v>
      </c>
      <c r="G324" s="35">
        <f>D324/E324*F324</f>
        <v>2.2727272727272728E-2</v>
      </c>
      <c r="H324" s="145">
        <f>38400*0.06</f>
        <v>2304</v>
      </c>
      <c r="I324" s="83">
        <f t="shared" ref="I324:I334" si="55">H324*G324</f>
        <v>52.363636363636367</v>
      </c>
    </row>
    <row r="325" spans="1:12" s="1" customFormat="1">
      <c r="A325" s="113"/>
      <c r="B325" s="5" t="s">
        <v>40</v>
      </c>
      <c r="C325" s="5" t="s">
        <v>17</v>
      </c>
      <c r="D325" s="5">
        <v>1</v>
      </c>
      <c r="E325" s="97">
        <f>247*8*(A324/1973)</f>
        <v>44.066903193106945</v>
      </c>
      <c r="F325" s="26">
        <f>E325/A324</f>
        <v>1.001520527116067</v>
      </c>
      <c r="G325" s="35">
        <f>D325/E325*F325</f>
        <v>2.2727272727272728E-2</v>
      </c>
      <c r="H325" s="145">
        <f>33600*0.06</f>
        <v>2016</v>
      </c>
      <c r="I325" s="83">
        <f t="shared" si="55"/>
        <v>45.81818181818182</v>
      </c>
    </row>
    <row r="326" spans="1:12" s="1" customFormat="1">
      <c r="A326" s="113"/>
      <c r="B326" s="5" t="s">
        <v>38</v>
      </c>
      <c r="C326" s="5" t="s">
        <v>17</v>
      </c>
      <c r="D326" s="5">
        <v>1</v>
      </c>
      <c r="E326" s="97">
        <f>247*8*(A324/1973)</f>
        <v>44.066903193106945</v>
      </c>
      <c r="F326" s="26">
        <f>E326/A324</f>
        <v>1.001520527116067</v>
      </c>
      <c r="G326" s="35">
        <f t="shared" ref="G326:G337" si="56">D326/E326*F326</f>
        <v>2.2727272727272728E-2</v>
      </c>
      <c r="H326" s="145">
        <f>40800*0.06</f>
        <v>2448</v>
      </c>
      <c r="I326" s="83">
        <f t="shared" si="55"/>
        <v>55.63636363636364</v>
      </c>
    </row>
    <row r="327" spans="1:12" s="1" customFormat="1">
      <c r="A327" s="113"/>
      <c r="B327" s="5" t="s">
        <v>121</v>
      </c>
      <c r="C327" s="5" t="s">
        <v>17</v>
      </c>
      <c r="D327" s="5">
        <v>1</v>
      </c>
      <c r="E327" s="97">
        <f>247*8*(A324/1973)</f>
        <v>44.066903193106945</v>
      </c>
      <c r="F327" s="26">
        <f>E327/A324</f>
        <v>1.001520527116067</v>
      </c>
      <c r="G327" s="35">
        <f t="shared" si="56"/>
        <v>2.2727272727272728E-2</v>
      </c>
      <c r="H327" s="145"/>
      <c r="I327" s="83">
        <f t="shared" si="55"/>
        <v>0</v>
      </c>
    </row>
    <row r="328" spans="1:12" s="1" customFormat="1">
      <c r="A328" s="113"/>
      <c r="B328" s="5" t="s">
        <v>56</v>
      </c>
      <c r="C328" s="5" t="s">
        <v>17</v>
      </c>
      <c r="D328" s="5">
        <v>1</v>
      </c>
      <c r="E328" s="97">
        <f>247*8*(A324/1973)</f>
        <v>44.066903193106945</v>
      </c>
      <c r="F328" s="26">
        <f>E328/A324</f>
        <v>1.001520527116067</v>
      </c>
      <c r="G328" s="35">
        <f t="shared" si="56"/>
        <v>2.2727272727272728E-2</v>
      </c>
      <c r="H328" s="145">
        <f>20000*0.06</f>
        <v>1200</v>
      </c>
      <c r="I328" s="83">
        <f t="shared" si="55"/>
        <v>27.272727272727273</v>
      </c>
    </row>
    <row r="329" spans="1:12" s="1" customFormat="1">
      <c r="A329" s="113"/>
      <c r="B329" s="5" t="s">
        <v>41</v>
      </c>
      <c r="C329" s="5" t="s">
        <v>17</v>
      </c>
      <c r="D329" s="5">
        <v>1</v>
      </c>
      <c r="E329" s="97">
        <f>247*8*(A324/1973)</f>
        <v>44.066903193106945</v>
      </c>
      <c r="F329" s="26">
        <f>E329/A324</f>
        <v>1.001520527116067</v>
      </c>
      <c r="G329" s="35">
        <f t="shared" si="56"/>
        <v>2.2727272727272728E-2</v>
      </c>
      <c r="H329" s="145">
        <f>56000*0.06</f>
        <v>3360</v>
      </c>
      <c r="I329" s="83">
        <f t="shared" si="55"/>
        <v>76.36363636363636</v>
      </c>
    </row>
    <row r="330" spans="1:12" s="1" customFormat="1">
      <c r="A330" s="113"/>
      <c r="B330" s="5" t="s">
        <v>63</v>
      </c>
      <c r="C330" s="5" t="s">
        <v>17</v>
      </c>
      <c r="D330" s="5">
        <v>1</v>
      </c>
      <c r="E330" s="97">
        <f>247*8*(A324/1973)</f>
        <v>44.066903193106945</v>
      </c>
      <c r="F330" s="26">
        <f>E330/A324</f>
        <v>1.001520527116067</v>
      </c>
      <c r="G330" s="35">
        <f t="shared" si="56"/>
        <v>2.2727272727272728E-2</v>
      </c>
      <c r="H330" s="145">
        <f>60000*0.06</f>
        <v>3600</v>
      </c>
      <c r="I330" s="83">
        <f t="shared" si="55"/>
        <v>81.818181818181827</v>
      </c>
    </row>
    <row r="331" spans="1:12" s="1" customFormat="1">
      <c r="A331" s="113"/>
      <c r="B331" s="31" t="s">
        <v>55</v>
      </c>
      <c r="C331" s="5" t="s">
        <v>17</v>
      </c>
      <c r="D331" s="5">
        <v>1</v>
      </c>
      <c r="E331" s="97">
        <f>247*8*(A324/1973)</f>
        <v>44.066903193106945</v>
      </c>
      <c r="F331" s="26">
        <f>E331/A324</f>
        <v>1.001520527116067</v>
      </c>
      <c r="G331" s="35">
        <f t="shared" si="56"/>
        <v>2.2727272727272728E-2</v>
      </c>
      <c r="H331" s="145">
        <f>50400*0.06</f>
        <v>3024</v>
      </c>
      <c r="I331" s="83">
        <f t="shared" si="55"/>
        <v>68.727272727272734</v>
      </c>
    </row>
    <row r="332" spans="1:12" s="1" customFormat="1">
      <c r="A332" s="113"/>
      <c r="B332" s="48" t="s">
        <v>82</v>
      </c>
      <c r="C332" s="5" t="s">
        <v>17</v>
      </c>
      <c r="D332" s="5">
        <v>1</v>
      </c>
      <c r="E332" s="97">
        <f>247*8*(A324/1973)</f>
        <v>44.066903193106945</v>
      </c>
      <c r="F332" s="26">
        <f>E332/A324</f>
        <v>1.001520527116067</v>
      </c>
      <c r="G332" s="35">
        <f t="shared" si="56"/>
        <v>2.2727272727272728E-2</v>
      </c>
      <c r="H332" s="145">
        <f>33600*0.06</f>
        <v>2016</v>
      </c>
      <c r="I332" s="83">
        <f t="shared" si="55"/>
        <v>45.81818181818182</v>
      </c>
    </row>
    <row r="333" spans="1:12" s="1" customFormat="1">
      <c r="A333" s="113"/>
      <c r="B333" s="5" t="s">
        <v>96</v>
      </c>
      <c r="C333" s="5" t="s">
        <v>17</v>
      </c>
      <c r="D333" s="5">
        <v>1</v>
      </c>
      <c r="E333" s="97">
        <f>247*8*(A324/1973)</f>
        <v>44.066903193106945</v>
      </c>
      <c r="F333" s="26">
        <f>E333/A324</f>
        <v>1.001520527116067</v>
      </c>
      <c r="G333" s="35">
        <f t="shared" si="56"/>
        <v>2.2727272727272728E-2</v>
      </c>
      <c r="H333" s="145">
        <f>20000*0.06</f>
        <v>1200</v>
      </c>
      <c r="I333" s="83">
        <f t="shared" si="55"/>
        <v>27.272727272727273</v>
      </c>
    </row>
    <row r="334" spans="1:12" s="1" customFormat="1">
      <c r="A334" s="113"/>
      <c r="B334" s="48" t="s">
        <v>112</v>
      </c>
      <c r="C334" s="5" t="s">
        <v>17</v>
      </c>
      <c r="D334" s="5">
        <v>1</v>
      </c>
      <c r="E334" s="97">
        <f>247*8*(A324/1973)</f>
        <v>44.066903193106945</v>
      </c>
      <c r="F334" s="26">
        <f>E334/A324</f>
        <v>1.001520527116067</v>
      </c>
      <c r="G334" s="35">
        <f t="shared" si="56"/>
        <v>2.2727272727272728E-2</v>
      </c>
      <c r="H334" s="145">
        <f>(4500+0)*0.06</f>
        <v>270</v>
      </c>
      <c r="I334" s="83">
        <f t="shared" si="55"/>
        <v>6.1363636363636367</v>
      </c>
    </row>
    <row r="335" spans="1:12" s="1" customFormat="1">
      <c r="A335" s="107"/>
      <c r="B335" s="48" t="s">
        <v>39</v>
      </c>
      <c r="C335" s="5" t="s">
        <v>17</v>
      </c>
      <c r="D335" s="5">
        <v>1</v>
      </c>
      <c r="E335" s="97">
        <f>247*8*(A324/1973)</f>
        <v>44.066903193106945</v>
      </c>
      <c r="F335" s="26">
        <f>E335/A324</f>
        <v>1.001520527116067</v>
      </c>
      <c r="G335" s="35">
        <f t="shared" si="56"/>
        <v>2.2727272727272728E-2</v>
      </c>
      <c r="H335" s="145">
        <f>17132.38*0.06</f>
        <v>1027.9428</v>
      </c>
      <c r="I335" s="83">
        <f>H335*G335</f>
        <v>23.362336363636366</v>
      </c>
    </row>
    <row r="336" spans="1:12" s="1" customFormat="1">
      <c r="A336" s="107"/>
      <c r="B336" s="48" t="s">
        <v>120</v>
      </c>
      <c r="C336" s="5" t="s">
        <v>17</v>
      </c>
      <c r="D336" s="5">
        <v>1</v>
      </c>
      <c r="E336" s="97">
        <f>247*8*(A324/1973)</f>
        <v>44.066903193106945</v>
      </c>
      <c r="F336" s="26">
        <f>E336/A324</f>
        <v>1.001520527116067</v>
      </c>
      <c r="G336" s="35">
        <f t="shared" si="56"/>
        <v>2.2727272727272728E-2</v>
      </c>
      <c r="H336" s="145">
        <f>(6877.62+17288.87+0)*0.06</f>
        <v>1449.9893999999999</v>
      </c>
      <c r="I336" s="83">
        <f t="shared" ref="I336:I337" si="57">H336*G336</f>
        <v>32.954304545454548</v>
      </c>
    </row>
    <row r="337" spans="1:12" s="1" customFormat="1" ht="13.7" customHeight="1">
      <c r="A337" s="107"/>
      <c r="B337" s="48" t="s">
        <v>113</v>
      </c>
      <c r="C337" s="5" t="s">
        <v>17</v>
      </c>
      <c r="D337" s="5">
        <v>1</v>
      </c>
      <c r="E337" s="97">
        <f>247*8*(A324/1973)</f>
        <v>44.066903193106945</v>
      </c>
      <c r="F337" s="26">
        <f>E337/A324</f>
        <v>1.001520527116067</v>
      </c>
      <c r="G337" s="35">
        <f t="shared" si="56"/>
        <v>2.2727272727272728E-2</v>
      </c>
      <c r="H337" s="145">
        <f>4140*0.06</f>
        <v>248.39999999999998</v>
      </c>
      <c r="I337" s="83">
        <f t="shared" si="57"/>
        <v>5.6454545454545455</v>
      </c>
    </row>
    <row r="338" spans="1:12" s="1" customFormat="1" ht="15.75" thickBot="1">
      <c r="A338" s="108"/>
      <c r="B338" s="18"/>
      <c r="C338" s="18"/>
      <c r="D338" s="18"/>
      <c r="E338" s="95"/>
      <c r="F338" s="18"/>
      <c r="G338" s="20"/>
      <c r="H338" s="37"/>
      <c r="I338" s="87">
        <f>SUM(I323:I337)</f>
        <v>674.72573181818177</v>
      </c>
      <c r="J338" s="126">
        <f>(92060+38400+33600+60000+50400+17132.38+33600+4500+40000+56000+6877.62+40800+17288.87+4140)*0.06</f>
        <v>29687.932199999999</v>
      </c>
      <c r="K338" s="127">
        <f>I338*A324</f>
        <v>29687.932199999999</v>
      </c>
      <c r="L338" s="127">
        <f>J338-K338</f>
        <v>0</v>
      </c>
    </row>
    <row r="339" spans="1:12">
      <c r="A339" s="104" t="s">
        <v>68</v>
      </c>
      <c r="B339" s="13" t="s">
        <v>36</v>
      </c>
      <c r="C339" s="13" t="s">
        <v>17</v>
      </c>
      <c r="D339" s="13">
        <v>1</v>
      </c>
      <c r="E339" s="124">
        <f>247*8*(A340/1973)</f>
        <v>37.05625950329447</v>
      </c>
      <c r="F339" s="25">
        <f>E339/A340</f>
        <v>1.0015205271160668</v>
      </c>
      <c r="G339" s="36">
        <f>D339/E339*F339</f>
        <v>2.7027027027027029E-2</v>
      </c>
      <c r="H339" s="156">
        <f>85080*0.06</f>
        <v>5104.8</v>
      </c>
      <c r="I339" s="82">
        <f>H339*G339</f>
        <v>137.96756756756758</v>
      </c>
    </row>
    <row r="340" spans="1:12" s="1" customFormat="1">
      <c r="A340" s="112">
        <f>ком.усл!A123</f>
        <v>37</v>
      </c>
      <c r="B340" s="5" t="s">
        <v>37</v>
      </c>
      <c r="C340" s="5" t="s">
        <v>17</v>
      </c>
      <c r="D340" s="5">
        <v>1</v>
      </c>
      <c r="E340" s="97">
        <f>247*8*(A340/1973)</f>
        <v>37.05625950329447</v>
      </c>
      <c r="F340" s="26">
        <f>E340/A340</f>
        <v>1.0015205271160668</v>
      </c>
      <c r="G340" s="35">
        <f>D340/E340*F340</f>
        <v>2.7027027027027029E-2</v>
      </c>
      <c r="H340" s="145">
        <f>74196*0.06</f>
        <v>4451.76</v>
      </c>
      <c r="I340" s="83">
        <f t="shared" ref="I340:I353" si="58">H340*G340</f>
        <v>120.31783783783786</v>
      </c>
    </row>
    <row r="341" spans="1:12" s="1" customFormat="1">
      <c r="A341" s="113"/>
      <c r="B341" s="5" t="s">
        <v>40</v>
      </c>
      <c r="C341" s="5" t="s">
        <v>17</v>
      </c>
      <c r="D341" s="5">
        <v>1</v>
      </c>
      <c r="E341" s="97">
        <f>247*8*(A340/1973)</f>
        <v>37.05625950329447</v>
      </c>
      <c r="F341" s="26">
        <f>E341/A340</f>
        <v>1.0015205271160668</v>
      </c>
      <c r="G341" s="35">
        <f>D341/E341*F341</f>
        <v>2.7027027027027029E-2</v>
      </c>
      <c r="H341" s="145">
        <f>74196*0.06</f>
        <v>4451.76</v>
      </c>
      <c r="I341" s="83">
        <f t="shared" si="58"/>
        <v>120.31783783783786</v>
      </c>
    </row>
    <row r="342" spans="1:12" s="1" customFormat="1">
      <c r="A342" s="113"/>
      <c r="B342" s="5" t="s">
        <v>38</v>
      </c>
      <c r="C342" s="5" t="s">
        <v>17</v>
      </c>
      <c r="D342" s="5">
        <v>1</v>
      </c>
      <c r="E342" s="97">
        <f>247*8*(A340/1973)</f>
        <v>37.05625950329447</v>
      </c>
      <c r="F342" s="26">
        <f>E342/A340</f>
        <v>1.0015205271160668</v>
      </c>
      <c r="G342" s="35">
        <f t="shared" ref="G342:G353" si="59">D342/E342*F342</f>
        <v>2.7027027027027029E-2</v>
      </c>
      <c r="H342" s="145">
        <f>61200*0.06</f>
        <v>3672</v>
      </c>
      <c r="I342" s="83">
        <f t="shared" si="58"/>
        <v>99.243243243243242</v>
      </c>
    </row>
    <row r="343" spans="1:12" s="1" customFormat="1">
      <c r="A343" s="113"/>
      <c r="B343" s="5" t="s">
        <v>121</v>
      </c>
      <c r="C343" s="5" t="s">
        <v>17</v>
      </c>
      <c r="D343" s="5">
        <v>1</v>
      </c>
      <c r="E343" s="97">
        <f>247*8*(A340/1973)</f>
        <v>37.05625950329447</v>
      </c>
      <c r="F343" s="26">
        <f>E343/A340</f>
        <v>1.0015205271160668</v>
      </c>
      <c r="G343" s="35">
        <f t="shared" si="59"/>
        <v>2.7027027027027029E-2</v>
      </c>
      <c r="H343" s="145">
        <f>5376*0.06</f>
        <v>322.56</v>
      </c>
      <c r="I343" s="83">
        <f t="shared" si="58"/>
        <v>8.7178378378378376</v>
      </c>
    </row>
    <row r="344" spans="1:12" s="1" customFormat="1">
      <c r="A344" s="113"/>
      <c r="B344" s="5" t="s">
        <v>56</v>
      </c>
      <c r="C344" s="5" t="s">
        <v>17</v>
      </c>
      <c r="D344" s="5">
        <v>1</v>
      </c>
      <c r="E344" s="97">
        <f>247*8*(A340/1973)</f>
        <v>37.05625950329447</v>
      </c>
      <c r="F344" s="26">
        <f>E344/A340</f>
        <v>1.0015205271160668</v>
      </c>
      <c r="G344" s="35">
        <f t="shared" si="59"/>
        <v>2.7027027027027029E-2</v>
      </c>
      <c r="H344" s="145">
        <f>30000*0.06</f>
        <v>1800</v>
      </c>
      <c r="I344" s="83">
        <f t="shared" si="58"/>
        <v>48.648648648648653</v>
      </c>
    </row>
    <row r="345" spans="1:12" s="1" customFormat="1">
      <c r="A345" s="113"/>
      <c r="B345" s="5" t="s">
        <v>41</v>
      </c>
      <c r="C345" s="5" t="s">
        <v>17</v>
      </c>
      <c r="D345" s="5">
        <v>1</v>
      </c>
      <c r="E345" s="97">
        <f>247*8*(A340/1973)</f>
        <v>37.05625950329447</v>
      </c>
      <c r="F345" s="26">
        <f>E345/A340</f>
        <v>1.0015205271160668</v>
      </c>
      <c r="G345" s="35">
        <f t="shared" si="59"/>
        <v>2.7027027027027029E-2</v>
      </c>
      <c r="H345" s="145">
        <f>70000*0.06</f>
        <v>4200</v>
      </c>
      <c r="I345" s="83">
        <f t="shared" si="58"/>
        <v>113.51351351351352</v>
      </c>
    </row>
    <row r="346" spans="1:12" s="1" customFormat="1">
      <c r="A346" s="113"/>
      <c r="B346" s="5" t="s">
        <v>63</v>
      </c>
      <c r="C346" s="5" t="s">
        <v>17</v>
      </c>
      <c r="D346" s="5">
        <v>1</v>
      </c>
      <c r="E346" s="97">
        <f>247*8*(A340/1973)</f>
        <v>37.05625950329447</v>
      </c>
      <c r="F346" s="26">
        <f>E346/A340</f>
        <v>1.0015205271160668</v>
      </c>
      <c r="G346" s="35">
        <f t="shared" si="59"/>
        <v>2.7027027027027029E-2</v>
      </c>
      <c r="H346" s="145">
        <f>90000*0.06</f>
        <v>5400</v>
      </c>
      <c r="I346" s="83">
        <f t="shared" si="58"/>
        <v>145.94594594594597</v>
      </c>
    </row>
    <row r="347" spans="1:12" s="1" customFormat="1">
      <c r="A347" s="113"/>
      <c r="B347" s="31" t="s">
        <v>55</v>
      </c>
      <c r="C347" s="5" t="s">
        <v>17</v>
      </c>
      <c r="D347" s="5">
        <v>1</v>
      </c>
      <c r="E347" s="97">
        <f>247*8*(A340/1973)</f>
        <v>37.05625950329447</v>
      </c>
      <c r="F347" s="26">
        <f>E347/A340</f>
        <v>1.0015205271160668</v>
      </c>
      <c r="G347" s="35">
        <f t="shared" si="59"/>
        <v>2.7027027027027029E-2</v>
      </c>
      <c r="H347" s="145">
        <f>30000*0.06</f>
        <v>1800</v>
      </c>
      <c r="I347" s="83">
        <f t="shared" si="58"/>
        <v>48.648648648648653</v>
      </c>
    </row>
    <row r="348" spans="1:12" s="1" customFormat="1">
      <c r="A348" s="113"/>
      <c r="B348" s="48" t="s">
        <v>82</v>
      </c>
      <c r="C348" s="5" t="s">
        <v>17</v>
      </c>
      <c r="D348" s="5">
        <v>1</v>
      </c>
      <c r="E348" s="97">
        <f>247*8*(A340/1973)</f>
        <v>37.05625950329447</v>
      </c>
      <c r="F348" s="26">
        <f>E348/A340</f>
        <v>1.0015205271160668</v>
      </c>
      <c r="G348" s="35">
        <f t="shared" si="59"/>
        <v>2.7027027027027029E-2</v>
      </c>
      <c r="H348" s="145">
        <f>54000*0.06</f>
        <v>3240</v>
      </c>
      <c r="I348" s="83">
        <f t="shared" si="58"/>
        <v>87.567567567567579</v>
      </c>
    </row>
    <row r="349" spans="1:12" s="1" customFormat="1">
      <c r="A349" s="113"/>
      <c r="B349" s="5" t="s">
        <v>96</v>
      </c>
      <c r="C349" s="5" t="s">
        <v>17</v>
      </c>
      <c r="D349" s="5">
        <v>1</v>
      </c>
      <c r="E349" s="97">
        <f>247*8*(A340/1973)</f>
        <v>37.05625950329447</v>
      </c>
      <c r="F349" s="26">
        <f>E349/A340</f>
        <v>1.0015205271160668</v>
      </c>
      <c r="G349" s="35">
        <f t="shared" si="59"/>
        <v>2.7027027027027029E-2</v>
      </c>
      <c r="H349" s="145">
        <f>45000*0.06</f>
        <v>2700</v>
      </c>
      <c r="I349" s="83">
        <f t="shared" si="58"/>
        <v>72.972972972972983</v>
      </c>
    </row>
    <row r="350" spans="1:12" s="1" customFormat="1">
      <c r="A350" s="107"/>
      <c r="B350" s="48" t="s">
        <v>112</v>
      </c>
      <c r="C350" s="5" t="s">
        <v>17</v>
      </c>
      <c r="D350" s="5">
        <v>1</v>
      </c>
      <c r="E350" s="97">
        <f>247*8*(A340/1973)</f>
        <v>37.05625950329447</v>
      </c>
      <c r="F350" s="26">
        <f>E350/A340</f>
        <v>1.0015205271160668</v>
      </c>
      <c r="G350" s="35">
        <f t="shared" si="59"/>
        <v>2.7027027027027029E-2</v>
      </c>
      <c r="H350" s="145">
        <f>(16800+41700+12000)*0.06</f>
        <v>4230</v>
      </c>
      <c r="I350" s="83">
        <f t="shared" si="58"/>
        <v>114.32432432432434</v>
      </c>
    </row>
    <row r="351" spans="1:12" s="1" customFormat="1">
      <c r="A351" s="107"/>
      <c r="B351" s="48" t="s">
        <v>39</v>
      </c>
      <c r="C351" s="5" t="s">
        <v>17</v>
      </c>
      <c r="D351" s="5">
        <v>1</v>
      </c>
      <c r="E351" s="97">
        <f>247*8*(A340/1973)</f>
        <v>37.05625950329447</v>
      </c>
      <c r="F351" s="26">
        <f>E351/A340</f>
        <v>1.0015205271160668</v>
      </c>
      <c r="G351" s="35">
        <f t="shared" si="59"/>
        <v>2.7027027027027029E-2</v>
      </c>
      <c r="H351" s="145">
        <f>31833.32*0.06</f>
        <v>1909.9992</v>
      </c>
      <c r="I351" s="83">
        <f t="shared" si="58"/>
        <v>51.621600000000001</v>
      </c>
    </row>
    <row r="352" spans="1:12" s="1" customFormat="1">
      <c r="A352" s="107"/>
      <c r="B352" s="48" t="s">
        <v>120</v>
      </c>
      <c r="C352" s="5" t="s">
        <v>17</v>
      </c>
      <c r="D352" s="5">
        <v>1</v>
      </c>
      <c r="E352" s="97">
        <f>247*8*(A340/1973)</f>
        <v>37.05625950329447</v>
      </c>
      <c r="F352" s="26">
        <f>E352/A340</f>
        <v>1.0015205271160668</v>
      </c>
      <c r="G352" s="35">
        <f t="shared" si="59"/>
        <v>2.7027027027027029E-2</v>
      </c>
      <c r="H352" s="145">
        <f>(1528.68+18241.16+12000)*0.06</f>
        <v>1906.1904</v>
      </c>
      <c r="I352" s="83">
        <f t="shared" si="58"/>
        <v>51.518659459459464</v>
      </c>
    </row>
    <row r="353" spans="1:12" s="1" customFormat="1" ht="13.7" customHeight="1">
      <c r="A353" s="107"/>
      <c r="B353" s="48" t="s">
        <v>113</v>
      </c>
      <c r="C353" s="5" t="s">
        <v>17</v>
      </c>
      <c r="D353" s="5">
        <v>1</v>
      </c>
      <c r="E353" s="97">
        <f>247*8*(A340/1973)</f>
        <v>37.05625950329447</v>
      </c>
      <c r="F353" s="26">
        <f>E353/A340</f>
        <v>1.0015205271160668</v>
      </c>
      <c r="G353" s="35">
        <f t="shared" si="59"/>
        <v>2.7027027027027029E-2</v>
      </c>
      <c r="H353" s="145">
        <f>4026*0.06</f>
        <v>241.56</v>
      </c>
      <c r="I353" s="83">
        <f t="shared" si="58"/>
        <v>6.528648648648649</v>
      </c>
    </row>
    <row r="354" spans="1:12" s="1" customFormat="1" ht="15.75" thickBot="1">
      <c r="A354" s="108"/>
      <c r="B354" s="18"/>
      <c r="C354" s="18"/>
      <c r="D354" s="18"/>
      <c r="E354" s="95"/>
      <c r="F354" s="18"/>
      <c r="G354" s="20"/>
      <c r="H354" s="37"/>
      <c r="I354" s="87">
        <f>SUM(I339:I353)</f>
        <v>1227.8548540540542</v>
      </c>
      <c r="J354" s="126">
        <f>(85080+74196+74196+90000+30000+31833.32+54000+16800+30000+45000+70000+1528.68+5376+41700+12000+61200+18241.16+4026+12000)*0.06</f>
        <v>45430.629600000007</v>
      </c>
      <c r="K354" s="127">
        <f>I354*A340</f>
        <v>45430.6296</v>
      </c>
      <c r="L354" s="127">
        <f>J354-K354</f>
        <v>0</v>
      </c>
    </row>
    <row r="355" spans="1:12">
      <c r="A355" s="104" t="s">
        <v>69</v>
      </c>
      <c r="B355" s="13" t="s">
        <v>36</v>
      </c>
      <c r="C355" s="13" t="s">
        <v>17</v>
      </c>
      <c r="D355" s="13">
        <v>1</v>
      </c>
      <c r="E355" s="124">
        <f>247*8*(A356/1973)</f>
        <v>75.114039533705011</v>
      </c>
      <c r="F355" s="25">
        <f>E355/A356</f>
        <v>1.0015205271160668</v>
      </c>
      <c r="G355" s="36">
        <f>D355/E355*F355</f>
        <v>1.3333333333333332E-2</v>
      </c>
      <c r="H355" s="156">
        <f>59393*0.08</f>
        <v>4751.4400000000005</v>
      </c>
      <c r="I355" s="82">
        <f>H355*G355</f>
        <v>63.352533333333334</v>
      </c>
    </row>
    <row r="356" spans="1:12" s="1" customFormat="1">
      <c r="A356" s="112">
        <f>ком.усл!A128</f>
        <v>75</v>
      </c>
      <c r="B356" s="5" t="s">
        <v>37</v>
      </c>
      <c r="C356" s="5" t="s">
        <v>17</v>
      </c>
      <c r="D356" s="5">
        <v>1</v>
      </c>
      <c r="E356" s="97">
        <f>247*8*(A356/1973)</f>
        <v>75.114039533705011</v>
      </c>
      <c r="F356" s="26">
        <f>E356/A356</f>
        <v>1.0015205271160668</v>
      </c>
      <c r="G356" s="35">
        <f>D356/E356*F356</f>
        <v>1.3333333333333332E-2</v>
      </c>
      <c r="H356" s="145">
        <f>21600*0.08</f>
        <v>1728</v>
      </c>
      <c r="I356" s="83">
        <f t="shared" ref="I356:I369" si="60">H356*G356</f>
        <v>23.04</v>
      </c>
    </row>
    <row r="357" spans="1:12" s="1" customFormat="1">
      <c r="A357" s="113"/>
      <c r="B357" s="5" t="s">
        <v>40</v>
      </c>
      <c r="C357" s="5" t="s">
        <v>17</v>
      </c>
      <c r="D357" s="5">
        <v>1</v>
      </c>
      <c r="E357" s="97">
        <f>247*8*(A356/1973)</f>
        <v>75.114039533705011</v>
      </c>
      <c r="F357" s="26">
        <f>E357/A356</f>
        <v>1.0015205271160668</v>
      </c>
      <c r="G357" s="35">
        <f>D357/E357*F357</f>
        <v>1.3333333333333332E-2</v>
      </c>
      <c r="H357" s="145">
        <f>6000*0.08</f>
        <v>480</v>
      </c>
      <c r="I357" s="83">
        <f t="shared" si="60"/>
        <v>6.3999999999999995</v>
      </c>
    </row>
    <row r="358" spans="1:12" s="1" customFormat="1">
      <c r="A358" s="113"/>
      <c r="B358" s="5" t="s">
        <v>38</v>
      </c>
      <c r="C358" s="5" t="s">
        <v>17</v>
      </c>
      <c r="D358" s="5">
        <v>1</v>
      </c>
      <c r="E358" s="97">
        <f>247*8*(A356/1973)</f>
        <v>75.114039533705011</v>
      </c>
      <c r="F358" s="26">
        <f>E358/A356</f>
        <v>1.0015205271160668</v>
      </c>
      <c r="G358" s="35">
        <f t="shared" ref="G358:G369" si="61">D358/E358*F358</f>
        <v>1.3333333333333332E-2</v>
      </c>
      <c r="H358" s="145">
        <f>(4800+20400)*0.08</f>
        <v>2016</v>
      </c>
      <c r="I358" s="83">
        <f t="shared" si="60"/>
        <v>26.88</v>
      </c>
    </row>
    <row r="359" spans="1:12" s="1" customFormat="1">
      <c r="A359" s="113"/>
      <c r="B359" s="5" t="s">
        <v>122</v>
      </c>
      <c r="C359" s="5" t="s">
        <v>17</v>
      </c>
      <c r="D359" s="5">
        <v>1</v>
      </c>
      <c r="E359" s="97">
        <f>247*8*(A356/1973)</f>
        <v>75.114039533705011</v>
      </c>
      <c r="F359" s="26">
        <f>E359/A356</f>
        <v>1.0015205271160668</v>
      </c>
      <c r="G359" s="35">
        <f t="shared" si="61"/>
        <v>1.3333333333333332E-2</v>
      </c>
      <c r="H359" s="145">
        <f>525600*0.08</f>
        <v>42048</v>
      </c>
      <c r="I359" s="83">
        <f t="shared" si="60"/>
        <v>560.64</v>
      </c>
    </row>
    <row r="360" spans="1:12" s="1" customFormat="1">
      <c r="A360" s="113"/>
      <c r="B360" s="5" t="s">
        <v>56</v>
      </c>
      <c r="C360" s="5" t="s">
        <v>17</v>
      </c>
      <c r="D360" s="5">
        <v>1</v>
      </c>
      <c r="E360" s="97">
        <f>247*8*(A356/1973)</f>
        <v>75.114039533705011</v>
      </c>
      <c r="F360" s="26">
        <f>E360/A356</f>
        <v>1.0015205271160668</v>
      </c>
      <c r="G360" s="35">
        <f t="shared" si="61"/>
        <v>1.3333333333333332E-2</v>
      </c>
      <c r="H360" s="145">
        <f>16000*0.08</f>
        <v>1280</v>
      </c>
      <c r="I360" s="83">
        <f t="shared" si="60"/>
        <v>17.066666666666666</v>
      </c>
    </row>
    <row r="361" spans="1:12" s="1" customFormat="1">
      <c r="A361" s="113"/>
      <c r="B361" s="5" t="s">
        <v>41</v>
      </c>
      <c r="C361" s="5" t="s">
        <v>17</v>
      </c>
      <c r="D361" s="5">
        <v>1</v>
      </c>
      <c r="E361" s="97">
        <f>247*8*(A356/1973)</f>
        <v>75.114039533705011</v>
      </c>
      <c r="F361" s="26">
        <f>E361/A356</f>
        <v>1.0015205271160668</v>
      </c>
      <c r="G361" s="35">
        <f t="shared" si="61"/>
        <v>1.3333333333333332E-2</v>
      </c>
      <c r="H361" s="145">
        <f>27020*0.08</f>
        <v>2161.6</v>
      </c>
      <c r="I361" s="83">
        <f t="shared" si="60"/>
        <v>28.821333333333332</v>
      </c>
    </row>
    <row r="362" spans="1:12" s="1" customFormat="1">
      <c r="A362" s="107"/>
      <c r="B362" s="5" t="s">
        <v>63</v>
      </c>
      <c r="C362" s="5" t="s">
        <v>17</v>
      </c>
      <c r="D362" s="5">
        <v>1</v>
      </c>
      <c r="E362" s="97">
        <f>247*8*(A356/1973)</f>
        <v>75.114039533705011</v>
      </c>
      <c r="F362" s="26">
        <f>E362/A356</f>
        <v>1.0015205271160668</v>
      </c>
      <c r="G362" s="35">
        <f t="shared" si="61"/>
        <v>1.3333333333333332E-2</v>
      </c>
      <c r="H362" s="145">
        <f>30000*0.08</f>
        <v>2400</v>
      </c>
      <c r="I362" s="83">
        <f t="shared" si="60"/>
        <v>31.999999999999996</v>
      </c>
    </row>
    <row r="363" spans="1:12" s="1" customFormat="1">
      <c r="A363" s="107"/>
      <c r="B363" s="31" t="s">
        <v>55</v>
      </c>
      <c r="C363" s="5" t="s">
        <v>17</v>
      </c>
      <c r="D363" s="5">
        <v>1</v>
      </c>
      <c r="E363" s="97">
        <f>247*8*(A356/1973)</f>
        <v>75.114039533705011</v>
      </c>
      <c r="F363" s="26">
        <f>E363/A356</f>
        <v>1.0015205271160668</v>
      </c>
      <c r="G363" s="35">
        <f t="shared" si="61"/>
        <v>1.3333333333333332E-2</v>
      </c>
      <c r="H363" s="145">
        <f>25200*0.08</f>
        <v>2016</v>
      </c>
      <c r="I363" s="83">
        <f t="shared" si="60"/>
        <v>26.88</v>
      </c>
    </row>
    <row r="364" spans="1:12" s="1" customFormat="1">
      <c r="A364" s="107"/>
      <c r="B364" s="48" t="s">
        <v>82</v>
      </c>
      <c r="C364" s="5" t="s">
        <v>17</v>
      </c>
      <c r="D364" s="5">
        <v>1</v>
      </c>
      <c r="E364" s="97">
        <f>247*8*(A356/1973)</f>
        <v>75.114039533705011</v>
      </c>
      <c r="F364" s="26">
        <f>E364/A356</f>
        <v>1.0015205271160668</v>
      </c>
      <c r="G364" s="35">
        <f t="shared" si="61"/>
        <v>1.3333333333333332E-2</v>
      </c>
      <c r="H364" s="145">
        <f>9000*0.08</f>
        <v>720</v>
      </c>
      <c r="I364" s="83">
        <f t="shared" si="60"/>
        <v>9.6</v>
      </c>
    </row>
    <row r="365" spans="1:12" s="1" customFormat="1" ht="30">
      <c r="A365" s="107"/>
      <c r="B365" s="48" t="s">
        <v>111</v>
      </c>
      <c r="C365" s="5" t="s">
        <v>17</v>
      </c>
      <c r="D365" s="5">
        <v>1</v>
      </c>
      <c r="E365" s="97">
        <f>247*8*(A356/1973)</f>
        <v>75.114039533705011</v>
      </c>
      <c r="F365" s="26">
        <f>E365/A356</f>
        <v>1.0015205271160668</v>
      </c>
      <c r="G365" s="35">
        <f t="shared" si="61"/>
        <v>1.3333333333333332E-2</v>
      </c>
      <c r="H365" s="145">
        <f>(108528+52870)*0.08</f>
        <v>12911.84</v>
      </c>
      <c r="I365" s="83">
        <f t="shared" si="60"/>
        <v>172.15786666666665</v>
      </c>
    </row>
    <row r="366" spans="1:12" s="1" customFormat="1" ht="15.75" customHeight="1">
      <c r="A366" s="107"/>
      <c r="B366" s="48" t="s">
        <v>112</v>
      </c>
      <c r="C366" s="5" t="s">
        <v>17</v>
      </c>
      <c r="D366" s="5">
        <v>1</v>
      </c>
      <c r="E366" s="97">
        <f>247*8*(A356/1973)</f>
        <v>75.114039533705011</v>
      </c>
      <c r="F366" s="26">
        <f>E366/A356</f>
        <v>1.0015205271160668</v>
      </c>
      <c r="G366" s="35">
        <f t="shared" si="61"/>
        <v>1.3333333333333332E-2</v>
      </c>
      <c r="H366" s="145">
        <f>13286*0.08</f>
        <v>1062.8800000000001</v>
      </c>
      <c r="I366" s="83">
        <f t="shared" si="60"/>
        <v>14.171733333333334</v>
      </c>
    </row>
    <row r="367" spans="1:12" s="1" customFormat="1">
      <c r="A367" s="107"/>
      <c r="B367" s="48" t="s">
        <v>39</v>
      </c>
      <c r="C367" s="5" t="s">
        <v>17</v>
      </c>
      <c r="D367" s="5">
        <v>1</v>
      </c>
      <c r="E367" s="97">
        <f>247*8*(A356/1973)</f>
        <v>75.114039533705011</v>
      </c>
      <c r="F367" s="26">
        <f>E367/A356</f>
        <v>1.0015205271160668</v>
      </c>
      <c r="G367" s="35">
        <f t="shared" si="61"/>
        <v>1.3333333333333332E-2</v>
      </c>
      <c r="H367" s="145">
        <f>6541.2*0.08</f>
        <v>523.29600000000005</v>
      </c>
      <c r="I367" s="83">
        <f t="shared" si="60"/>
        <v>6.9772800000000004</v>
      </c>
    </row>
    <row r="368" spans="1:12" s="1" customFormat="1">
      <c r="A368" s="107"/>
      <c r="B368" s="48" t="s">
        <v>120</v>
      </c>
      <c r="C368" s="5" t="s">
        <v>17</v>
      </c>
      <c r="D368" s="5">
        <v>1</v>
      </c>
      <c r="E368" s="97">
        <f>247*8*(A356/1973)</f>
        <v>75.114039533705011</v>
      </c>
      <c r="F368" s="26">
        <f>E368/A356</f>
        <v>1.0015205271160668</v>
      </c>
      <c r="G368" s="35">
        <f t="shared" si="61"/>
        <v>1.3333333333333332E-2</v>
      </c>
      <c r="H368" s="145">
        <f>(6877.8+17289)*0.08</f>
        <v>1933.3440000000001</v>
      </c>
      <c r="I368" s="83">
        <f t="shared" si="60"/>
        <v>25.777919999999998</v>
      </c>
    </row>
    <row r="369" spans="1:12" s="1" customFormat="1" ht="13.7" customHeight="1">
      <c r="A369" s="107"/>
      <c r="B369" s="48" t="s">
        <v>113</v>
      </c>
      <c r="C369" s="5" t="s">
        <v>17</v>
      </c>
      <c r="D369" s="5">
        <v>1</v>
      </c>
      <c r="E369" s="97">
        <f>247*8*(A356/1973)</f>
        <v>75.114039533705011</v>
      </c>
      <c r="F369" s="26">
        <f>E369/A356</f>
        <v>1.0015205271160668</v>
      </c>
      <c r="G369" s="35">
        <f t="shared" si="61"/>
        <v>1.3333333333333332E-2</v>
      </c>
      <c r="H369" s="145">
        <f>3455*0.08</f>
        <v>276.40000000000003</v>
      </c>
      <c r="I369" s="83">
        <f t="shared" si="60"/>
        <v>3.6853333333333333</v>
      </c>
    </row>
    <row r="370" spans="1:12" s="1" customFormat="1" ht="15.75" thickBot="1">
      <c r="A370" s="108"/>
      <c r="B370" s="18"/>
      <c r="C370" s="18"/>
      <c r="D370" s="18"/>
      <c r="E370" s="95"/>
      <c r="F370" s="18"/>
      <c r="G370" s="20"/>
      <c r="H370" s="37"/>
      <c r="I370" s="87">
        <f>SUM(I355:I369)</f>
        <v>1017.4506666666667</v>
      </c>
      <c r="J370" s="126">
        <f>(59393+108528+21600+6000+4800+55200+6541.2+9000+16000+27020+6877.8+20400+17289+13286+3455+525600+52870)*0.08</f>
        <v>76308.800000000003</v>
      </c>
      <c r="K370" s="127">
        <f>I370*A356</f>
        <v>76308.800000000003</v>
      </c>
      <c r="L370" s="127">
        <f>J370-K370</f>
        <v>0</v>
      </c>
    </row>
    <row r="371" spans="1:12">
      <c r="A371" s="104" t="s">
        <v>70</v>
      </c>
      <c r="B371" s="13" t="s">
        <v>36</v>
      </c>
      <c r="C371" s="13" t="s">
        <v>17</v>
      </c>
      <c r="D371" s="13">
        <v>1</v>
      </c>
      <c r="E371" s="124">
        <f>247*8*(A372/1973)</f>
        <v>97.147491130258487</v>
      </c>
      <c r="F371" s="25">
        <f>E371/A372</f>
        <v>1.001520527116067</v>
      </c>
      <c r="G371" s="36">
        <f>D371/E371*F371</f>
        <v>1.0309278350515465E-2</v>
      </c>
      <c r="H371" s="156">
        <f>89087*0.1</f>
        <v>8908.7000000000007</v>
      </c>
      <c r="I371" s="82">
        <f>H371*G371</f>
        <v>91.842268041237134</v>
      </c>
    </row>
    <row r="372" spans="1:12" s="1" customFormat="1">
      <c r="A372" s="112">
        <f>ком.усл!A133</f>
        <v>97</v>
      </c>
      <c r="B372" s="5" t="s">
        <v>37</v>
      </c>
      <c r="C372" s="5" t="s">
        <v>17</v>
      </c>
      <c r="D372" s="5">
        <v>1</v>
      </c>
      <c r="E372" s="97">
        <f>247*8*(A372/1973)</f>
        <v>97.147491130258487</v>
      </c>
      <c r="F372" s="26">
        <f>E372/A372</f>
        <v>1.001520527116067</v>
      </c>
      <c r="G372" s="35">
        <f>D372/E372*F372</f>
        <v>1.0309278350515465E-2</v>
      </c>
      <c r="H372" s="145">
        <f>31200*0.1</f>
        <v>3120</v>
      </c>
      <c r="I372" s="83">
        <f t="shared" ref="I372:I385" si="62">H372*G372</f>
        <v>32.164948453608254</v>
      </c>
    </row>
    <row r="373" spans="1:12" s="1" customFormat="1">
      <c r="A373" s="113"/>
      <c r="B373" s="5" t="s">
        <v>40</v>
      </c>
      <c r="C373" s="5" t="s">
        <v>17</v>
      </c>
      <c r="D373" s="5">
        <v>1</v>
      </c>
      <c r="E373" s="97">
        <f>247*8*(A372/1973)</f>
        <v>97.147491130258487</v>
      </c>
      <c r="F373" s="26">
        <f>E373/A372</f>
        <v>1.001520527116067</v>
      </c>
      <c r="G373" s="35">
        <f>D373/E373*F373</f>
        <v>1.0309278350515465E-2</v>
      </c>
      <c r="H373" s="145">
        <f>31200*0.1</f>
        <v>3120</v>
      </c>
      <c r="I373" s="83">
        <f t="shared" si="62"/>
        <v>32.164948453608254</v>
      </c>
    </row>
    <row r="374" spans="1:12" s="1" customFormat="1">
      <c r="A374" s="113"/>
      <c r="B374" s="5" t="s">
        <v>38</v>
      </c>
      <c r="C374" s="5" t="s">
        <v>17</v>
      </c>
      <c r="D374" s="5">
        <v>1</v>
      </c>
      <c r="E374" s="97">
        <f>247*8*(A372/1973)</f>
        <v>97.147491130258487</v>
      </c>
      <c r="F374" s="26">
        <f>E374/A372</f>
        <v>1.001520527116067</v>
      </c>
      <c r="G374" s="35">
        <f t="shared" ref="G374:G385" si="63">D374/E374*F374</f>
        <v>1.0309278350515465E-2</v>
      </c>
      <c r="H374" s="145">
        <f>20400*0.1</f>
        <v>2040</v>
      </c>
      <c r="I374" s="83">
        <f t="shared" si="62"/>
        <v>21.03092783505155</v>
      </c>
    </row>
    <row r="375" spans="1:12" s="1" customFormat="1">
      <c r="A375" s="113"/>
      <c r="B375" s="5" t="s">
        <v>121</v>
      </c>
      <c r="C375" s="5" t="s">
        <v>17</v>
      </c>
      <c r="D375" s="5">
        <v>1</v>
      </c>
      <c r="E375" s="97">
        <f>247*8*(A372/1973)</f>
        <v>97.147491130258487</v>
      </c>
      <c r="F375" s="26">
        <f>E375/A372</f>
        <v>1.001520527116067</v>
      </c>
      <c r="G375" s="35">
        <f t="shared" si="63"/>
        <v>1.0309278350515465E-2</v>
      </c>
      <c r="H375" s="145">
        <f>16400*0.1</f>
        <v>1640</v>
      </c>
      <c r="I375" s="83">
        <f t="shared" si="62"/>
        <v>16.907216494845365</v>
      </c>
    </row>
    <row r="376" spans="1:12" s="1" customFormat="1">
      <c r="A376" s="113"/>
      <c r="B376" s="5" t="s">
        <v>56</v>
      </c>
      <c r="C376" s="5" t="s">
        <v>17</v>
      </c>
      <c r="D376" s="5">
        <v>1</v>
      </c>
      <c r="E376" s="97">
        <f>247*8*(A372/1973)</f>
        <v>97.147491130258487</v>
      </c>
      <c r="F376" s="26">
        <f>E376/A372</f>
        <v>1.001520527116067</v>
      </c>
      <c r="G376" s="35">
        <f t="shared" si="63"/>
        <v>1.0309278350515465E-2</v>
      </c>
      <c r="H376" s="145">
        <f>14000*0.1</f>
        <v>1400</v>
      </c>
      <c r="I376" s="83">
        <f t="shared" si="62"/>
        <v>14.432989690721651</v>
      </c>
    </row>
    <row r="377" spans="1:12" s="1" customFormat="1">
      <c r="A377" s="113"/>
      <c r="B377" s="5" t="s">
        <v>41</v>
      </c>
      <c r="C377" s="5" t="s">
        <v>17</v>
      </c>
      <c r="D377" s="5">
        <v>1</v>
      </c>
      <c r="E377" s="97">
        <f>247*8*(A372/1973)</f>
        <v>97.147491130258487</v>
      </c>
      <c r="F377" s="26">
        <f>E377/A372</f>
        <v>1.001520527116067</v>
      </c>
      <c r="G377" s="35">
        <f t="shared" si="63"/>
        <v>1.0309278350515465E-2</v>
      </c>
      <c r="H377" s="145">
        <f>59250*0.1</f>
        <v>5925</v>
      </c>
      <c r="I377" s="83">
        <f t="shared" si="62"/>
        <v>61.082474226804131</v>
      </c>
    </row>
    <row r="378" spans="1:12" s="1" customFormat="1">
      <c r="A378" s="113"/>
      <c r="B378" s="5" t="s">
        <v>63</v>
      </c>
      <c r="C378" s="5" t="s">
        <v>17</v>
      </c>
      <c r="D378" s="5">
        <v>1</v>
      </c>
      <c r="E378" s="97">
        <f>247*8*(A372/1973)</f>
        <v>97.147491130258487</v>
      </c>
      <c r="F378" s="26">
        <f>E378/A372</f>
        <v>1.001520527116067</v>
      </c>
      <c r="G378" s="35">
        <f t="shared" si="63"/>
        <v>1.0309278350515465E-2</v>
      </c>
      <c r="H378" s="145">
        <f>30000*0.1</f>
        <v>3000</v>
      </c>
      <c r="I378" s="83">
        <f t="shared" si="62"/>
        <v>30.927835051546396</v>
      </c>
    </row>
    <row r="379" spans="1:12" s="1" customFormat="1">
      <c r="A379" s="113"/>
      <c r="B379" s="31" t="s">
        <v>55</v>
      </c>
      <c r="C379" s="5" t="s">
        <v>17</v>
      </c>
      <c r="D379" s="5">
        <v>1</v>
      </c>
      <c r="E379" s="97">
        <f>247*8*(A372/1973)</f>
        <v>97.147491130258487</v>
      </c>
      <c r="F379" s="26">
        <f>E379/A372</f>
        <v>1.001520527116067</v>
      </c>
      <c r="G379" s="35">
        <f t="shared" si="63"/>
        <v>1.0309278350515465E-2</v>
      </c>
      <c r="H379" s="145">
        <f>50400*0.1</f>
        <v>5040</v>
      </c>
      <c r="I379" s="83">
        <f t="shared" si="62"/>
        <v>51.958762886597945</v>
      </c>
    </row>
    <row r="380" spans="1:12" s="1" customFormat="1">
      <c r="A380" s="113"/>
      <c r="B380" s="48" t="s">
        <v>82</v>
      </c>
      <c r="C380" s="5" t="s">
        <v>17</v>
      </c>
      <c r="D380" s="5">
        <v>1</v>
      </c>
      <c r="E380" s="97">
        <f>247*8*(A372/1973)</f>
        <v>97.147491130258487</v>
      </c>
      <c r="F380" s="26">
        <f>E380/A372</f>
        <v>1.001520527116067</v>
      </c>
      <c r="G380" s="35">
        <f t="shared" si="63"/>
        <v>1.0309278350515465E-2</v>
      </c>
      <c r="H380" s="145"/>
      <c r="I380" s="83">
        <f t="shared" si="62"/>
        <v>0</v>
      </c>
    </row>
    <row r="381" spans="1:12" s="1" customFormat="1">
      <c r="A381" s="113"/>
      <c r="B381" s="48" t="s">
        <v>126</v>
      </c>
      <c r="C381" s="5" t="s">
        <v>17</v>
      </c>
      <c r="D381" s="5">
        <v>1</v>
      </c>
      <c r="E381" s="97">
        <f>247*8*(A372/1973)</f>
        <v>97.147491130258487</v>
      </c>
      <c r="F381" s="26">
        <f>E381/A372</f>
        <v>1.001520527116067</v>
      </c>
      <c r="G381" s="35">
        <f t="shared" si="63"/>
        <v>1.0309278350515465E-2</v>
      </c>
      <c r="H381" s="145">
        <f>16050.84*0.1</f>
        <v>1605.0840000000001</v>
      </c>
      <c r="I381" s="83">
        <f t="shared" si="62"/>
        <v>16.547257731958766</v>
      </c>
    </row>
    <row r="382" spans="1:12" s="1" customFormat="1">
      <c r="A382" s="113"/>
      <c r="B382" s="48" t="s">
        <v>125</v>
      </c>
      <c r="C382" s="5" t="s">
        <v>17</v>
      </c>
      <c r="D382" s="5">
        <v>1</v>
      </c>
      <c r="E382" s="97">
        <f>247*8*(A372/1973)</f>
        <v>97.147491130258487</v>
      </c>
      <c r="F382" s="26">
        <f>E382/A372</f>
        <v>1.001520527116067</v>
      </c>
      <c r="G382" s="35">
        <f t="shared" si="63"/>
        <v>1.0309278350515465E-2</v>
      </c>
      <c r="H382" s="145">
        <f>14000*0.1</f>
        <v>1400</v>
      </c>
      <c r="I382" s="83">
        <f t="shared" si="62"/>
        <v>14.432989690721651</v>
      </c>
    </row>
    <row r="383" spans="1:12" s="1" customFormat="1">
      <c r="A383" s="107"/>
      <c r="B383" s="48" t="s">
        <v>39</v>
      </c>
      <c r="C383" s="5" t="s">
        <v>17</v>
      </c>
      <c r="D383" s="5">
        <v>1</v>
      </c>
      <c r="E383" s="97">
        <f>247*8*(A372/1973)</f>
        <v>97.147491130258487</v>
      </c>
      <c r="F383" s="26">
        <f>E383/A372</f>
        <v>1.001520527116067</v>
      </c>
      <c r="G383" s="35">
        <f t="shared" si="63"/>
        <v>1.0309278350515465E-2</v>
      </c>
      <c r="H383" s="145">
        <f>18549*0.1</f>
        <v>1854.9</v>
      </c>
      <c r="I383" s="83">
        <f t="shared" si="62"/>
        <v>19.122680412371139</v>
      </c>
    </row>
    <row r="384" spans="1:12" s="1" customFormat="1">
      <c r="A384" s="107"/>
      <c r="B384" s="48" t="s">
        <v>120</v>
      </c>
      <c r="C384" s="5" t="s">
        <v>17</v>
      </c>
      <c r="D384" s="5">
        <v>1</v>
      </c>
      <c r="E384" s="97">
        <f>247*8*(A372/1973)</f>
        <v>97.147491130258487</v>
      </c>
      <c r="F384" s="26">
        <f>E384/A372</f>
        <v>1.001520527116067</v>
      </c>
      <c r="G384" s="35">
        <f t="shared" si="63"/>
        <v>1.0309278350515465E-2</v>
      </c>
      <c r="H384" s="145">
        <f>(9170.16+19390.4+89000)*0.1</f>
        <v>11756.056</v>
      </c>
      <c r="I384" s="83">
        <f t="shared" si="62"/>
        <v>121.19645360824745</v>
      </c>
    </row>
    <row r="385" spans="1:12" s="1" customFormat="1" ht="13.7" customHeight="1">
      <c r="A385" s="107"/>
      <c r="B385" s="48" t="s">
        <v>113</v>
      </c>
      <c r="C385" s="5" t="s">
        <v>17</v>
      </c>
      <c r="D385" s="5">
        <v>1</v>
      </c>
      <c r="E385" s="97">
        <f>247*8*(A372/1973)</f>
        <v>97.147491130258487</v>
      </c>
      <c r="F385" s="26">
        <f>E385/A372</f>
        <v>1.001520527116067</v>
      </c>
      <c r="G385" s="35">
        <f t="shared" si="63"/>
        <v>1.0309278350515465E-2</v>
      </c>
      <c r="H385" s="145">
        <f>3000*0.1</f>
        <v>300</v>
      </c>
      <c r="I385" s="83">
        <f t="shared" si="62"/>
        <v>3.0927835051546397</v>
      </c>
    </row>
    <row r="386" spans="1:12" s="1" customFormat="1" ht="15.75" thickBot="1">
      <c r="A386" s="108"/>
      <c r="B386" s="18"/>
      <c r="C386" s="18"/>
      <c r="D386" s="18"/>
      <c r="E386" s="95"/>
      <c r="F386" s="18"/>
      <c r="G386" s="20"/>
      <c r="H386" s="37"/>
      <c r="I386" s="87">
        <f>SUM(I371:I385)</f>
        <v>526.90453608247435</v>
      </c>
      <c r="J386" s="126">
        <f>(89087+31200+31200+80400+18549+16050.84+14000+59250+9170.16+16400+20400+19390.4+14000+89000+3000)*0.1</f>
        <v>51109.740000000005</v>
      </c>
      <c r="K386" s="127">
        <f>I386*A372</f>
        <v>51109.740000000013</v>
      </c>
      <c r="L386" s="127">
        <f>J386-K386</f>
        <v>0</v>
      </c>
    </row>
    <row r="387" spans="1:12">
      <c r="A387" s="104" t="s">
        <v>71</v>
      </c>
      <c r="B387" s="13" t="s">
        <v>36</v>
      </c>
      <c r="C387" s="13" t="s">
        <v>17</v>
      </c>
      <c r="D387" s="13">
        <v>1</v>
      </c>
      <c r="E387" s="124">
        <f>247*8*(A388/1973)</f>
        <v>36.054738976178413</v>
      </c>
      <c r="F387" s="25">
        <f>E387/A388</f>
        <v>1.001520527116067</v>
      </c>
      <c r="G387" s="36">
        <f>D387/E387*F387</f>
        <v>2.777777777777778E-2</v>
      </c>
      <c r="H387" s="156">
        <f>44544*0.06</f>
        <v>2672.64</v>
      </c>
      <c r="I387" s="82">
        <f>H387*G387</f>
        <v>74.239999999999995</v>
      </c>
    </row>
    <row r="388" spans="1:12" s="1" customFormat="1">
      <c r="A388" s="112">
        <f>ком.усл!A138</f>
        <v>36</v>
      </c>
      <c r="B388" s="5" t="s">
        <v>37</v>
      </c>
      <c r="C388" s="5" t="s">
        <v>17</v>
      </c>
      <c r="D388" s="5">
        <v>1</v>
      </c>
      <c r="E388" s="97">
        <f>247*8*(A388/1973)</f>
        <v>36.054738976178413</v>
      </c>
      <c r="F388" s="26">
        <f>E388/A388</f>
        <v>1.001520527116067</v>
      </c>
      <c r="G388" s="35">
        <f>D388/E388*F388</f>
        <v>2.777777777777778E-2</v>
      </c>
      <c r="H388" s="145">
        <f>32400*0.06</f>
        <v>1944</v>
      </c>
      <c r="I388" s="83">
        <f t="shared" ref="I388:I401" si="64">H388*G388</f>
        <v>54.000000000000007</v>
      </c>
    </row>
    <row r="389" spans="1:12" s="1" customFormat="1">
      <c r="A389" s="113"/>
      <c r="B389" s="5" t="s">
        <v>40</v>
      </c>
      <c r="C389" s="5" t="s">
        <v>17</v>
      </c>
      <c r="D389" s="5">
        <v>1</v>
      </c>
      <c r="E389" s="97">
        <f>247*8*(A388/1973)</f>
        <v>36.054738976178413</v>
      </c>
      <c r="F389" s="26">
        <f>E389/A388</f>
        <v>1.001520527116067</v>
      </c>
      <c r="G389" s="35">
        <f>D389/E389*F389</f>
        <v>2.777777777777778E-2</v>
      </c>
      <c r="H389" s="145">
        <f>14400*0.06</f>
        <v>864</v>
      </c>
      <c r="I389" s="83">
        <f t="shared" si="64"/>
        <v>24</v>
      </c>
    </row>
    <row r="390" spans="1:12" s="1" customFormat="1">
      <c r="A390" s="113"/>
      <c r="B390" s="5" t="s">
        <v>38</v>
      </c>
      <c r="C390" s="5" t="s">
        <v>17</v>
      </c>
      <c r="D390" s="5">
        <v>1</v>
      </c>
      <c r="E390" s="97">
        <f>247*8*(A388/1973)</f>
        <v>36.054738976178413</v>
      </c>
      <c r="F390" s="26">
        <f>E390/A388</f>
        <v>1.001520527116067</v>
      </c>
      <c r="G390" s="35">
        <f t="shared" ref="G390:G401" si="65">D390/E390*F390</f>
        <v>2.777777777777778E-2</v>
      </c>
      <c r="H390" s="145">
        <f>20400*0.06</f>
        <v>1224</v>
      </c>
      <c r="I390" s="83">
        <f t="shared" si="64"/>
        <v>34</v>
      </c>
    </row>
    <row r="391" spans="1:12" s="1" customFormat="1">
      <c r="A391" s="113"/>
      <c r="B391" s="5" t="s">
        <v>96</v>
      </c>
      <c r="C391" s="5" t="s">
        <v>17</v>
      </c>
      <c r="D391" s="5">
        <v>1</v>
      </c>
      <c r="E391" s="97">
        <f>247*8*(A388/1973)</f>
        <v>36.054738976178413</v>
      </c>
      <c r="F391" s="26">
        <f>E391/A388</f>
        <v>1.001520527116067</v>
      </c>
      <c r="G391" s="35">
        <f t="shared" si="65"/>
        <v>2.777777777777778E-2</v>
      </c>
      <c r="H391" s="145">
        <f>10000*0.06</f>
        <v>600</v>
      </c>
      <c r="I391" s="83">
        <f t="shared" si="64"/>
        <v>16.666666666666668</v>
      </c>
    </row>
    <row r="392" spans="1:12" s="1" customFormat="1">
      <c r="A392" s="113"/>
      <c r="B392" s="5" t="s">
        <v>56</v>
      </c>
      <c r="C392" s="5" t="s">
        <v>17</v>
      </c>
      <c r="D392" s="5">
        <v>1</v>
      </c>
      <c r="E392" s="97">
        <f>247*8*(A388/1973)</f>
        <v>36.054738976178413</v>
      </c>
      <c r="F392" s="26">
        <f>E392/A388</f>
        <v>1.001520527116067</v>
      </c>
      <c r="G392" s="35">
        <f t="shared" si="65"/>
        <v>2.777777777777778E-2</v>
      </c>
      <c r="H392" s="145">
        <f>10000*0.06</f>
        <v>600</v>
      </c>
      <c r="I392" s="83">
        <f t="shared" si="64"/>
        <v>16.666666666666668</v>
      </c>
    </row>
    <row r="393" spans="1:12" s="1" customFormat="1">
      <c r="A393" s="113"/>
      <c r="B393" s="5" t="s">
        <v>41</v>
      </c>
      <c r="C393" s="5" t="s">
        <v>17</v>
      </c>
      <c r="D393" s="5">
        <v>1</v>
      </c>
      <c r="E393" s="97">
        <f>247*8*(A388/1973)</f>
        <v>36.054738976178413</v>
      </c>
      <c r="F393" s="26">
        <f>E393/A388</f>
        <v>1.001520527116067</v>
      </c>
      <c r="G393" s="35">
        <f t="shared" si="65"/>
        <v>2.777777777777778E-2</v>
      </c>
      <c r="H393" s="145">
        <f>10180*0.06</f>
        <v>610.79999999999995</v>
      </c>
      <c r="I393" s="83">
        <f t="shared" si="64"/>
        <v>16.966666666666665</v>
      </c>
    </row>
    <row r="394" spans="1:12" s="1" customFormat="1">
      <c r="A394" s="113"/>
      <c r="B394" s="5" t="s">
        <v>63</v>
      </c>
      <c r="C394" s="5" t="s">
        <v>17</v>
      </c>
      <c r="D394" s="5">
        <v>1</v>
      </c>
      <c r="E394" s="97">
        <f>247*8*(A388/1973)</f>
        <v>36.054738976178413</v>
      </c>
      <c r="F394" s="26">
        <f>E394/A388</f>
        <v>1.001520527116067</v>
      </c>
      <c r="G394" s="35">
        <f t="shared" si="65"/>
        <v>2.777777777777778E-2</v>
      </c>
      <c r="H394" s="145">
        <f>30000*0.06</f>
        <v>1800</v>
      </c>
      <c r="I394" s="83">
        <f t="shared" si="64"/>
        <v>50</v>
      </c>
    </row>
    <row r="395" spans="1:12" s="1" customFormat="1">
      <c r="A395" s="113"/>
      <c r="B395" s="31" t="s">
        <v>55</v>
      </c>
      <c r="C395" s="5" t="s">
        <v>17</v>
      </c>
      <c r="D395" s="5">
        <v>1</v>
      </c>
      <c r="E395" s="97">
        <f>247*8*(A388/1973)</f>
        <v>36.054738976178413</v>
      </c>
      <c r="F395" s="26">
        <f>E395/A388</f>
        <v>1.001520527116067</v>
      </c>
      <c r="G395" s="35">
        <f t="shared" si="65"/>
        <v>2.777777777777778E-2</v>
      </c>
      <c r="H395" s="145">
        <f>25200*0.06</f>
        <v>1512</v>
      </c>
      <c r="I395" s="83">
        <f t="shared" si="64"/>
        <v>42</v>
      </c>
    </row>
    <row r="396" spans="1:12" s="1" customFormat="1">
      <c r="A396" s="113"/>
      <c r="B396" s="48" t="s">
        <v>82</v>
      </c>
      <c r="C396" s="5" t="s">
        <v>17</v>
      </c>
      <c r="D396" s="5">
        <v>1</v>
      </c>
      <c r="E396" s="97">
        <f>247*8*(A388/1973)</f>
        <v>36.054738976178413</v>
      </c>
      <c r="F396" s="26">
        <f>E396/A388</f>
        <v>1.001520527116067</v>
      </c>
      <c r="G396" s="35">
        <f t="shared" si="65"/>
        <v>2.777777777777778E-2</v>
      </c>
      <c r="H396" s="145"/>
      <c r="I396" s="83">
        <f t="shared" si="64"/>
        <v>0</v>
      </c>
    </row>
    <row r="397" spans="1:12" s="1" customFormat="1" ht="30">
      <c r="A397" s="113"/>
      <c r="B397" s="48" t="s">
        <v>111</v>
      </c>
      <c r="C397" s="5" t="s">
        <v>17</v>
      </c>
      <c r="D397" s="5">
        <v>1</v>
      </c>
      <c r="E397" s="97">
        <f>247*8*(A388/1973)</f>
        <v>36.054738976178413</v>
      </c>
      <c r="F397" s="26">
        <f>E397/A388</f>
        <v>1.001520527116067</v>
      </c>
      <c r="G397" s="35">
        <f t="shared" si="65"/>
        <v>2.777777777777778E-2</v>
      </c>
      <c r="H397" s="145">
        <f>(108528+52860)*0.06</f>
        <v>9683.2799999999988</v>
      </c>
      <c r="I397" s="83">
        <f t="shared" si="64"/>
        <v>268.97999999999996</v>
      </c>
    </row>
    <row r="398" spans="1:12" s="1" customFormat="1">
      <c r="A398" s="107"/>
      <c r="B398" s="48" t="s">
        <v>127</v>
      </c>
      <c r="C398" s="5" t="s">
        <v>17</v>
      </c>
      <c r="D398" s="5">
        <v>1</v>
      </c>
      <c r="E398" s="97">
        <f>247*8*(A388/1973)</f>
        <v>36.054738976178413</v>
      </c>
      <c r="F398" s="26">
        <f>E398/A388</f>
        <v>1.001520527116067</v>
      </c>
      <c r="G398" s="35">
        <f t="shared" si="65"/>
        <v>2.777777777777778E-2</v>
      </c>
      <c r="H398" s="145">
        <f>6450*0.06</f>
        <v>387</v>
      </c>
      <c r="I398" s="83">
        <f t="shared" si="64"/>
        <v>10.75</v>
      </c>
    </row>
    <row r="399" spans="1:12" s="1" customFormat="1">
      <c r="A399" s="107"/>
      <c r="B399" s="48" t="s">
        <v>39</v>
      </c>
      <c r="C399" s="5" t="s">
        <v>17</v>
      </c>
      <c r="D399" s="5">
        <v>1</v>
      </c>
      <c r="E399" s="97">
        <f>247*8*(A388/1973)</f>
        <v>36.054738976178413</v>
      </c>
      <c r="F399" s="26">
        <f>E399/A388</f>
        <v>1.001520527116067</v>
      </c>
      <c r="G399" s="35">
        <f t="shared" si="65"/>
        <v>2.777777777777778E-2</v>
      </c>
      <c r="H399" s="145">
        <f>19834*0.06</f>
        <v>1190.04</v>
      </c>
      <c r="I399" s="83">
        <f t="shared" si="64"/>
        <v>33.056666666666665</v>
      </c>
    </row>
    <row r="400" spans="1:12" s="1" customFormat="1">
      <c r="A400" s="107"/>
      <c r="B400" s="48" t="s">
        <v>120</v>
      </c>
      <c r="C400" s="5" t="s">
        <v>17</v>
      </c>
      <c r="D400" s="5">
        <v>1</v>
      </c>
      <c r="E400" s="97">
        <f>247*8*(A388/1973)</f>
        <v>36.054738976178413</v>
      </c>
      <c r="F400" s="26">
        <f>E400/A388</f>
        <v>1.001520527116067</v>
      </c>
      <c r="G400" s="35">
        <f t="shared" si="65"/>
        <v>2.777777777777778E-2</v>
      </c>
      <c r="H400" s="145">
        <f>(9043+19368)*0.06</f>
        <v>1704.6599999999999</v>
      </c>
      <c r="I400" s="83">
        <f t="shared" si="64"/>
        <v>47.351666666666667</v>
      </c>
    </row>
    <row r="401" spans="1:12" s="1" customFormat="1" ht="13.7" customHeight="1">
      <c r="A401" s="107"/>
      <c r="B401" s="48" t="s">
        <v>113</v>
      </c>
      <c r="C401" s="5" t="s">
        <v>17</v>
      </c>
      <c r="D401" s="5">
        <v>1</v>
      </c>
      <c r="E401" s="97">
        <f>247*8*(A388/1973)</f>
        <v>36.054738976178413</v>
      </c>
      <c r="F401" s="26">
        <f>E401/A388</f>
        <v>1.001520527116067</v>
      </c>
      <c r="G401" s="35">
        <f t="shared" si="65"/>
        <v>2.777777777777778E-2</v>
      </c>
      <c r="H401" s="145">
        <f>5176*0.06</f>
        <v>310.56</v>
      </c>
      <c r="I401" s="83">
        <f t="shared" si="64"/>
        <v>8.6266666666666669</v>
      </c>
    </row>
    <row r="402" spans="1:12" s="1" customFormat="1" ht="15.75" thickBot="1">
      <c r="A402" s="108"/>
      <c r="B402" s="18"/>
      <c r="C402" s="18"/>
      <c r="D402" s="18"/>
      <c r="E402" s="95"/>
      <c r="F402" s="18"/>
      <c r="G402" s="20"/>
      <c r="H402" s="37"/>
      <c r="I402" s="87">
        <f>SUM(I387:I401)</f>
        <v>697.30499999999995</v>
      </c>
      <c r="J402" s="126">
        <f>(44544+108528+32400+14400+30000+25200+19834+6450+20000+10180+9043+20400+19368+5176+52860)*0.06</f>
        <v>25102.98</v>
      </c>
      <c r="K402" s="127">
        <f>I402*A388</f>
        <v>25102.98</v>
      </c>
      <c r="L402" s="127">
        <f>J402-K402</f>
        <v>0</v>
      </c>
    </row>
    <row r="403" spans="1:12" ht="15.75" thickBot="1">
      <c r="I403" s="90"/>
    </row>
    <row r="404" spans="1:12">
      <c r="A404" s="104" t="s">
        <v>94</v>
      </c>
      <c r="B404" s="13" t="s">
        <v>36</v>
      </c>
      <c r="C404" s="13" t="s">
        <v>17</v>
      </c>
      <c r="D404" s="13">
        <v>1</v>
      </c>
      <c r="E404" s="124">
        <f>247*8*(A405/1973)</f>
        <v>107.16269640141917</v>
      </c>
      <c r="F404" s="25">
        <f>E404/A405</f>
        <v>1.001520527116067</v>
      </c>
      <c r="G404" s="36">
        <f>D404/E404*F404</f>
        <v>9.3457943925233638E-3</v>
      </c>
      <c r="H404" s="156">
        <f>148032*0.11</f>
        <v>16283.52</v>
      </c>
      <c r="I404" s="82">
        <f>H404*G404</f>
        <v>152.18242990654204</v>
      </c>
    </row>
    <row r="405" spans="1:12" s="1" customFormat="1">
      <c r="A405" s="112">
        <f>ком.усл!A143</f>
        <v>107</v>
      </c>
      <c r="B405" s="5" t="s">
        <v>37</v>
      </c>
      <c r="C405" s="5" t="s">
        <v>17</v>
      </c>
      <c r="D405" s="5">
        <v>1</v>
      </c>
      <c r="E405" s="97">
        <f>247*8*(A405/1973)</f>
        <v>107.16269640141917</v>
      </c>
      <c r="F405" s="26">
        <f>E405/A405</f>
        <v>1.001520527116067</v>
      </c>
      <c r="G405" s="35">
        <f>D405/E405*F405</f>
        <v>9.3457943925233638E-3</v>
      </c>
      <c r="H405" s="145">
        <f>36000*0.11</f>
        <v>3960</v>
      </c>
      <c r="I405" s="83">
        <f t="shared" ref="I405:I418" si="66">H405*G405</f>
        <v>37.009345794392523</v>
      </c>
    </row>
    <row r="406" spans="1:12" s="1" customFormat="1">
      <c r="A406" s="113"/>
      <c r="B406" s="5" t="s">
        <v>40</v>
      </c>
      <c r="C406" s="5" t="s">
        <v>17</v>
      </c>
      <c r="D406" s="5">
        <v>1</v>
      </c>
      <c r="E406" s="97">
        <f>247*8*(A405/1973)</f>
        <v>107.16269640141917</v>
      </c>
      <c r="F406" s="26">
        <f>E406/A405</f>
        <v>1.001520527116067</v>
      </c>
      <c r="G406" s="35">
        <f>D406/E406*F406</f>
        <v>9.3457943925233638E-3</v>
      </c>
      <c r="H406" s="145"/>
      <c r="I406" s="83">
        <f t="shared" si="66"/>
        <v>0</v>
      </c>
    </row>
    <row r="407" spans="1:12" s="1" customFormat="1">
      <c r="A407" s="113"/>
      <c r="B407" s="5" t="s">
        <v>38</v>
      </c>
      <c r="C407" s="5" t="s">
        <v>17</v>
      </c>
      <c r="D407" s="5">
        <v>1</v>
      </c>
      <c r="E407" s="97">
        <f>247*8*(A405/1973)</f>
        <v>107.16269640141917</v>
      </c>
      <c r="F407" s="26">
        <f>E407/A405</f>
        <v>1.001520527116067</v>
      </c>
      <c r="G407" s="35">
        <f t="shared" ref="G407:G418" si="67">D407/E407*F407</f>
        <v>9.3457943925233638E-3</v>
      </c>
      <c r="H407" s="145">
        <f>40800*0.11</f>
        <v>4488</v>
      </c>
      <c r="I407" s="83">
        <f t="shared" si="66"/>
        <v>41.943925233644855</v>
      </c>
    </row>
    <row r="408" spans="1:12" s="1" customFormat="1">
      <c r="A408" s="113"/>
      <c r="B408" s="5" t="s">
        <v>121</v>
      </c>
      <c r="C408" s="5" t="s">
        <v>17</v>
      </c>
      <c r="D408" s="5">
        <v>1</v>
      </c>
      <c r="E408" s="97">
        <f>247*8*(A405/1973)</f>
        <v>107.16269640141917</v>
      </c>
      <c r="F408" s="26">
        <f>E408/A405</f>
        <v>1.001520527116067</v>
      </c>
      <c r="G408" s="35">
        <f t="shared" si="67"/>
        <v>9.3457943925233638E-3</v>
      </c>
      <c r="H408" s="145"/>
      <c r="I408" s="83">
        <f t="shared" si="66"/>
        <v>0</v>
      </c>
    </row>
    <row r="409" spans="1:12" s="1" customFormat="1">
      <c r="A409" s="113"/>
      <c r="B409" s="5" t="s">
        <v>56</v>
      </c>
      <c r="C409" s="5" t="s">
        <v>17</v>
      </c>
      <c r="D409" s="5">
        <v>1</v>
      </c>
      <c r="E409" s="97">
        <f>247*8*(A405/1973)</f>
        <v>107.16269640141917</v>
      </c>
      <c r="F409" s="26">
        <f>E409/A405</f>
        <v>1.001520527116067</v>
      </c>
      <c r="G409" s="35">
        <f t="shared" si="67"/>
        <v>9.3457943925233638E-3</v>
      </c>
      <c r="H409" s="145">
        <f>14000*0.11</f>
        <v>1540</v>
      </c>
      <c r="I409" s="83">
        <f t="shared" si="66"/>
        <v>14.39252336448598</v>
      </c>
    </row>
    <row r="410" spans="1:12" s="1" customFormat="1">
      <c r="A410" s="113"/>
      <c r="B410" s="5" t="s">
        <v>41</v>
      </c>
      <c r="C410" s="5" t="s">
        <v>17</v>
      </c>
      <c r="D410" s="5">
        <v>1</v>
      </c>
      <c r="E410" s="97">
        <f>247*8*(A405/1973)</f>
        <v>107.16269640141917</v>
      </c>
      <c r="F410" s="26">
        <f>E410/A405</f>
        <v>1.001520527116067</v>
      </c>
      <c r="G410" s="35">
        <f t="shared" si="67"/>
        <v>9.3457943925233638E-3</v>
      </c>
      <c r="H410" s="145">
        <f>75000*0.11</f>
        <v>8250</v>
      </c>
      <c r="I410" s="83">
        <f t="shared" si="66"/>
        <v>77.102803738317746</v>
      </c>
    </row>
    <row r="411" spans="1:12" s="1" customFormat="1">
      <c r="A411" s="113"/>
      <c r="B411" s="5" t="s">
        <v>63</v>
      </c>
      <c r="C411" s="5" t="s">
        <v>17</v>
      </c>
      <c r="D411" s="5">
        <v>1</v>
      </c>
      <c r="E411" s="97">
        <f>247*8*(A405/1973)</f>
        <v>107.16269640141917</v>
      </c>
      <c r="F411" s="26">
        <f>E411/A405</f>
        <v>1.001520527116067</v>
      </c>
      <c r="G411" s="35">
        <f t="shared" si="67"/>
        <v>9.3457943925233638E-3</v>
      </c>
      <c r="H411" s="145">
        <f>60000*0.11</f>
        <v>6600</v>
      </c>
      <c r="I411" s="83">
        <f t="shared" si="66"/>
        <v>61.682242990654203</v>
      </c>
    </row>
    <row r="412" spans="1:12" s="1" customFormat="1">
      <c r="A412" s="113"/>
      <c r="B412" s="31" t="s">
        <v>55</v>
      </c>
      <c r="C412" s="5" t="s">
        <v>17</v>
      </c>
      <c r="D412" s="5">
        <v>1</v>
      </c>
      <c r="E412" s="97">
        <f>247*8*(A405/1973)</f>
        <v>107.16269640141917</v>
      </c>
      <c r="F412" s="26">
        <f>E412/A405</f>
        <v>1.001520527116067</v>
      </c>
      <c r="G412" s="35">
        <f t="shared" si="67"/>
        <v>9.3457943925233638E-3</v>
      </c>
      <c r="H412" s="145">
        <f>43200*0.11</f>
        <v>4752</v>
      </c>
      <c r="I412" s="83">
        <f t="shared" si="66"/>
        <v>44.411214953271028</v>
      </c>
    </row>
    <row r="413" spans="1:12" s="1" customFormat="1">
      <c r="A413" s="113"/>
      <c r="B413" s="48" t="s">
        <v>82</v>
      </c>
      <c r="C413" s="5" t="s">
        <v>17</v>
      </c>
      <c r="D413" s="5">
        <v>1</v>
      </c>
      <c r="E413" s="97">
        <f>247*8*(A405/1973)</f>
        <v>107.16269640141917</v>
      </c>
      <c r="F413" s="26">
        <f>E413/A405</f>
        <v>1.001520527116067</v>
      </c>
      <c r="G413" s="35">
        <f t="shared" si="67"/>
        <v>9.3457943925233638E-3</v>
      </c>
      <c r="H413" s="145">
        <f>16800*0.11</f>
        <v>1848</v>
      </c>
      <c r="I413" s="83">
        <f t="shared" si="66"/>
        <v>17.271028037383175</v>
      </c>
    </row>
    <row r="414" spans="1:12" s="1" customFormat="1">
      <c r="A414" s="113"/>
      <c r="B414" s="48" t="s">
        <v>125</v>
      </c>
      <c r="C414" s="5" t="s">
        <v>17</v>
      </c>
      <c r="D414" s="5">
        <v>1</v>
      </c>
      <c r="E414" s="97">
        <f>247*8*(A405/1973)</f>
        <v>107.16269640141917</v>
      </c>
      <c r="F414" s="26">
        <f>E414/A405</f>
        <v>1.001520527116067</v>
      </c>
      <c r="G414" s="35">
        <f t="shared" si="67"/>
        <v>9.3457943925233638E-3</v>
      </c>
      <c r="H414" s="145">
        <f>11388*0.11</f>
        <v>1252.68</v>
      </c>
      <c r="I414" s="83">
        <f t="shared" si="66"/>
        <v>11.707289719626168</v>
      </c>
    </row>
    <row r="415" spans="1:12" s="1" customFormat="1">
      <c r="A415" s="113"/>
      <c r="B415" s="48" t="s">
        <v>112</v>
      </c>
      <c r="C415" s="5" t="s">
        <v>17</v>
      </c>
      <c r="D415" s="5">
        <v>1</v>
      </c>
      <c r="E415" s="97">
        <f>247*8*(A405/1973)</f>
        <v>107.16269640141917</v>
      </c>
      <c r="F415" s="26">
        <f>E415/A405</f>
        <v>1.001520527116067</v>
      </c>
      <c r="G415" s="35">
        <f t="shared" si="67"/>
        <v>9.3457943925233638E-3</v>
      </c>
      <c r="H415" s="145">
        <f>(167800+20000)*0.11</f>
        <v>20658</v>
      </c>
      <c r="I415" s="83">
        <f t="shared" si="66"/>
        <v>193.06542056074764</v>
      </c>
    </row>
    <row r="416" spans="1:12" s="1" customFormat="1">
      <c r="A416" s="107"/>
      <c r="B416" s="48" t="s">
        <v>39</v>
      </c>
      <c r="C416" s="5" t="s">
        <v>17</v>
      </c>
      <c r="D416" s="5">
        <v>1</v>
      </c>
      <c r="E416" s="97">
        <f>247*8*(A405/1973)</f>
        <v>107.16269640141917</v>
      </c>
      <c r="F416" s="26">
        <f>E416/A405</f>
        <v>1.001520527116067</v>
      </c>
      <c r="G416" s="35">
        <f t="shared" si="67"/>
        <v>9.3457943925233638E-3</v>
      </c>
      <c r="H416" s="145">
        <f>31113.6*0.11</f>
        <v>3422.4959999999996</v>
      </c>
      <c r="I416" s="83">
        <f t="shared" si="66"/>
        <v>31.985943925233638</v>
      </c>
    </row>
    <row r="417" spans="1:12" s="1" customFormat="1">
      <c r="A417" s="107"/>
      <c r="B417" s="48" t="s">
        <v>120</v>
      </c>
      <c r="C417" s="5" t="s">
        <v>17</v>
      </c>
      <c r="D417" s="5">
        <v>1</v>
      </c>
      <c r="E417" s="97">
        <f>247*8*(A405/1973)</f>
        <v>107.16269640141917</v>
      </c>
      <c r="F417" s="26">
        <f>E417/A405</f>
        <v>1.001520527116067</v>
      </c>
      <c r="G417" s="35">
        <f t="shared" si="67"/>
        <v>9.3457943925233638E-3</v>
      </c>
      <c r="H417" s="145">
        <f>(11466.4+24145.8)*0.11</f>
        <v>3917.3419999999996</v>
      </c>
      <c r="I417" s="83">
        <f t="shared" si="66"/>
        <v>36.610672897196253</v>
      </c>
    </row>
    <row r="418" spans="1:12" s="1" customFormat="1" ht="13.7" customHeight="1">
      <c r="A418" s="107"/>
      <c r="B418" s="48" t="s">
        <v>113</v>
      </c>
      <c r="C418" s="5" t="s">
        <v>17</v>
      </c>
      <c r="D418" s="5">
        <v>1</v>
      </c>
      <c r="E418" s="97">
        <f>247*8*(A405/1973)</f>
        <v>107.16269640141917</v>
      </c>
      <c r="F418" s="26">
        <f>E418/A405</f>
        <v>1.001520527116067</v>
      </c>
      <c r="G418" s="35">
        <f t="shared" si="67"/>
        <v>9.3457943925233638E-3</v>
      </c>
      <c r="H418" s="145">
        <f>3000*0.11</f>
        <v>330</v>
      </c>
      <c r="I418" s="83">
        <f t="shared" si="66"/>
        <v>3.08411214953271</v>
      </c>
    </row>
    <row r="419" spans="1:12" s="1" customFormat="1" ht="15.75" thickBot="1">
      <c r="A419" s="108"/>
      <c r="B419" s="18"/>
      <c r="C419" s="18"/>
      <c r="D419" s="18"/>
      <c r="E419" s="95"/>
      <c r="F419" s="18"/>
      <c r="G419" s="20"/>
      <c r="H419" s="37"/>
      <c r="I419" s="87">
        <f>SUM(I404:I418)</f>
        <v>722.4489532710279</v>
      </c>
      <c r="J419" s="126">
        <f>(148032+36000+60000+43200+31113.6+16800+14000+75000+11466.4+167800+60800+24145.8+11388+3000)*0.11</f>
        <v>77302.038</v>
      </c>
      <c r="K419" s="127">
        <f>I419*A405</f>
        <v>77302.037999999986</v>
      </c>
      <c r="L419" s="127">
        <f>J419-K419</f>
        <v>0</v>
      </c>
    </row>
    <row r="420" spans="1:12" ht="15.75" thickBot="1">
      <c r="E420" s="140"/>
      <c r="I420" s="90"/>
    </row>
    <row r="421" spans="1:12">
      <c r="A421" s="104" t="s">
        <v>73</v>
      </c>
      <c r="B421" s="13" t="s">
        <v>36</v>
      </c>
      <c r="C421" s="13" t="s">
        <v>17</v>
      </c>
      <c r="D421" s="13">
        <v>1</v>
      </c>
      <c r="E421" s="124">
        <f>247*8*(A422/1973)</f>
        <v>30.045615813482005</v>
      </c>
      <c r="F421" s="25">
        <f>E421/A422</f>
        <v>1.0015205271160668</v>
      </c>
      <c r="G421" s="36">
        <f>D421/E421*F421</f>
        <v>3.3333333333333326E-2</v>
      </c>
      <c r="H421" s="156">
        <f>22272*0.11</f>
        <v>2449.92</v>
      </c>
      <c r="I421" s="82">
        <f>H421*G421</f>
        <v>81.663999999999987</v>
      </c>
    </row>
    <row r="422" spans="1:12" s="1" customFormat="1">
      <c r="A422" s="112">
        <f>ком.усл!A149</f>
        <v>30</v>
      </c>
      <c r="B422" s="5" t="s">
        <v>37</v>
      </c>
      <c r="C422" s="5" t="s">
        <v>17</v>
      </c>
      <c r="D422" s="5">
        <v>1</v>
      </c>
      <c r="E422" s="97">
        <f>247*8*(A422/1973)</f>
        <v>30.045615813482005</v>
      </c>
      <c r="F422" s="26">
        <f>E422/A422</f>
        <v>1.0015205271160668</v>
      </c>
      <c r="G422" s="35">
        <f>D422/E422*F422</f>
        <v>3.3333333333333326E-2</v>
      </c>
      <c r="H422" s="145">
        <f>18000*0.11</f>
        <v>1980</v>
      </c>
      <c r="I422" s="83">
        <f t="shared" ref="I422:I435" si="68">H422*G422</f>
        <v>65.999999999999986</v>
      </c>
    </row>
    <row r="423" spans="1:12" s="1" customFormat="1">
      <c r="A423" s="113"/>
      <c r="B423" s="5" t="s">
        <v>40</v>
      </c>
      <c r="C423" s="5" t="s">
        <v>17</v>
      </c>
      <c r="D423" s="5">
        <v>1</v>
      </c>
      <c r="E423" s="97">
        <f>247*8*(A422/1973)</f>
        <v>30.045615813482005</v>
      </c>
      <c r="F423" s="26">
        <f>E423/A422</f>
        <v>1.0015205271160668</v>
      </c>
      <c r="G423" s="35">
        <f>D423/E423*F423</f>
        <v>3.3333333333333326E-2</v>
      </c>
      <c r="H423" s="145">
        <f>12000*0.11</f>
        <v>1320</v>
      </c>
      <c r="I423" s="83">
        <f t="shared" si="68"/>
        <v>43.999999999999993</v>
      </c>
    </row>
    <row r="424" spans="1:12" s="1" customFormat="1">
      <c r="A424" s="113"/>
      <c r="B424" s="5" t="s">
        <v>38</v>
      </c>
      <c r="C424" s="5" t="s">
        <v>17</v>
      </c>
      <c r="D424" s="5">
        <v>1</v>
      </c>
      <c r="E424" s="97">
        <f>247*8*(A422/1973)</f>
        <v>30.045615813482005</v>
      </c>
      <c r="F424" s="26">
        <f>E424/A422</f>
        <v>1.0015205271160668</v>
      </c>
      <c r="G424" s="35">
        <f t="shared" ref="G424:G435" si="69">D424/E424*F424</f>
        <v>3.3333333333333326E-2</v>
      </c>
      <c r="H424" s="145">
        <f>20400*0.11</f>
        <v>2244</v>
      </c>
      <c r="I424" s="83">
        <f t="shared" si="68"/>
        <v>74.799999999999983</v>
      </c>
    </row>
    <row r="425" spans="1:12" s="1" customFormat="1">
      <c r="A425" s="113"/>
      <c r="B425" s="5" t="s">
        <v>96</v>
      </c>
      <c r="C425" s="5" t="s">
        <v>17</v>
      </c>
      <c r="D425" s="5">
        <v>1</v>
      </c>
      <c r="E425" s="97">
        <f>247*8*(A422/1973)</f>
        <v>30.045615813482005</v>
      </c>
      <c r="F425" s="26">
        <f>E425/A422</f>
        <v>1.0015205271160668</v>
      </c>
      <c r="G425" s="35">
        <f t="shared" si="69"/>
        <v>3.3333333333333326E-2</v>
      </c>
      <c r="H425" s="145">
        <f>30600*0.11</f>
        <v>3366</v>
      </c>
      <c r="I425" s="83">
        <f t="shared" si="68"/>
        <v>112.19999999999997</v>
      </c>
    </row>
    <row r="426" spans="1:12" s="1" customFormat="1">
      <c r="A426" s="113"/>
      <c r="B426" s="5" t="s">
        <v>56</v>
      </c>
      <c r="C426" s="5" t="s">
        <v>17</v>
      </c>
      <c r="D426" s="5">
        <v>1</v>
      </c>
      <c r="E426" s="97">
        <f>247*8*(A422/1973)</f>
        <v>30.045615813482005</v>
      </c>
      <c r="F426" s="26">
        <f>E426/A422</f>
        <v>1.0015205271160668</v>
      </c>
      <c r="G426" s="35">
        <f t="shared" si="69"/>
        <v>3.3333333333333326E-2</v>
      </c>
      <c r="H426" s="145">
        <f>6000*0.11</f>
        <v>660</v>
      </c>
      <c r="I426" s="83">
        <f t="shared" si="68"/>
        <v>21.999999999999996</v>
      </c>
    </row>
    <row r="427" spans="1:12" s="1" customFormat="1">
      <c r="A427" s="113"/>
      <c r="B427" s="5" t="s">
        <v>41</v>
      </c>
      <c r="C427" s="5" t="s">
        <v>17</v>
      </c>
      <c r="D427" s="5">
        <v>1</v>
      </c>
      <c r="E427" s="97">
        <f>247*8*(A422/1973)</f>
        <v>30.045615813482005</v>
      </c>
      <c r="F427" s="26">
        <f>E427/A422</f>
        <v>1.0015205271160668</v>
      </c>
      <c r="G427" s="35">
        <f t="shared" si="69"/>
        <v>3.3333333333333326E-2</v>
      </c>
      <c r="H427" s="145">
        <f>11040*0.11</f>
        <v>1214.4000000000001</v>
      </c>
      <c r="I427" s="83">
        <f t="shared" si="68"/>
        <v>40.479999999999997</v>
      </c>
    </row>
    <row r="428" spans="1:12" s="1" customFormat="1">
      <c r="A428" s="113"/>
      <c r="B428" s="5" t="s">
        <v>63</v>
      </c>
      <c r="C428" s="5" t="s">
        <v>17</v>
      </c>
      <c r="D428" s="5">
        <v>1</v>
      </c>
      <c r="E428" s="97">
        <f>247*8*(A422/1973)</f>
        <v>30.045615813482005</v>
      </c>
      <c r="F428" s="26">
        <f>E428/A422</f>
        <v>1.0015205271160668</v>
      </c>
      <c r="G428" s="35">
        <f t="shared" si="69"/>
        <v>3.3333333333333326E-2</v>
      </c>
      <c r="H428" s="145">
        <f>30000*0.11</f>
        <v>3300</v>
      </c>
      <c r="I428" s="83">
        <f t="shared" si="68"/>
        <v>109.99999999999997</v>
      </c>
    </row>
    <row r="429" spans="1:12" s="1" customFormat="1">
      <c r="A429" s="113"/>
      <c r="B429" s="31" t="s">
        <v>55</v>
      </c>
      <c r="C429" s="5" t="s">
        <v>17</v>
      </c>
      <c r="D429" s="5">
        <v>1</v>
      </c>
      <c r="E429" s="97">
        <f>247*8*(A422/1973)</f>
        <v>30.045615813482005</v>
      </c>
      <c r="F429" s="26">
        <f>E429/A422</f>
        <v>1.0015205271160668</v>
      </c>
      <c r="G429" s="35">
        <f t="shared" si="69"/>
        <v>3.3333333333333326E-2</v>
      </c>
      <c r="H429" s="145">
        <f>19200*0.11</f>
        <v>2112</v>
      </c>
      <c r="I429" s="83">
        <f t="shared" si="68"/>
        <v>70.399999999999977</v>
      </c>
    </row>
    <row r="430" spans="1:12" s="1" customFormat="1">
      <c r="A430" s="113"/>
      <c r="B430" s="48" t="s">
        <v>82</v>
      </c>
      <c r="C430" s="5" t="s">
        <v>17</v>
      </c>
      <c r="D430" s="5">
        <v>1</v>
      </c>
      <c r="E430" s="97">
        <f>247*8*(A422/1973)</f>
        <v>30.045615813482005</v>
      </c>
      <c r="F430" s="26">
        <f>E430/A422</f>
        <v>1.0015205271160668</v>
      </c>
      <c r="G430" s="35">
        <f t="shared" si="69"/>
        <v>3.3333333333333326E-2</v>
      </c>
      <c r="H430" s="145">
        <f>14400*0.11</f>
        <v>1584</v>
      </c>
      <c r="I430" s="83">
        <f t="shared" si="68"/>
        <v>52.79999999999999</v>
      </c>
    </row>
    <row r="431" spans="1:12" s="1" customFormat="1">
      <c r="A431" s="113"/>
      <c r="B431" s="48" t="s">
        <v>128</v>
      </c>
      <c r="C431" s="5" t="s">
        <v>17</v>
      </c>
      <c r="D431" s="5">
        <v>1</v>
      </c>
      <c r="E431" s="97">
        <f>247*8*(A422/1973)</f>
        <v>30.045615813482005</v>
      </c>
      <c r="F431" s="26">
        <f>E431/A422</f>
        <v>1.0015205271160668</v>
      </c>
      <c r="G431" s="35">
        <f t="shared" si="69"/>
        <v>3.3333333333333326E-2</v>
      </c>
      <c r="H431" s="145">
        <f>125461*0.11</f>
        <v>13800.710000000001</v>
      </c>
      <c r="I431" s="83">
        <f t="shared" si="68"/>
        <v>460.0236666666666</v>
      </c>
    </row>
    <row r="432" spans="1:12" s="1" customFormat="1">
      <c r="A432" s="113"/>
      <c r="B432" s="48" t="s">
        <v>112</v>
      </c>
      <c r="C432" s="5" t="s">
        <v>17</v>
      </c>
      <c r="D432" s="5">
        <v>1</v>
      </c>
      <c r="E432" s="97">
        <f>247*8*(A422/1973)</f>
        <v>30.045615813482005</v>
      </c>
      <c r="F432" s="26">
        <f>E432/A422</f>
        <v>1.0015205271160668</v>
      </c>
      <c r="G432" s="35">
        <f t="shared" si="69"/>
        <v>3.3333333333333326E-2</v>
      </c>
      <c r="H432" s="145">
        <f>14600*0.11</f>
        <v>1606</v>
      </c>
      <c r="I432" s="83">
        <f t="shared" si="68"/>
        <v>53.533333333333324</v>
      </c>
    </row>
    <row r="433" spans="1:12" s="1" customFormat="1">
      <c r="A433" s="107"/>
      <c r="B433" s="48" t="s">
        <v>39</v>
      </c>
      <c r="C433" s="5" t="s">
        <v>17</v>
      </c>
      <c r="D433" s="5">
        <v>1</v>
      </c>
      <c r="E433" s="97">
        <f>247*8*(A422/1973)</f>
        <v>30.045615813482005</v>
      </c>
      <c r="F433" s="26">
        <f>E433/A422</f>
        <v>1.0015205271160668</v>
      </c>
      <c r="G433" s="35">
        <f t="shared" si="69"/>
        <v>3.3333333333333326E-2</v>
      </c>
      <c r="H433" s="145">
        <f>13764*0.11</f>
        <v>1514.04</v>
      </c>
      <c r="I433" s="83">
        <f t="shared" si="68"/>
        <v>50.467999999999989</v>
      </c>
    </row>
    <row r="434" spans="1:12" s="1" customFormat="1">
      <c r="A434" s="107"/>
      <c r="B434" s="48" t="s">
        <v>120</v>
      </c>
      <c r="C434" s="5" t="s">
        <v>17</v>
      </c>
      <c r="D434" s="5">
        <v>1</v>
      </c>
      <c r="E434" s="97">
        <f>247*8*(A422/1973)</f>
        <v>30.045615813482005</v>
      </c>
      <c r="F434" s="26">
        <f>E434/A422</f>
        <v>1.0015205271160668</v>
      </c>
      <c r="G434" s="35">
        <f t="shared" si="69"/>
        <v>3.3333333333333326E-2</v>
      </c>
      <c r="H434" s="145">
        <f>(2297+2688+13080)*0.11</f>
        <v>1987.15</v>
      </c>
      <c r="I434" s="83">
        <f t="shared" si="68"/>
        <v>66.238333333333316</v>
      </c>
    </row>
    <row r="435" spans="1:12" s="1" customFormat="1" ht="13.7" customHeight="1">
      <c r="A435" s="107"/>
      <c r="B435" s="48" t="s">
        <v>113</v>
      </c>
      <c r="C435" s="5" t="s">
        <v>17</v>
      </c>
      <c r="D435" s="5">
        <v>1</v>
      </c>
      <c r="E435" s="97">
        <f>247*8*(A422/1973)</f>
        <v>30.045615813482005</v>
      </c>
      <c r="F435" s="26">
        <f>E435/A422</f>
        <v>1.0015205271160668</v>
      </c>
      <c r="G435" s="35">
        <f t="shared" si="69"/>
        <v>3.3333333333333326E-2</v>
      </c>
      <c r="H435" s="145">
        <f>4600*0.11</f>
        <v>506</v>
      </c>
      <c r="I435" s="83">
        <f t="shared" si="68"/>
        <v>16.866666666666664</v>
      </c>
    </row>
    <row r="436" spans="1:12" s="1" customFormat="1" ht="15.75" thickBot="1">
      <c r="A436" s="108"/>
      <c r="B436" s="18"/>
      <c r="C436" s="18"/>
      <c r="D436" s="18"/>
      <c r="E436" s="95"/>
      <c r="F436" s="18"/>
      <c r="G436" s="20"/>
      <c r="H436" s="37"/>
      <c r="I436" s="87">
        <f>SUM(I421:I435)</f>
        <v>1321.4739999999997</v>
      </c>
      <c r="J436" s="126">
        <f>(22272+18000+12000+30000+19200+13764+14400+8600+6000+30600+11040+2297+2688+6000+20400+125461+13080+4600)*0.11</f>
        <v>39644.22</v>
      </c>
      <c r="K436" s="127">
        <f>I436*A422</f>
        <v>39644.219999999994</v>
      </c>
      <c r="L436" s="127">
        <f>J436-K436</f>
        <v>0</v>
      </c>
    </row>
    <row r="437" spans="1:12">
      <c r="A437" s="104" t="s">
        <v>74</v>
      </c>
      <c r="B437" s="13" t="s">
        <v>36</v>
      </c>
      <c r="C437" s="13" t="s">
        <v>17</v>
      </c>
      <c r="D437" s="13">
        <v>1</v>
      </c>
      <c r="E437" s="124">
        <f>247*8*(A438/1973)</f>
        <v>0</v>
      </c>
      <c r="F437" s="25" t="e">
        <f>E437/A438</f>
        <v>#DIV/0!</v>
      </c>
      <c r="G437" s="36" t="e">
        <f>D437/E437*F437</f>
        <v>#DIV/0!</v>
      </c>
      <c r="H437" s="14"/>
      <c r="I437" s="82" t="e">
        <f>H437*G437</f>
        <v>#DIV/0!</v>
      </c>
    </row>
    <row r="438" spans="1:12" s="1" customFormat="1">
      <c r="A438" s="112"/>
      <c r="B438" s="5" t="s">
        <v>37</v>
      </c>
      <c r="C438" s="5" t="s">
        <v>17</v>
      </c>
      <c r="D438" s="5">
        <v>1</v>
      </c>
      <c r="E438" s="97">
        <f>247*8*(A438/1973)</f>
        <v>0</v>
      </c>
      <c r="F438" s="26" t="e">
        <f>E438/A438</f>
        <v>#DIV/0!</v>
      </c>
      <c r="G438" s="35" t="e">
        <f>D438/E438*F438</f>
        <v>#DIV/0!</v>
      </c>
      <c r="H438" s="6"/>
      <c r="I438" s="83" t="e">
        <f t="shared" ref="I438:I448" si="70">H438*G438</f>
        <v>#DIV/0!</v>
      </c>
    </row>
    <row r="439" spans="1:12" s="1" customFormat="1">
      <c r="A439" s="113"/>
      <c r="B439" s="5" t="s">
        <v>40</v>
      </c>
      <c r="C439" s="5" t="s">
        <v>17</v>
      </c>
      <c r="D439" s="5">
        <v>1</v>
      </c>
      <c r="E439" s="97">
        <f>247*8*(A438/1973)</f>
        <v>0</v>
      </c>
      <c r="F439" s="26" t="e">
        <f>E439/A438</f>
        <v>#DIV/0!</v>
      </c>
      <c r="G439" s="35" t="e">
        <f>D439/E439*F439</f>
        <v>#DIV/0!</v>
      </c>
      <c r="H439" s="6"/>
      <c r="I439" s="83" t="e">
        <f t="shared" si="70"/>
        <v>#DIV/0!</v>
      </c>
    </row>
    <row r="440" spans="1:12" s="1" customFormat="1">
      <c r="A440" s="113"/>
      <c r="B440" s="5" t="s">
        <v>38</v>
      </c>
      <c r="C440" s="5" t="s">
        <v>17</v>
      </c>
      <c r="D440" s="5">
        <v>1</v>
      </c>
      <c r="E440" s="97">
        <f>247*8*(A438/1973)</f>
        <v>0</v>
      </c>
      <c r="F440" s="26" t="e">
        <f>E440/A438</f>
        <v>#DIV/0!</v>
      </c>
      <c r="G440" s="35" t="e">
        <f t="shared" ref="G440:G448" si="71">D440/E440*F440</f>
        <v>#DIV/0!</v>
      </c>
      <c r="H440" s="6"/>
      <c r="I440" s="83" t="e">
        <f t="shared" si="70"/>
        <v>#DIV/0!</v>
      </c>
    </row>
    <row r="441" spans="1:12" s="1" customFormat="1">
      <c r="A441" s="113"/>
      <c r="B441" s="5" t="s">
        <v>39</v>
      </c>
      <c r="C441" s="5" t="s">
        <v>17</v>
      </c>
      <c r="D441" s="5">
        <v>1</v>
      </c>
      <c r="E441" s="97">
        <f>247*8*(A438/1973)</f>
        <v>0</v>
      </c>
      <c r="F441" s="26" t="e">
        <f>E441/A438</f>
        <v>#DIV/0!</v>
      </c>
      <c r="G441" s="35" t="e">
        <f t="shared" si="71"/>
        <v>#DIV/0!</v>
      </c>
      <c r="H441" s="7"/>
      <c r="I441" s="83" t="e">
        <f t="shared" si="70"/>
        <v>#DIV/0!</v>
      </c>
    </row>
    <row r="442" spans="1:12" s="1" customFormat="1">
      <c r="A442" s="113"/>
      <c r="B442" s="5" t="s">
        <v>56</v>
      </c>
      <c r="C442" s="5" t="s">
        <v>17</v>
      </c>
      <c r="D442" s="5">
        <v>1</v>
      </c>
      <c r="E442" s="97">
        <f>247*8*(A438/1973)</f>
        <v>0</v>
      </c>
      <c r="F442" s="26" t="e">
        <f>E442/A438</f>
        <v>#DIV/0!</v>
      </c>
      <c r="G442" s="35" t="e">
        <f t="shared" si="71"/>
        <v>#DIV/0!</v>
      </c>
      <c r="H442" s="7"/>
      <c r="I442" s="83" t="e">
        <f t="shared" si="70"/>
        <v>#DIV/0!</v>
      </c>
    </row>
    <row r="443" spans="1:12" s="1" customFormat="1">
      <c r="A443" s="113"/>
      <c r="B443" s="5" t="s">
        <v>41</v>
      </c>
      <c r="C443" s="5" t="s">
        <v>17</v>
      </c>
      <c r="D443" s="5">
        <v>1</v>
      </c>
      <c r="E443" s="97">
        <f>247*8*(A438/1973)</f>
        <v>0</v>
      </c>
      <c r="F443" s="26" t="e">
        <f>E443/A438</f>
        <v>#DIV/0!</v>
      </c>
      <c r="G443" s="35" t="e">
        <f t="shared" si="71"/>
        <v>#DIV/0!</v>
      </c>
      <c r="H443" s="7"/>
      <c r="I443" s="83" t="e">
        <f t="shared" si="70"/>
        <v>#DIV/0!</v>
      </c>
    </row>
    <row r="444" spans="1:12" s="1" customFormat="1">
      <c r="A444" s="113"/>
      <c r="B444" s="5" t="s">
        <v>63</v>
      </c>
      <c r="C444" s="5" t="s">
        <v>17</v>
      </c>
      <c r="D444" s="5">
        <v>1</v>
      </c>
      <c r="E444" s="97">
        <f>247*8*(A438/1973)</f>
        <v>0</v>
      </c>
      <c r="F444" s="26" t="e">
        <f>E444/A438</f>
        <v>#DIV/0!</v>
      </c>
      <c r="G444" s="35" t="e">
        <f t="shared" si="71"/>
        <v>#DIV/0!</v>
      </c>
      <c r="H444" s="7"/>
      <c r="I444" s="83" t="e">
        <f t="shared" si="70"/>
        <v>#DIV/0!</v>
      </c>
    </row>
    <row r="445" spans="1:12" s="1" customFormat="1">
      <c r="A445" s="113"/>
      <c r="B445" s="31" t="s">
        <v>55</v>
      </c>
      <c r="C445" s="5" t="s">
        <v>17</v>
      </c>
      <c r="D445" s="5">
        <v>1</v>
      </c>
      <c r="E445" s="97">
        <f>247*8*(A438/1973)</f>
        <v>0</v>
      </c>
      <c r="F445" s="26" t="e">
        <f>E445/A438</f>
        <v>#DIV/0!</v>
      </c>
      <c r="G445" s="35" t="e">
        <f t="shared" si="71"/>
        <v>#DIV/0!</v>
      </c>
      <c r="H445" s="7"/>
      <c r="I445" s="83" t="e">
        <f t="shared" si="70"/>
        <v>#DIV/0!</v>
      </c>
    </row>
    <row r="446" spans="1:12" s="1" customFormat="1">
      <c r="A446" s="107"/>
      <c r="B446" s="48" t="s">
        <v>82</v>
      </c>
      <c r="C446" s="5" t="s">
        <v>17</v>
      </c>
      <c r="D446" s="5">
        <v>1</v>
      </c>
      <c r="E446" s="97">
        <f>247*8*(A438/1973)</f>
        <v>0</v>
      </c>
      <c r="F446" s="26" t="e">
        <f>E446/A438</f>
        <v>#DIV/0!</v>
      </c>
      <c r="G446" s="35" t="e">
        <f t="shared" si="71"/>
        <v>#DIV/0!</v>
      </c>
      <c r="H446" s="7"/>
      <c r="I446" s="83" t="e">
        <f t="shared" si="70"/>
        <v>#DIV/0!</v>
      </c>
    </row>
    <row r="447" spans="1:12" s="1" customFormat="1">
      <c r="A447" s="107"/>
      <c r="B447" s="48" t="s">
        <v>58</v>
      </c>
      <c r="C447" s="5" t="s">
        <v>17</v>
      </c>
      <c r="D447" s="5">
        <v>1</v>
      </c>
      <c r="E447" s="97">
        <f>247*8*(A438/1973)</f>
        <v>0</v>
      </c>
      <c r="F447" s="26" t="e">
        <f>E447/A438</f>
        <v>#DIV/0!</v>
      </c>
      <c r="G447" s="35" t="e">
        <f t="shared" si="71"/>
        <v>#DIV/0!</v>
      </c>
      <c r="H447" s="7"/>
      <c r="I447" s="83" t="e">
        <f t="shared" si="70"/>
        <v>#DIV/0!</v>
      </c>
    </row>
    <row r="448" spans="1:12" s="1" customFormat="1" ht="13.7" customHeight="1">
      <c r="A448" s="107"/>
      <c r="B448" s="48" t="s">
        <v>59</v>
      </c>
      <c r="C448" s="5" t="s">
        <v>17</v>
      </c>
      <c r="D448" s="5">
        <v>1</v>
      </c>
      <c r="E448" s="97">
        <f>247*8*(A438/1973)</f>
        <v>0</v>
      </c>
      <c r="F448" s="26" t="e">
        <f>E448/A438</f>
        <v>#DIV/0!</v>
      </c>
      <c r="G448" s="35" t="e">
        <f t="shared" si="71"/>
        <v>#DIV/0!</v>
      </c>
      <c r="H448" s="7"/>
      <c r="I448" s="83" t="e">
        <f t="shared" si="70"/>
        <v>#DIV/0!</v>
      </c>
    </row>
    <row r="449" spans="1:12" s="1" customFormat="1" ht="15.75" thickBot="1">
      <c r="A449" s="108"/>
      <c r="B449" s="18"/>
      <c r="C449" s="18"/>
      <c r="D449" s="18"/>
      <c r="E449" s="98">
        <f>247*8*(A438/1973)</f>
        <v>0</v>
      </c>
      <c r="F449" s="18"/>
      <c r="G449" s="20"/>
      <c r="H449" s="37"/>
      <c r="I449" s="87" t="e">
        <f>SUM(I437:I448)</f>
        <v>#DIV/0!</v>
      </c>
      <c r="J449" s="50">
        <f>(158715+24000+2097)*0</f>
        <v>0</v>
      </c>
      <c r="K449" s="50">
        <v>0</v>
      </c>
    </row>
    <row r="450" spans="1:12">
      <c r="E450" s="155"/>
    </row>
    <row r="451" spans="1:12">
      <c r="E451" s="155"/>
      <c r="I451" s="1">
        <v>1</v>
      </c>
      <c r="J451" s="126">
        <f>59400+108530+19200+12000+6240+60000+12191.41+15000+15000+29000+27870+5502.09+32008+7000+24000+14002.52+6206.48+52870</f>
        <v>506020.5</v>
      </c>
      <c r="K451" s="126">
        <f>K322+K172+K22</f>
        <v>506020.49999999994</v>
      </c>
      <c r="L451" s="130">
        <f>J451-K451</f>
        <v>0</v>
      </c>
    </row>
    <row r="452" spans="1:12">
      <c r="I452" s="1">
        <v>2</v>
      </c>
      <c r="J452" s="126">
        <f>92060+38400+33600+60000+50400+17132.38+33600+4500+20000+20000+56000+6877.62+40800+17288.87+4140</f>
        <v>494798.87</v>
      </c>
      <c r="K452" s="126">
        <f>K338+K188+K38</f>
        <v>494798.87</v>
      </c>
      <c r="L452" s="130">
        <f>J452-K452</f>
        <v>0</v>
      </c>
    </row>
    <row r="453" spans="1:12">
      <c r="I453" s="1">
        <v>3</v>
      </c>
      <c r="J453" s="126">
        <f>85080+74196+74196+120000+31833.32+54000+16800+30000+45000+70000+1528.68+5376+41700+12000+61200+18241.16+4026+12000</f>
        <v>757177.16000000015</v>
      </c>
      <c r="K453" s="126">
        <f>K354+K204+K54</f>
        <v>757177.15999999992</v>
      </c>
      <c r="L453" s="130">
        <f t="shared" ref="L453:L459" si="72">J453-K453</f>
        <v>0</v>
      </c>
    </row>
    <row r="454" spans="1:12">
      <c r="I454" s="1">
        <v>7</v>
      </c>
      <c r="J454" s="126">
        <f>59393+108528+21600+6000+4800+30000+25200+6541.2+9000+16000+27020+6877.8+20400+17289+13286+3455+52870+525600</f>
        <v>953860</v>
      </c>
      <c r="K454" s="126">
        <f>K370+K220+K70</f>
        <v>953860.00000000023</v>
      </c>
      <c r="L454" s="130">
        <f t="shared" si="72"/>
        <v>0</v>
      </c>
    </row>
    <row r="455" spans="1:12">
      <c r="I455" s="1">
        <v>9</v>
      </c>
      <c r="J455" s="126">
        <f>89087+31200+31200+80400+18549+16050.84+14000+59250+9170.16+16400+20400+19390.4+14000+89000+3000</f>
        <v>511097.4</v>
      </c>
      <c r="K455" s="126">
        <f>K386+K236+K86</f>
        <v>511097.4</v>
      </c>
      <c r="L455" s="130">
        <f t="shared" si="72"/>
        <v>0</v>
      </c>
    </row>
    <row r="456" spans="1:12">
      <c r="I456" s="1">
        <v>14</v>
      </c>
      <c r="J456" s="126">
        <f>44544+108528+32400+14400+30000+25200+19834+6450+10000+10000+10180+9043+20400+19368+5176+52860</f>
        <v>418383</v>
      </c>
      <c r="K456" s="126">
        <f>K402+K252+K102</f>
        <v>418383</v>
      </c>
      <c r="L456" s="130">
        <f t="shared" si="72"/>
        <v>0</v>
      </c>
    </row>
    <row r="457" spans="1:12">
      <c r="I457" s="1">
        <v>8</v>
      </c>
      <c r="J457" s="126">
        <f>148032+36000+60000+43200+31113.6+16800+14000+75000+11466.4+167800+20000+40800+24145.8+11388+3000</f>
        <v>702745.8</v>
      </c>
      <c r="K457" s="126">
        <f>K419+K269+K119</f>
        <v>702745.8</v>
      </c>
      <c r="L457" s="130">
        <f t="shared" si="72"/>
        <v>0</v>
      </c>
    </row>
    <row r="458" spans="1:12">
      <c r="I458" s="1">
        <v>4</v>
      </c>
      <c r="J458" s="126">
        <f>22272+18000+12000+49200+13764+14400+8600+6000+30600+11040+2297+2688+26400+125461+13080+4600</f>
        <v>360402</v>
      </c>
      <c r="K458" s="126">
        <f>K436+K286+K136</f>
        <v>360401.99999999994</v>
      </c>
      <c r="L458" s="130">
        <f t="shared" si="72"/>
        <v>0</v>
      </c>
    </row>
    <row r="459" spans="1:12">
      <c r="I459" s="1">
        <v>11</v>
      </c>
      <c r="J459" s="126">
        <f>22272+19200+12000+56400+18780+18000+16000+19590+2300+2990+20400+13084+150000+5000</f>
        <v>376016</v>
      </c>
      <c r="K459" s="126">
        <f>K449+K302+K152</f>
        <v>376015.99999999994</v>
      </c>
      <c r="L459" s="130">
        <f t="shared" si="72"/>
        <v>0</v>
      </c>
    </row>
  </sheetData>
  <mergeCells count="1">
    <mergeCell ref="A1:H1"/>
  </mergeCells>
  <pageMargins left="0.31496062992125984" right="0" top="0.35433070866141736" bottom="0" header="0.31496062992125984" footer="0.31496062992125984"/>
  <pageSetup paperSize="9" scale="88" orientation="landscape" horizontalDpi="180" verticalDpi="180" r:id="rId1"/>
  <rowBreaks count="1" manualBreakCount="1">
    <brk id="42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T217"/>
  <sheetViews>
    <sheetView topLeftCell="A139" workbookViewId="0">
      <selection activeCell="E199" sqref="E199"/>
    </sheetView>
  </sheetViews>
  <sheetFormatPr defaultRowHeight="15"/>
  <cols>
    <col min="1" max="1" width="11.85546875" style="101" customWidth="1"/>
    <col min="2" max="2" width="25.140625" style="1" customWidth="1"/>
    <col min="3" max="3" width="18.42578125" style="1" customWidth="1"/>
    <col min="4" max="4" width="8.28515625" style="1" customWidth="1"/>
    <col min="5" max="5" width="12.28515625" style="121" customWidth="1"/>
    <col min="6" max="6" width="15.28515625" style="1" customWidth="1"/>
    <col min="7" max="7" width="10.7109375" customWidth="1"/>
    <col min="8" max="8" width="9.7109375" style="1" customWidth="1"/>
    <col min="9" max="9" width="10.7109375" style="1" bestFit="1" customWidth="1"/>
    <col min="10" max="10" width="10" style="121" customWidth="1"/>
    <col min="11" max="11" width="9.42578125" style="121" bestFit="1" customWidth="1"/>
    <col min="12" max="12" width="9.42578125" style="1" bestFit="1" customWidth="1"/>
    <col min="13" max="13" width="10.85546875" style="1" customWidth="1"/>
    <col min="14" max="18" width="9.140625" style="1"/>
  </cols>
  <sheetData>
    <row r="1" spans="1:20" ht="18.75">
      <c r="A1" s="158" t="s">
        <v>42</v>
      </c>
      <c r="B1" s="158"/>
      <c r="C1" s="158"/>
      <c r="D1" s="158"/>
      <c r="E1" s="158"/>
      <c r="F1" s="158"/>
      <c r="G1" s="158"/>
      <c r="H1" s="158"/>
    </row>
    <row r="2" spans="1:20" ht="18.75">
      <c r="A2" s="110"/>
      <c r="B2" s="59"/>
      <c r="C2" s="59"/>
      <c r="D2" s="59"/>
      <c r="E2" s="110"/>
      <c r="F2" s="59"/>
      <c r="G2" s="59"/>
      <c r="H2" s="59"/>
    </row>
    <row r="3" spans="1:20" ht="19.5" thickBot="1">
      <c r="A3" s="100" t="s">
        <v>75</v>
      </c>
      <c r="H3"/>
      <c r="S3" s="1"/>
      <c r="T3" s="1"/>
    </row>
    <row r="4" spans="1:20" ht="96" customHeight="1">
      <c r="A4" s="102" t="s">
        <v>2</v>
      </c>
      <c r="B4" s="21" t="s">
        <v>15</v>
      </c>
      <c r="C4" s="21" t="s">
        <v>14</v>
      </c>
      <c r="D4" s="21" t="s">
        <v>16</v>
      </c>
      <c r="E4" s="133" t="s">
        <v>27</v>
      </c>
      <c r="F4" s="21" t="s">
        <v>28</v>
      </c>
      <c r="G4" s="21" t="s">
        <v>29</v>
      </c>
      <c r="H4" s="21" t="s">
        <v>30</v>
      </c>
      <c r="I4" s="21" t="s">
        <v>11</v>
      </c>
      <c r="J4" s="129" t="s">
        <v>34</v>
      </c>
      <c r="K4" s="129" t="s">
        <v>33</v>
      </c>
    </row>
    <row r="5" spans="1:20" ht="15.75" thickBot="1">
      <c r="A5" s="111">
        <v>1</v>
      </c>
      <c r="B5" s="10">
        <v>2</v>
      </c>
      <c r="C5" s="10">
        <v>3</v>
      </c>
      <c r="D5" s="10">
        <v>4</v>
      </c>
      <c r="E5" s="118">
        <v>5</v>
      </c>
      <c r="F5" s="10">
        <v>6</v>
      </c>
      <c r="G5" s="10" t="s">
        <v>31</v>
      </c>
      <c r="H5" s="9">
        <v>8</v>
      </c>
      <c r="I5" s="34" t="s">
        <v>32</v>
      </c>
    </row>
    <row r="6" spans="1:20" ht="18" customHeight="1">
      <c r="A6" s="104" t="s">
        <v>64</v>
      </c>
      <c r="B6" s="13" t="s">
        <v>43</v>
      </c>
      <c r="C6" s="38" t="s">
        <v>17</v>
      </c>
      <c r="D6" s="13">
        <v>1</v>
      </c>
      <c r="E6" s="124">
        <f>247*8*(A7/1973)</f>
        <v>173.2630511910796</v>
      </c>
      <c r="F6" s="25">
        <f>E6/A7</f>
        <v>1.001520527116067</v>
      </c>
      <c r="G6" s="36">
        <f>D6/E6*F6</f>
        <v>5.7803468208092483E-3</v>
      </c>
      <c r="H6" s="14">
        <f>10000*0.38</f>
        <v>3800</v>
      </c>
      <c r="I6" s="82">
        <f>H6*G6</f>
        <v>21.965317919075144</v>
      </c>
    </row>
    <row r="7" spans="1:20">
      <c r="A7" s="112">
        <f>ком.усл!A11</f>
        <v>173</v>
      </c>
      <c r="B7" s="5" t="s">
        <v>83</v>
      </c>
      <c r="C7" s="31" t="s">
        <v>17</v>
      </c>
      <c r="D7" s="5">
        <v>1</v>
      </c>
      <c r="E7" s="97">
        <f>247*8*(A7/1973)</f>
        <v>173.2630511910796</v>
      </c>
      <c r="F7" s="26">
        <f>E7/A7</f>
        <v>1.001520527116067</v>
      </c>
      <c r="G7" s="35">
        <f>D7/E7*F7</f>
        <v>5.7803468208092483E-3</v>
      </c>
      <c r="H7" s="6">
        <f>(46795-10000)*0.38</f>
        <v>13982.1</v>
      </c>
      <c r="I7" s="83">
        <f t="shared" ref="I7" si="0">H7*G7</f>
        <v>80.821387283236987</v>
      </c>
    </row>
    <row r="8" spans="1:20" s="1" customFormat="1" ht="15.75" thickBot="1">
      <c r="A8" s="107"/>
      <c r="B8" s="27"/>
      <c r="C8" s="27"/>
      <c r="D8" s="27"/>
      <c r="E8" s="134"/>
      <c r="F8" s="27"/>
      <c r="G8" s="56"/>
      <c r="H8" s="57"/>
      <c r="I8" s="84">
        <f>SUM(I6:I7)</f>
        <v>102.78670520231213</v>
      </c>
      <c r="J8" s="121"/>
      <c r="K8" s="121"/>
    </row>
    <row r="9" spans="1:20" s="1" customFormat="1" ht="15.75" thickBot="1">
      <c r="A9" s="114"/>
      <c r="B9" s="52"/>
      <c r="C9" s="52"/>
      <c r="D9" s="52"/>
      <c r="E9" s="96"/>
      <c r="F9" s="52"/>
      <c r="G9" s="49" t="s">
        <v>60</v>
      </c>
      <c r="H9" s="53"/>
      <c r="I9" s="85">
        <f>I6+I7</f>
        <v>102.78670520231213</v>
      </c>
      <c r="J9" s="121">
        <f>46795*0.38</f>
        <v>17782.099999999999</v>
      </c>
      <c r="K9" s="130">
        <f>I9*A7</f>
        <v>17782.099999999999</v>
      </c>
    </row>
    <row r="10" spans="1:20" s="1" customFormat="1" ht="15.75" thickBot="1">
      <c r="A10" s="115"/>
      <c r="B10" s="62"/>
      <c r="C10" s="62"/>
      <c r="D10" s="62"/>
      <c r="E10" s="120"/>
      <c r="F10" s="62"/>
      <c r="G10" s="63" t="s">
        <v>57</v>
      </c>
      <c r="H10" s="64"/>
      <c r="I10" s="86">
        <f>I8-I9</f>
        <v>0</v>
      </c>
      <c r="J10" s="130">
        <v>0</v>
      </c>
      <c r="K10" s="130">
        <f>I10*A7</f>
        <v>0</v>
      </c>
    </row>
    <row r="11" spans="1:20" ht="18" customHeight="1">
      <c r="A11" s="104" t="s">
        <v>67</v>
      </c>
      <c r="B11" s="13" t="s">
        <v>43</v>
      </c>
      <c r="C11" s="38" t="s">
        <v>17</v>
      </c>
      <c r="D11" s="13">
        <v>1</v>
      </c>
      <c r="E11" s="124">
        <f>247*8*(A12/1973)</f>
        <v>306.46528129751647</v>
      </c>
      <c r="F11" s="25">
        <f>E11/A12</f>
        <v>1.001520527116067</v>
      </c>
      <c r="G11" s="36">
        <f>D11/E11*F11</f>
        <v>3.2679738562091509E-3</v>
      </c>
      <c r="H11" s="14">
        <f>10000*0.45</f>
        <v>4500</v>
      </c>
      <c r="I11" s="82">
        <f>H11*G11</f>
        <v>14.705882352941179</v>
      </c>
    </row>
    <row r="12" spans="1:20">
      <c r="A12" s="112">
        <f>ком.усл!A16</f>
        <v>306</v>
      </c>
      <c r="B12" s="5" t="s">
        <v>83</v>
      </c>
      <c r="C12" s="31" t="s">
        <v>17</v>
      </c>
      <c r="D12" s="5">
        <v>1</v>
      </c>
      <c r="E12" s="97">
        <f>247*8*(A12/1973)</f>
        <v>306.46528129751647</v>
      </c>
      <c r="F12" s="26">
        <f>E12/A12</f>
        <v>1.001520527116067</v>
      </c>
      <c r="G12" s="35">
        <f>D12/E12*F12</f>
        <v>3.2679738562091509E-3</v>
      </c>
      <c r="H12" s="6">
        <f>(48000-10000)*0.45</f>
        <v>17100</v>
      </c>
      <c r="I12" s="83">
        <f t="shared" ref="I12:I13" si="1">H12*G12</f>
        <v>55.882352941176478</v>
      </c>
    </row>
    <row r="13" spans="1:20">
      <c r="A13" s="112"/>
      <c r="B13" s="5"/>
      <c r="C13" s="31"/>
      <c r="D13" s="5"/>
      <c r="E13" s="97"/>
      <c r="F13" s="26"/>
      <c r="G13" s="35"/>
      <c r="H13" s="6"/>
      <c r="I13" s="83">
        <f t="shared" si="1"/>
        <v>0</v>
      </c>
    </row>
    <row r="14" spans="1:20" s="1" customFormat="1" ht="15.75" thickBot="1">
      <c r="A14" s="107"/>
      <c r="B14" s="27"/>
      <c r="C14" s="27"/>
      <c r="D14" s="27"/>
      <c r="E14" s="134"/>
      <c r="F14" s="27"/>
      <c r="G14" s="56"/>
      <c r="H14" s="57"/>
      <c r="I14" s="84">
        <f>SUM(I11:I13)</f>
        <v>70.588235294117652</v>
      </c>
      <c r="J14" s="121"/>
      <c r="K14" s="121"/>
    </row>
    <row r="15" spans="1:20" s="1" customFormat="1" ht="15.75" thickBot="1">
      <c r="A15" s="114"/>
      <c r="B15" s="52"/>
      <c r="C15" s="52"/>
      <c r="D15" s="52"/>
      <c r="E15" s="96"/>
      <c r="F15" s="52"/>
      <c r="G15" s="49" t="s">
        <v>60</v>
      </c>
      <c r="H15" s="53"/>
      <c r="I15" s="85">
        <f>I11+I12</f>
        <v>70.588235294117652</v>
      </c>
      <c r="J15" s="121">
        <f>48000*0.45</f>
        <v>21600</v>
      </c>
      <c r="K15" s="130">
        <f>I15*A12</f>
        <v>21600</v>
      </c>
    </row>
    <row r="16" spans="1:20" s="1" customFormat="1" ht="15.75" thickBot="1">
      <c r="A16" s="115"/>
      <c r="B16" s="62"/>
      <c r="C16" s="62"/>
      <c r="D16" s="62"/>
      <c r="E16" s="120"/>
      <c r="F16" s="62"/>
      <c r="G16" s="63" t="s">
        <v>57</v>
      </c>
      <c r="H16" s="64"/>
      <c r="I16" s="86">
        <f>I14-I15</f>
        <v>0</v>
      </c>
      <c r="J16" s="130">
        <v>0</v>
      </c>
      <c r="K16" s="130">
        <f>I16*A12</f>
        <v>0</v>
      </c>
    </row>
    <row r="17" spans="1:11" ht="18" customHeight="1">
      <c r="A17" s="104" t="s">
        <v>68</v>
      </c>
      <c r="B17" s="13" t="s">
        <v>43</v>
      </c>
      <c r="C17" s="38" t="s">
        <v>17</v>
      </c>
      <c r="D17" s="13">
        <v>1</v>
      </c>
      <c r="E17" s="124">
        <f>247*8*(A18/1973)</f>
        <v>293.44551444500757</v>
      </c>
      <c r="F17" s="25">
        <f>E17/A18</f>
        <v>1.0015205271160668</v>
      </c>
      <c r="G17" s="36">
        <f>D17/E17*F17</f>
        <v>3.4129692832764501E-3</v>
      </c>
      <c r="H17" s="14">
        <f>20000*0.49</f>
        <v>9800</v>
      </c>
      <c r="I17" s="82">
        <f>H17*G17</f>
        <v>33.44709897610921</v>
      </c>
    </row>
    <row r="18" spans="1:11">
      <c r="A18" s="112">
        <f>ком.усл!A21</f>
        <v>293</v>
      </c>
      <c r="B18" s="5" t="s">
        <v>83</v>
      </c>
      <c r="C18" s="31" t="s">
        <v>17</v>
      </c>
      <c r="D18" s="5">
        <v>1</v>
      </c>
      <c r="E18" s="97">
        <f>247*8*(A18/1973)</f>
        <v>293.44551444500757</v>
      </c>
      <c r="F18" s="26">
        <f>E18/A18</f>
        <v>1.0015205271160668</v>
      </c>
      <c r="G18" s="35">
        <f>D18/E18*F18</f>
        <v>3.4129692832764501E-3</v>
      </c>
      <c r="H18" s="6">
        <f>(69000-20000)*0.49</f>
        <v>24010</v>
      </c>
      <c r="I18" s="83">
        <f t="shared" ref="I18:I19" si="2">H18*G18</f>
        <v>81.945392491467572</v>
      </c>
    </row>
    <row r="19" spans="1:11">
      <c r="A19" s="112"/>
      <c r="B19" s="5"/>
      <c r="C19" s="31"/>
      <c r="D19" s="5"/>
      <c r="E19" s="97"/>
      <c r="F19" s="26"/>
      <c r="G19" s="35"/>
      <c r="H19" s="6"/>
      <c r="I19" s="83">
        <f t="shared" si="2"/>
        <v>0</v>
      </c>
    </row>
    <row r="20" spans="1:11" s="1" customFormat="1" ht="15.75" thickBot="1">
      <c r="A20" s="107"/>
      <c r="B20" s="27"/>
      <c r="C20" s="27"/>
      <c r="D20" s="27"/>
      <c r="E20" s="134"/>
      <c r="F20" s="27"/>
      <c r="G20" s="56"/>
      <c r="H20" s="57"/>
      <c r="I20" s="84">
        <f>SUM(I17:I19)</f>
        <v>115.39249146757678</v>
      </c>
      <c r="J20" s="121"/>
      <c r="K20" s="121"/>
    </row>
    <row r="21" spans="1:11" s="1" customFormat="1" ht="15.75" thickBot="1">
      <c r="A21" s="114"/>
      <c r="B21" s="52"/>
      <c r="C21" s="52"/>
      <c r="D21" s="52"/>
      <c r="E21" s="96"/>
      <c r="F21" s="52"/>
      <c r="G21" s="49" t="s">
        <v>60</v>
      </c>
      <c r="H21" s="53"/>
      <c r="I21" s="85">
        <f>I17+I18</f>
        <v>115.39249146757678</v>
      </c>
      <c r="J21" s="121">
        <f>69000*0.49</f>
        <v>33810</v>
      </c>
      <c r="K21" s="130">
        <f>I21*A18</f>
        <v>33809.999999999993</v>
      </c>
    </row>
    <row r="22" spans="1:11" s="1" customFormat="1" ht="15.75" thickBot="1">
      <c r="A22" s="115"/>
      <c r="B22" s="62"/>
      <c r="C22" s="62"/>
      <c r="D22" s="62"/>
      <c r="E22" s="120"/>
      <c r="F22" s="62"/>
      <c r="G22" s="63" t="s">
        <v>57</v>
      </c>
      <c r="H22" s="64"/>
      <c r="I22" s="86">
        <f>I20-I21</f>
        <v>0</v>
      </c>
      <c r="J22" s="130">
        <v>0</v>
      </c>
      <c r="K22" s="130">
        <f>I22*A18</f>
        <v>0</v>
      </c>
    </row>
    <row r="23" spans="1:11" ht="18" customHeight="1">
      <c r="A23" s="104" t="s">
        <v>69</v>
      </c>
      <c r="B23" s="13" t="s">
        <v>43</v>
      </c>
      <c r="C23" s="38" t="s">
        <v>17</v>
      </c>
      <c r="D23" s="13">
        <v>1</v>
      </c>
      <c r="E23" s="124">
        <f>247*8*(A24/1973)</f>
        <v>430.65382665990876</v>
      </c>
      <c r="F23" s="25">
        <f>E23/A24</f>
        <v>1.001520527116067</v>
      </c>
      <c r="G23" s="36">
        <f>D23/E23*F23</f>
        <v>2.3255813953488372E-3</v>
      </c>
      <c r="H23" s="14">
        <f>30000*0.45</f>
        <v>13500</v>
      </c>
      <c r="I23" s="82">
        <f>H23*G23</f>
        <v>31.395348837209301</v>
      </c>
    </row>
    <row r="24" spans="1:11">
      <c r="A24" s="112">
        <f>ком.усл!A26</f>
        <v>430</v>
      </c>
      <c r="B24" s="5" t="s">
        <v>83</v>
      </c>
      <c r="C24" s="31" t="s">
        <v>17</v>
      </c>
      <c r="D24" s="5">
        <v>1</v>
      </c>
      <c r="E24" s="97">
        <f>247*8*(A24/1973)</f>
        <v>430.65382665990876</v>
      </c>
      <c r="F24" s="26">
        <f>E24/A24</f>
        <v>1.001520527116067</v>
      </c>
      <c r="G24" s="35">
        <f>D24/E24*F24</f>
        <v>2.3255813953488372E-3</v>
      </c>
      <c r="H24" s="6">
        <f>(70000-30000)*0.45</f>
        <v>18000</v>
      </c>
      <c r="I24" s="83">
        <f t="shared" ref="I24" si="3">H24*G24</f>
        <v>41.860465116279066</v>
      </c>
    </row>
    <row r="25" spans="1:11" s="1" customFormat="1" ht="15.75" thickBot="1">
      <c r="A25" s="107"/>
      <c r="B25" s="27"/>
      <c r="C25" s="27"/>
      <c r="D25" s="27"/>
      <c r="E25" s="134"/>
      <c r="F25" s="27"/>
      <c r="G25" s="56"/>
      <c r="H25" s="57"/>
      <c r="I25" s="84">
        <f>SUM(I23:I24)</f>
        <v>73.255813953488371</v>
      </c>
      <c r="J25" s="121"/>
      <c r="K25" s="121"/>
    </row>
    <row r="26" spans="1:11" s="1" customFormat="1" ht="15.75" thickBot="1">
      <c r="A26" s="114"/>
      <c r="B26" s="52"/>
      <c r="C26" s="52"/>
      <c r="D26" s="52"/>
      <c r="E26" s="96"/>
      <c r="F26" s="52"/>
      <c r="G26" s="49" t="s">
        <v>60</v>
      </c>
      <c r="H26" s="53"/>
      <c r="I26" s="85">
        <f>I23+I24</f>
        <v>73.255813953488371</v>
      </c>
      <c r="J26" s="121">
        <f>70000*0.45</f>
        <v>31500</v>
      </c>
      <c r="K26" s="130">
        <f>I26*A24</f>
        <v>31500</v>
      </c>
    </row>
    <row r="27" spans="1:11" s="1" customFormat="1" ht="15.75" thickBot="1">
      <c r="A27" s="115"/>
      <c r="B27" s="62"/>
      <c r="C27" s="62"/>
      <c r="D27" s="62"/>
      <c r="E27" s="120"/>
      <c r="F27" s="62"/>
      <c r="G27" s="63" t="s">
        <v>57</v>
      </c>
      <c r="H27" s="64"/>
      <c r="I27" s="86">
        <f>I25-I26</f>
        <v>0</v>
      </c>
      <c r="J27" s="130">
        <v>0</v>
      </c>
      <c r="K27" s="130">
        <f>I27*A24</f>
        <v>0</v>
      </c>
    </row>
    <row r="28" spans="1:11" ht="18" customHeight="1">
      <c r="A28" s="104" t="s">
        <v>70</v>
      </c>
      <c r="B28" s="13" t="s">
        <v>43</v>
      </c>
      <c r="C28" s="38" t="s">
        <v>17</v>
      </c>
      <c r="D28" s="13">
        <v>1</v>
      </c>
      <c r="E28" s="124">
        <f>247*8*(A29/1973)</f>
        <v>407.61885453623927</v>
      </c>
      <c r="F28" s="25">
        <f>E28/A29</f>
        <v>1.001520527116067</v>
      </c>
      <c r="G28" s="36">
        <f>D28/E28*F28</f>
        <v>2.4570024570024569E-3</v>
      </c>
      <c r="H28" s="14">
        <f>50000*0.42</f>
        <v>21000</v>
      </c>
      <c r="I28" s="82">
        <f>H28*G28</f>
        <v>51.597051597051596</v>
      </c>
    </row>
    <row r="29" spans="1:11">
      <c r="A29" s="112">
        <f>ком.усл!A31</f>
        <v>407</v>
      </c>
      <c r="B29" s="5" t="s">
        <v>83</v>
      </c>
      <c r="C29" s="31" t="s">
        <v>17</v>
      </c>
      <c r="D29" s="5">
        <v>1</v>
      </c>
      <c r="E29" s="97">
        <f>247*8*(A29/1973)</f>
        <v>407.61885453623927</v>
      </c>
      <c r="F29" s="26">
        <f>E29/A29</f>
        <v>1.001520527116067</v>
      </c>
      <c r="G29" s="35">
        <f>D29/E29*F29</f>
        <v>2.4570024570024569E-3</v>
      </c>
      <c r="H29" s="6">
        <f>(94325-50000)*0.42</f>
        <v>18616.5</v>
      </c>
      <c r="I29" s="83">
        <f t="shared" ref="I29:I30" si="4">H29*G29</f>
        <v>45.740786240786242</v>
      </c>
    </row>
    <row r="30" spans="1:11">
      <c r="A30" s="112"/>
      <c r="B30" s="5"/>
      <c r="C30" s="31"/>
      <c r="D30" s="5"/>
      <c r="E30" s="97"/>
      <c r="F30" s="26"/>
      <c r="G30" s="35"/>
      <c r="H30" s="6"/>
      <c r="I30" s="83">
        <f t="shared" si="4"/>
        <v>0</v>
      </c>
    </row>
    <row r="31" spans="1:11" s="1" customFormat="1" ht="15.75" thickBot="1">
      <c r="A31" s="107"/>
      <c r="B31" s="27"/>
      <c r="C31" s="27"/>
      <c r="D31" s="27"/>
      <c r="E31" s="134"/>
      <c r="F31" s="27"/>
      <c r="G31" s="56"/>
      <c r="H31" s="57"/>
      <c r="I31" s="84">
        <f>SUM(I28:I30)</f>
        <v>97.337837837837839</v>
      </c>
      <c r="J31" s="121"/>
      <c r="K31" s="121"/>
    </row>
    <row r="32" spans="1:11" s="1" customFormat="1" ht="15.75" thickBot="1">
      <c r="A32" s="114"/>
      <c r="B32" s="52"/>
      <c r="C32" s="52"/>
      <c r="D32" s="52"/>
      <c r="E32" s="96"/>
      <c r="F32" s="52"/>
      <c r="G32" s="49" t="s">
        <v>60</v>
      </c>
      <c r="H32" s="53"/>
      <c r="I32" s="85">
        <f>I28+I29</f>
        <v>97.337837837837839</v>
      </c>
      <c r="J32" s="121">
        <f>94325*0.42</f>
        <v>39616.5</v>
      </c>
      <c r="K32" s="130">
        <f>I32*A29</f>
        <v>39616.5</v>
      </c>
    </row>
    <row r="33" spans="1:11" s="1" customFormat="1" ht="15.75" thickBot="1">
      <c r="A33" s="115"/>
      <c r="B33" s="62"/>
      <c r="C33" s="62"/>
      <c r="D33" s="62"/>
      <c r="E33" s="120"/>
      <c r="F33" s="62"/>
      <c r="G33" s="63" t="s">
        <v>57</v>
      </c>
      <c r="H33" s="64"/>
      <c r="I33" s="86">
        <f>I31-I32</f>
        <v>0</v>
      </c>
      <c r="J33" s="130">
        <v>0</v>
      </c>
      <c r="K33" s="130">
        <f>I33*A29</f>
        <v>0</v>
      </c>
    </row>
    <row r="34" spans="1:11" ht="18" customHeight="1">
      <c r="A34" s="104" t="s">
        <v>71</v>
      </c>
      <c r="B34" s="13" t="s">
        <v>43</v>
      </c>
      <c r="C34" s="38" t="s">
        <v>17</v>
      </c>
      <c r="D34" s="13">
        <v>1</v>
      </c>
      <c r="E34" s="124">
        <f>247*8*(A35/1973)</f>
        <v>238.36188545362393</v>
      </c>
      <c r="F34" s="25">
        <f>E34/A35</f>
        <v>1.001520527116067</v>
      </c>
      <c r="G34" s="36">
        <f>D34/E34*F34</f>
        <v>4.2016806722689082E-3</v>
      </c>
      <c r="H34" s="14">
        <f>60000*0.41</f>
        <v>24600</v>
      </c>
      <c r="I34" s="82">
        <f>H34*G34</f>
        <v>103.36134453781514</v>
      </c>
    </row>
    <row r="35" spans="1:11">
      <c r="A35" s="112">
        <f>ком.усл!A36</f>
        <v>238</v>
      </c>
      <c r="B35" s="5" t="s">
        <v>83</v>
      </c>
      <c r="C35" s="31" t="s">
        <v>17</v>
      </c>
      <c r="D35" s="5">
        <v>1</v>
      </c>
      <c r="E35" s="97">
        <f>247*8*(A35/1973)</f>
        <v>238.36188545362393</v>
      </c>
      <c r="F35" s="26">
        <f>E35/A35</f>
        <v>1.001520527116067</v>
      </c>
      <c r="G35" s="35">
        <f>D35/E35*F35</f>
        <v>4.2016806722689082E-3</v>
      </c>
      <c r="H35" s="6">
        <f>(235200-60000)*0.41</f>
        <v>71832</v>
      </c>
      <c r="I35" s="83">
        <f t="shared" ref="I35" si="5">H35*G35</f>
        <v>301.81512605042019</v>
      </c>
    </row>
    <row r="36" spans="1:11" s="1" customFormat="1" ht="15.75" thickBot="1">
      <c r="A36" s="107"/>
      <c r="B36" s="27"/>
      <c r="C36" s="27"/>
      <c r="D36" s="27"/>
      <c r="E36" s="134"/>
      <c r="F36" s="27"/>
      <c r="G36" s="56"/>
      <c r="H36" s="57"/>
      <c r="I36" s="84">
        <f>SUM(I34:I35)</f>
        <v>405.17647058823536</v>
      </c>
      <c r="J36" s="121"/>
      <c r="K36" s="121"/>
    </row>
    <row r="37" spans="1:11" s="1" customFormat="1" ht="15.75" thickBot="1">
      <c r="A37" s="114"/>
      <c r="B37" s="52"/>
      <c r="C37" s="52"/>
      <c r="D37" s="52"/>
      <c r="E37" s="96"/>
      <c r="F37" s="52"/>
      <c r="G37" s="49" t="s">
        <v>60</v>
      </c>
      <c r="H37" s="53"/>
      <c r="I37" s="85">
        <f>I34+I35</f>
        <v>405.17647058823536</v>
      </c>
      <c r="J37" s="121">
        <f>235200*0.41</f>
        <v>96432</v>
      </c>
      <c r="K37" s="130">
        <f>I37*A35</f>
        <v>96432.000000000015</v>
      </c>
    </row>
    <row r="38" spans="1:11" s="1" customFormat="1" ht="15.75" thickBot="1">
      <c r="A38" s="115"/>
      <c r="B38" s="62"/>
      <c r="C38" s="62"/>
      <c r="D38" s="62"/>
      <c r="E38" s="120"/>
      <c r="F38" s="62"/>
      <c r="G38" s="63" t="s">
        <v>57</v>
      </c>
      <c r="H38" s="64"/>
      <c r="I38" s="86">
        <f>I36-I37</f>
        <v>0</v>
      </c>
      <c r="J38" s="130">
        <v>0</v>
      </c>
      <c r="K38" s="130">
        <f>I38*A35</f>
        <v>0</v>
      </c>
    </row>
    <row r="39" spans="1:11" ht="18" customHeight="1">
      <c r="A39" s="104" t="s">
        <v>94</v>
      </c>
      <c r="B39" s="13" t="s">
        <v>43</v>
      </c>
      <c r="C39" s="38" t="s">
        <v>17</v>
      </c>
      <c r="D39" s="13">
        <v>1</v>
      </c>
      <c r="E39" s="124">
        <f>247*8*(A40/1973)</f>
        <v>397.60364926507856</v>
      </c>
      <c r="F39" s="25">
        <f>E39/A40</f>
        <v>1.001520527116067</v>
      </c>
      <c r="G39" s="36">
        <f>D39/E39*F39</f>
        <v>2.5188916876574311E-3</v>
      </c>
      <c r="H39" s="14">
        <f>30000*0.4</f>
        <v>12000</v>
      </c>
      <c r="I39" s="82">
        <f>H39*G39</f>
        <v>30.226700251889174</v>
      </c>
    </row>
    <row r="40" spans="1:11">
      <c r="A40" s="112">
        <f>ком.усл!A41</f>
        <v>397</v>
      </c>
      <c r="B40" s="5" t="s">
        <v>83</v>
      </c>
      <c r="C40" s="31" t="s">
        <v>17</v>
      </c>
      <c r="D40" s="5">
        <v>1</v>
      </c>
      <c r="E40" s="97">
        <f>247*8*(A40/1973)</f>
        <v>397.60364926507856</v>
      </c>
      <c r="F40" s="26">
        <f>E40/A40</f>
        <v>1.001520527116067</v>
      </c>
      <c r="G40" s="35">
        <f>D40/E40*F40</f>
        <v>2.5188916876574311E-3</v>
      </c>
      <c r="H40" s="6">
        <f>(118000-30000)*0.4</f>
        <v>35200</v>
      </c>
      <c r="I40" s="83">
        <f t="shared" ref="I40:I41" si="6">H40*G40</f>
        <v>88.664987405541581</v>
      </c>
    </row>
    <row r="41" spans="1:11">
      <c r="A41" s="112"/>
      <c r="B41" s="5"/>
      <c r="C41" s="31"/>
      <c r="D41" s="5"/>
      <c r="E41" s="97"/>
      <c r="F41" s="26"/>
      <c r="G41" s="35"/>
      <c r="H41" s="6"/>
      <c r="I41" s="83">
        <f t="shared" si="6"/>
        <v>0</v>
      </c>
    </row>
    <row r="42" spans="1:11" s="1" customFormat="1" ht="15.75" thickBot="1">
      <c r="A42" s="107"/>
      <c r="B42" s="27"/>
      <c r="C42" s="27"/>
      <c r="D42" s="27"/>
      <c r="E42" s="134"/>
      <c r="F42" s="27"/>
      <c r="G42" s="56"/>
      <c r="H42" s="57"/>
      <c r="I42" s="84">
        <f>SUM(I39:I41)</f>
        <v>118.89168765743075</v>
      </c>
      <c r="J42" s="121"/>
      <c r="K42" s="121"/>
    </row>
    <row r="43" spans="1:11" s="1" customFormat="1" ht="15.75" thickBot="1">
      <c r="A43" s="114"/>
      <c r="B43" s="52"/>
      <c r="C43" s="52"/>
      <c r="D43" s="52"/>
      <c r="E43" s="96"/>
      <c r="F43" s="52"/>
      <c r="G43" s="49" t="s">
        <v>60</v>
      </c>
      <c r="H43" s="53"/>
      <c r="I43" s="85">
        <f>I39+I40</f>
        <v>118.89168765743075</v>
      </c>
      <c r="J43" s="121">
        <f>118000*0.4</f>
        <v>47200</v>
      </c>
      <c r="K43" s="130">
        <f>I43*A40</f>
        <v>47200.000000000007</v>
      </c>
    </row>
    <row r="44" spans="1:11" s="1" customFormat="1" ht="15.75" thickBot="1">
      <c r="A44" s="115"/>
      <c r="B44" s="62"/>
      <c r="C44" s="62"/>
      <c r="D44" s="62"/>
      <c r="E44" s="120"/>
      <c r="F44" s="62"/>
      <c r="G44" s="63" t="s">
        <v>57</v>
      </c>
      <c r="H44" s="64"/>
      <c r="I44" s="86">
        <f>I42-I43</f>
        <v>0</v>
      </c>
      <c r="J44" s="130">
        <v>0</v>
      </c>
      <c r="K44" s="130">
        <f>I44*A40</f>
        <v>0</v>
      </c>
    </row>
    <row r="45" spans="1:11" ht="18" customHeight="1">
      <c r="A45" s="104" t="s">
        <v>73</v>
      </c>
      <c r="B45" s="13" t="s">
        <v>43</v>
      </c>
      <c r="C45" s="38" t="s">
        <v>17</v>
      </c>
      <c r="D45" s="13">
        <v>1</v>
      </c>
      <c r="E45" s="124">
        <f>247*8*(A46/1973)</f>
        <v>134.20375063355294</v>
      </c>
      <c r="F45" s="25">
        <f>E45/A46</f>
        <v>1.0015205271160668</v>
      </c>
      <c r="G45" s="36">
        <f>D45/E45*F45</f>
        <v>7.4626865671641798E-3</v>
      </c>
      <c r="H45" s="14">
        <f>5000*0.46</f>
        <v>2300</v>
      </c>
      <c r="I45" s="82">
        <f>H45*G45</f>
        <v>17.164179104477615</v>
      </c>
    </row>
    <row r="46" spans="1:11">
      <c r="A46" s="112">
        <f>ком.усл!A47</f>
        <v>134</v>
      </c>
      <c r="B46" s="5" t="s">
        <v>83</v>
      </c>
      <c r="C46" s="31" t="s">
        <v>17</v>
      </c>
      <c r="D46" s="5">
        <v>1</v>
      </c>
      <c r="E46" s="97">
        <f>247*8*(A46/1973)</f>
        <v>134.20375063355294</v>
      </c>
      <c r="F46" s="26">
        <f>E46/A46</f>
        <v>1.0015205271160668</v>
      </c>
      <c r="G46" s="35">
        <f>D46/E46*F46</f>
        <v>7.4626865671641798E-3</v>
      </c>
      <c r="H46" s="6">
        <f>(18380-5000)*0.46</f>
        <v>6154.8</v>
      </c>
      <c r="I46" s="83">
        <f t="shared" ref="I46:I47" si="7">H46*G46</f>
        <v>45.931343283582095</v>
      </c>
    </row>
    <row r="47" spans="1:11">
      <c r="A47" s="112"/>
      <c r="B47" s="5"/>
      <c r="C47" s="31"/>
      <c r="D47" s="5"/>
      <c r="E47" s="97"/>
      <c r="F47" s="26"/>
      <c r="G47" s="35"/>
      <c r="H47" s="6"/>
      <c r="I47" s="83">
        <f t="shared" si="7"/>
        <v>0</v>
      </c>
    </row>
    <row r="48" spans="1:11" s="1" customFormat="1" ht="15.75" thickBot="1">
      <c r="A48" s="107"/>
      <c r="B48" s="27"/>
      <c r="C48" s="27"/>
      <c r="D48" s="27"/>
      <c r="E48" s="134"/>
      <c r="F48" s="27"/>
      <c r="G48" s="56"/>
      <c r="H48" s="57"/>
      <c r="I48" s="84">
        <f>SUM(I45:I47)</f>
        <v>63.095522388059706</v>
      </c>
      <c r="J48" s="121"/>
      <c r="K48" s="121"/>
    </row>
    <row r="49" spans="1:20" s="1" customFormat="1" ht="15.75" thickBot="1">
      <c r="A49" s="114"/>
      <c r="B49" s="52"/>
      <c r="C49" s="52"/>
      <c r="D49" s="52"/>
      <c r="E49" s="96"/>
      <c r="F49" s="52"/>
      <c r="G49" s="49" t="s">
        <v>60</v>
      </c>
      <c r="H49" s="53"/>
      <c r="I49" s="85">
        <f>I45+I46</f>
        <v>63.095522388059706</v>
      </c>
      <c r="J49" s="121">
        <f>18380*0.46</f>
        <v>8454.8000000000011</v>
      </c>
      <c r="K49" s="130">
        <f>I49*A46</f>
        <v>8454.8000000000011</v>
      </c>
    </row>
    <row r="50" spans="1:20" s="1" customFormat="1" ht="15.75" thickBot="1">
      <c r="A50" s="115"/>
      <c r="B50" s="62"/>
      <c r="C50" s="62"/>
      <c r="D50" s="62"/>
      <c r="E50" s="120"/>
      <c r="F50" s="62"/>
      <c r="G50" s="63" t="s">
        <v>57</v>
      </c>
      <c r="H50" s="64"/>
      <c r="I50" s="86">
        <f>I48-I49</f>
        <v>0</v>
      </c>
      <c r="J50" s="130">
        <v>0</v>
      </c>
      <c r="K50" s="130">
        <f>I50*A46</f>
        <v>0</v>
      </c>
    </row>
    <row r="51" spans="1:20" ht="18" customHeight="1">
      <c r="A51" s="104" t="s">
        <v>74</v>
      </c>
      <c r="B51" s="13" t="s">
        <v>43</v>
      </c>
      <c r="C51" s="38" t="s">
        <v>17</v>
      </c>
      <c r="D51" s="13">
        <v>1</v>
      </c>
      <c r="E51" s="124">
        <f>247*8*(A52/1973)</f>
        <v>125.19006588950838</v>
      </c>
      <c r="F51" s="25">
        <f>E51/A52</f>
        <v>1.001520527116067</v>
      </c>
      <c r="G51" s="36">
        <f>D51/E51*F51</f>
        <v>7.9999999999999984E-3</v>
      </c>
      <c r="H51" s="14">
        <f>10000*0.49</f>
        <v>4900</v>
      </c>
      <c r="I51" s="82">
        <f>H51*G51</f>
        <v>39.199999999999996</v>
      </c>
    </row>
    <row r="52" spans="1:20">
      <c r="A52" s="112">
        <f>ком.усл!A52</f>
        <v>125</v>
      </c>
      <c r="B52" s="5" t="s">
        <v>83</v>
      </c>
      <c r="C52" s="31" t="s">
        <v>17</v>
      </c>
      <c r="D52" s="5">
        <v>1</v>
      </c>
      <c r="E52" s="97">
        <f>247*8*(A52/1973)</f>
        <v>125.19006588950838</v>
      </c>
      <c r="F52" s="26">
        <f>E52/A52</f>
        <v>1.001520527116067</v>
      </c>
      <c r="G52" s="35">
        <f>D52/E52*F52</f>
        <v>7.9999999999999984E-3</v>
      </c>
      <c r="H52" s="6">
        <f>(35000-10000)*0.49</f>
        <v>12250</v>
      </c>
      <c r="I52" s="83">
        <f t="shared" ref="I52:I53" si="8">H52*G52</f>
        <v>97.999999999999986</v>
      </c>
    </row>
    <row r="53" spans="1:20">
      <c r="A53" s="112"/>
      <c r="B53" s="5"/>
      <c r="C53" s="31"/>
      <c r="D53" s="5"/>
      <c r="E53" s="97"/>
      <c r="F53" s="26"/>
      <c r="G53" s="35"/>
      <c r="H53" s="6"/>
      <c r="I53" s="83">
        <f t="shared" si="8"/>
        <v>0</v>
      </c>
    </row>
    <row r="54" spans="1:20" s="1" customFormat="1" ht="15.75" thickBot="1">
      <c r="A54" s="107"/>
      <c r="B54" s="27"/>
      <c r="C54" s="27"/>
      <c r="D54" s="27"/>
      <c r="E54" s="134"/>
      <c r="F54" s="27"/>
      <c r="G54" s="56"/>
      <c r="H54" s="57"/>
      <c r="I54" s="84">
        <f>SUM(I51:I53)</f>
        <v>137.19999999999999</v>
      </c>
      <c r="J54" s="121"/>
      <c r="K54" s="121"/>
    </row>
    <row r="55" spans="1:20" s="1" customFormat="1" ht="15.75" thickBot="1">
      <c r="A55" s="114"/>
      <c r="B55" s="52"/>
      <c r="C55" s="52"/>
      <c r="D55" s="52"/>
      <c r="E55" s="96"/>
      <c r="F55" s="52"/>
      <c r="G55" s="49" t="s">
        <v>60</v>
      </c>
      <c r="H55" s="53"/>
      <c r="I55" s="85">
        <f>I51+I52</f>
        <v>137.19999999999999</v>
      </c>
      <c r="J55" s="121">
        <f>35000*0.49</f>
        <v>17150</v>
      </c>
      <c r="K55" s="130">
        <f>I55*A52</f>
        <v>17150</v>
      </c>
    </row>
    <row r="56" spans="1:20" s="1" customFormat="1" ht="15.75" thickBot="1">
      <c r="A56" s="115"/>
      <c r="B56" s="62"/>
      <c r="C56" s="62"/>
      <c r="D56" s="62"/>
      <c r="E56" s="120"/>
      <c r="F56" s="62"/>
      <c r="G56" s="63" t="s">
        <v>57</v>
      </c>
      <c r="H56" s="64"/>
      <c r="I56" s="86">
        <f>I54-I55</f>
        <v>0</v>
      </c>
      <c r="J56" s="130">
        <v>0</v>
      </c>
      <c r="K56" s="130">
        <f>I56*A52</f>
        <v>0</v>
      </c>
    </row>
    <row r="57" spans="1:20" s="1" customFormat="1">
      <c r="A57" s="109"/>
      <c r="B57" s="40"/>
      <c r="C57" s="40"/>
      <c r="D57" s="40"/>
      <c r="E57" s="123"/>
      <c r="F57" s="40"/>
      <c r="G57" s="42"/>
      <c r="H57" s="43"/>
      <c r="I57" s="75"/>
      <c r="J57" s="121"/>
      <c r="K57" s="121"/>
    </row>
    <row r="58" spans="1:20" ht="19.5" thickBot="1">
      <c r="A58" s="100" t="s">
        <v>76</v>
      </c>
      <c r="H58"/>
      <c r="I58" s="72"/>
      <c r="S58" s="1"/>
      <c r="T58" s="1"/>
    </row>
    <row r="59" spans="1:20" ht="96" customHeight="1">
      <c r="A59" s="102" t="s">
        <v>2</v>
      </c>
      <c r="B59" s="21" t="s">
        <v>15</v>
      </c>
      <c r="C59" s="21" t="s">
        <v>14</v>
      </c>
      <c r="D59" s="21" t="s">
        <v>16</v>
      </c>
      <c r="E59" s="133" t="s">
        <v>27</v>
      </c>
      <c r="F59" s="21" t="s">
        <v>28</v>
      </c>
      <c r="G59" s="21" t="s">
        <v>29</v>
      </c>
      <c r="H59" s="21" t="s">
        <v>30</v>
      </c>
      <c r="I59" s="79" t="s">
        <v>11</v>
      </c>
      <c r="J59" s="129" t="s">
        <v>34</v>
      </c>
      <c r="K59" s="129" t="s">
        <v>33</v>
      </c>
    </row>
    <row r="60" spans="1:20" ht="15.75" thickBot="1">
      <c r="A60" s="111">
        <v>1</v>
      </c>
      <c r="B60" s="10">
        <v>2</v>
      </c>
      <c r="C60" s="10">
        <v>3</v>
      </c>
      <c r="D60" s="10">
        <v>4</v>
      </c>
      <c r="E60" s="118">
        <v>5</v>
      </c>
      <c r="F60" s="10">
        <v>6</v>
      </c>
      <c r="G60" s="10" t="s">
        <v>31</v>
      </c>
      <c r="H60" s="9">
        <v>8</v>
      </c>
      <c r="I60" s="80" t="s">
        <v>32</v>
      </c>
    </row>
    <row r="61" spans="1:20" ht="18" customHeight="1">
      <c r="A61" s="104" t="s">
        <v>64</v>
      </c>
      <c r="B61" s="13" t="s">
        <v>43</v>
      </c>
      <c r="C61" s="38" t="s">
        <v>17</v>
      </c>
      <c r="D61" s="13">
        <v>1</v>
      </c>
      <c r="E61" s="124">
        <f>247*8*(A62/1973)</f>
        <v>224.34059807399899</v>
      </c>
      <c r="F61" s="25">
        <f>E61/A62</f>
        <v>1.001520527116067</v>
      </c>
      <c r="G61" s="36">
        <f>D61/E61*F61</f>
        <v>4.464285714285714E-3</v>
      </c>
      <c r="H61" s="135">
        <f>10000*0.5</f>
        <v>5000</v>
      </c>
      <c r="I61" s="82">
        <f>H61*G61</f>
        <v>22.321428571428569</v>
      </c>
    </row>
    <row r="62" spans="1:20">
      <c r="A62" s="112">
        <f>ком.усл!A62</f>
        <v>224</v>
      </c>
      <c r="B62" s="5" t="s">
        <v>83</v>
      </c>
      <c r="C62" s="31" t="s">
        <v>17</v>
      </c>
      <c r="D62" s="5">
        <v>1</v>
      </c>
      <c r="E62" s="97">
        <f>247*8*(A62/1973)</f>
        <v>224.34059807399899</v>
      </c>
      <c r="F62" s="26">
        <f>E62/A62</f>
        <v>1.001520527116067</v>
      </c>
      <c r="G62" s="35">
        <f>D62/E62*F62</f>
        <v>4.464285714285714E-3</v>
      </c>
      <c r="H62" s="136">
        <f>(46795-10000)*0.5</f>
        <v>18397.5</v>
      </c>
      <c r="I62" s="83">
        <f t="shared" ref="I62" si="9">H62*G62</f>
        <v>82.131696428571431</v>
      </c>
    </row>
    <row r="63" spans="1:20" s="1" customFormat="1" ht="15.75" thickBot="1">
      <c r="A63" s="107"/>
      <c r="B63" s="27"/>
      <c r="C63" s="27"/>
      <c r="D63" s="27"/>
      <c r="E63" s="134"/>
      <c r="F63" s="27"/>
      <c r="G63" s="56"/>
      <c r="H63" s="57"/>
      <c r="I63" s="84">
        <f>SUM(I61:I62)</f>
        <v>104.453125</v>
      </c>
      <c r="J63" s="121"/>
      <c r="K63" s="121"/>
    </row>
    <row r="64" spans="1:20" s="1" customFormat="1" ht="15.75" thickBot="1">
      <c r="A64" s="114"/>
      <c r="B64" s="52"/>
      <c r="C64" s="52"/>
      <c r="D64" s="52"/>
      <c r="E64" s="96"/>
      <c r="F64" s="52"/>
      <c r="G64" s="49" t="s">
        <v>60</v>
      </c>
      <c r="H64" s="53"/>
      <c r="I64" s="85">
        <f>I61+I62</f>
        <v>104.453125</v>
      </c>
      <c r="J64" s="121">
        <f>46795*0.5</f>
        <v>23397.5</v>
      </c>
      <c r="K64" s="130">
        <f>I64*A62</f>
        <v>23397.5</v>
      </c>
    </row>
    <row r="65" spans="1:11" s="1" customFormat="1" ht="15.75" thickBot="1">
      <c r="A65" s="115"/>
      <c r="B65" s="62"/>
      <c r="C65" s="62"/>
      <c r="D65" s="62"/>
      <c r="E65" s="120"/>
      <c r="F65" s="62"/>
      <c r="G65" s="63" t="s">
        <v>57</v>
      </c>
      <c r="H65" s="64"/>
      <c r="I65" s="86">
        <f>I63-I64</f>
        <v>0</v>
      </c>
      <c r="J65" s="130">
        <v>0</v>
      </c>
      <c r="K65" s="130">
        <f>I65*A62</f>
        <v>0</v>
      </c>
    </row>
    <row r="66" spans="1:11" ht="18" customHeight="1">
      <c r="A66" s="104" t="s">
        <v>67</v>
      </c>
      <c r="B66" s="13" t="s">
        <v>43</v>
      </c>
      <c r="C66" s="38" t="s">
        <v>17</v>
      </c>
      <c r="D66" s="13">
        <v>1</v>
      </c>
      <c r="E66" s="124">
        <f>247*8*(A67/1973)</f>
        <v>330.50177394830206</v>
      </c>
      <c r="F66" s="25">
        <f>E66/A67</f>
        <v>1.0015205271160668</v>
      </c>
      <c r="G66" s="36">
        <f>D66/E66*F66</f>
        <v>3.0303030303030299E-3</v>
      </c>
      <c r="H66" s="14">
        <f>10000*0.49</f>
        <v>4900</v>
      </c>
      <c r="I66" s="82">
        <f>H66*G66</f>
        <v>14.848484848484846</v>
      </c>
    </row>
    <row r="67" spans="1:11">
      <c r="A67" s="112">
        <f>ком.усл!A67</f>
        <v>330</v>
      </c>
      <c r="B67" s="5" t="s">
        <v>83</v>
      </c>
      <c r="C67" s="31" t="s">
        <v>17</v>
      </c>
      <c r="D67" s="5">
        <v>1</v>
      </c>
      <c r="E67" s="97">
        <f>247*8*(A67/1973)</f>
        <v>330.50177394830206</v>
      </c>
      <c r="F67" s="26">
        <f>E67/A67</f>
        <v>1.0015205271160668</v>
      </c>
      <c r="G67" s="35">
        <f>D67/E67*F67</f>
        <v>3.0303030303030299E-3</v>
      </c>
      <c r="H67" s="6">
        <f>(48000-10000)*0.49</f>
        <v>18620</v>
      </c>
      <c r="I67" s="83">
        <f t="shared" ref="I67:I68" si="10">H67*G67</f>
        <v>56.424242424242415</v>
      </c>
    </row>
    <row r="68" spans="1:11">
      <c r="A68" s="112"/>
      <c r="B68" s="5"/>
      <c r="C68" s="31"/>
      <c r="D68" s="5"/>
      <c r="E68" s="97"/>
      <c r="F68" s="26"/>
      <c r="G68" s="35"/>
      <c r="H68" s="6"/>
      <c r="I68" s="83">
        <f t="shared" si="10"/>
        <v>0</v>
      </c>
    </row>
    <row r="69" spans="1:11" s="1" customFormat="1" ht="15.75" thickBot="1">
      <c r="A69" s="107"/>
      <c r="B69" s="27"/>
      <c r="C69" s="27"/>
      <c r="D69" s="27"/>
      <c r="E69" s="134"/>
      <c r="F69" s="27"/>
      <c r="G69" s="56"/>
      <c r="H69" s="57"/>
      <c r="I69" s="84">
        <f>SUM(I66:I68)</f>
        <v>71.272727272727266</v>
      </c>
      <c r="J69" s="121"/>
      <c r="K69" s="121"/>
    </row>
    <row r="70" spans="1:11" s="1" customFormat="1" ht="15.75" thickBot="1">
      <c r="A70" s="114"/>
      <c r="B70" s="52"/>
      <c r="C70" s="52"/>
      <c r="D70" s="52"/>
      <c r="E70" s="96"/>
      <c r="F70" s="52"/>
      <c r="G70" s="49" t="s">
        <v>60</v>
      </c>
      <c r="H70" s="53"/>
      <c r="I70" s="85">
        <f>I66+I67</f>
        <v>71.272727272727266</v>
      </c>
      <c r="J70" s="121">
        <f>48000*0.49</f>
        <v>23520</v>
      </c>
      <c r="K70" s="130">
        <f>I70*A67</f>
        <v>23519.999999999996</v>
      </c>
    </row>
    <row r="71" spans="1:11" s="1" customFormat="1" ht="15.75" thickBot="1">
      <c r="A71" s="115"/>
      <c r="B71" s="62"/>
      <c r="C71" s="62"/>
      <c r="D71" s="62"/>
      <c r="E71" s="120"/>
      <c r="F71" s="62"/>
      <c r="G71" s="63" t="s">
        <v>57</v>
      </c>
      <c r="H71" s="64"/>
      <c r="I71" s="86">
        <f>I69-I70</f>
        <v>0</v>
      </c>
      <c r="J71" s="130">
        <v>0</v>
      </c>
      <c r="K71" s="130">
        <f>I71*A67</f>
        <v>0</v>
      </c>
    </row>
    <row r="72" spans="1:11" ht="18" customHeight="1">
      <c r="A72" s="104" t="s">
        <v>68</v>
      </c>
      <c r="B72" s="13" t="s">
        <v>43</v>
      </c>
      <c r="C72" s="38" t="s">
        <v>17</v>
      </c>
      <c r="D72" s="13">
        <v>1</v>
      </c>
      <c r="E72" s="124">
        <f>247*8*(A73/1973)</f>
        <v>267.4059807399899</v>
      </c>
      <c r="F72" s="25">
        <f>E72/A73</f>
        <v>1.001520527116067</v>
      </c>
      <c r="G72" s="36">
        <f>D72/E72*F72</f>
        <v>3.7453183520599251E-3</v>
      </c>
      <c r="H72" s="14">
        <f>20000*0.45</f>
        <v>9000</v>
      </c>
      <c r="I72" s="82">
        <f>H72*G72</f>
        <v>33.707865168539328</v>
      </c>
    </row>
    <row r="73" spans="1:11">
      <c r="A73" s="112">
        <f>ком.усл!A72</f>
        <v>267</v>
      </c>
      <c r="B73" s="5" t="s">
        <v>83</v>
      </c>
      <c r="C73" s="31" t="s">
        <v>17</v>
      </c>
      <c r="D73" s="5">
        <v>1</v>
      </c>
      <c r="E73" s="97">
        <f>247*8*(A73/1973)</f>
        <v>267.4059807399899</v>
      </c>
      <c r="F73" s="26">
        <f>E73/A73</f>
        <v>1.001520527116067</v>
      </c>
      <c r="G73" s="35">
        <f>D73/E73*F73</f>
        <v>3.7453183520599251E-3</v>
      </c>
      <c r="H73" s="6">
        <f>(69000-20000)*0.45</f>
        <v>22050</v>
      </c>
      <c r="I73" s="83">
        <f t="shared" ref="I73:I74" si="11">H73*G73</f>
        <v>82.584269662921344</v>
      </c>
    </row>
    <row r="74" spans="1:11">
      <c r="A74" s="112"/>
      <c r="B74" s="5"/>
      <c r="C74" s="31"/>
      <c r="D74" s="5"/>
      <c r="E74" s="97"/>
      <c r="F74" s="26"/>
      <c r="G74" s="35"/>
      <c r="H74" s="6"/>
      <c r="I74" s="83">
        <f t="shared" si="11"/>
        <v>0</v>
      </c>
    </row>
    <row r="75" spans="1:11" s="1" customFormat="1" ht="15.75" thickBot="1">
      <c r="A75" s="107"/>
      <c r="B75" s="27"/>
      <c r="C75" s="27"/>
      <c r="D75" s="27"/>
      <c r="E75" s="134"/>
      <c r="F75" s="27"/>
      <c r="G75" s="56"/>
      <c r="H75" s="57"/>
      <c r="I75" s="84">
        <f>SUM(I72:I74)</f>
        <v>116.29213483146067</v>
      </c>
      <c r="J75" s="121"/>
      <c r="K75" s="121"/>
    </row>
    <row r="76" spans="1:11" s="1" customFormat="1" ht="15.75" thickBot="1">
      <c r="A76" s="114"/>
      <c r="B76" s="52"/>
      <c r="C76" s="52"/>
      <c r="D76" s="52"/>
      <c r="E76" s="96"/>
      <c r="F76" s="52"/>
      <c r="G76" s="49" t="s">
        <v>60</v>
      </c>
      <c r="H76" s="53"/>
      <c r="I76" s="85">
        <f>I72+I73</f>
        <v>116.29213483146067</v>
      </c>
      <c r="J76" s="121">
        <f>69000*0.45</f>
        <v>31050</v>
      </c>
      <c r="K76" s="130">
        <f>I76*A73</f>
        <v>31050</v>
      </c>
    </row>
    <row r="77" spans="1:11" s="1" customFormat="1" ht="15.75" thickBot="1">
      <c r="A77" s="115"/>
      <c r="B77" s="62"/>
      <c r="C77" s="62"/>
      <c r="D77" s="62"/>
      <c r="E77" s="120"/>
      <c r="F77" s="62"/>
      <c r="G77" s="63" t="s">
        <v>57</v>
      </c>
      <c r="H77" s="64"/>
      <c r="I77" s="86">
        <f>I75-I76</f>
        <v>0</v>
      </c>
      <c r="J77" s="130">
        <v>0</v>
      </c>
      <c r="K77" s="130">
        <f>I77*A73</f>
        <v>0</v>
      </c>
    </row>
    <row r="78" spans="1:11" ht="18" customHeight="1">
      <c r="A78" s="104" t="s">
        <v>69</v>
      </c>
      <c r="B78" s="13" t="s">
        <v>43</v>
      </c>
      <c r="C78" s="38" t="s">
        <v>17</v>
      </c>
      <c r="D78" s="13">
        <v>1</v>
      </c>
      <c r="E78" s="124">
        <f>247*8*(A79/1973)</f>
        <v>446.67815509376584</v>
      </c>
      <c r="F78" s="25">
        <f>E78/A79</f>
        <v>1.001520527116067</v>
      </c>
      <c r="G78" s="36">
        <f>D78/E78*F78</f>
        <v>2.2421524663677134E-3</v>
      </c>
      <c r="H78" s="14">
        <f>30000*0.47</f>
        <v>14100</v>
      </c>
      <c r="I78" s="82">
        <f>H78*G78</f>
        <v>31.61434977578476</v>
      </c>
    </row>
    <row r="79" spans="1:11">
      <c r="A79" s="112">
        <f>ком.усл!A77</f>
        <v>446</v>
      </c>
      <c r="B79" s="5" t="s">
        <v>83</v>
      </c>
      <c r="C79" s="31" t="s">
        <v>17</v>
      </c>
      <c r="D79" s="5">
        <v>1</v>
      </c>
      <c r="E79" s="97">
        <f>247*8*(A79/1973)</f>
        <v>446.67815509376584</v>
      </c>
      <c r="F79" s="26">
        <f>E79/A79</f>
        <v>1.001520527116067</v>
      </c>
      <c r="G79" s="35">
        <f>D79/E79*F79</f>
        <v>2.2421524663677134E-3</v>
      </c>
      <c r="H79" s="6">
        <f>(70000-30000)*0.47</f>
        <v>18800</v>
      </c>
      <c r="I79" s="83">
        <f t="shared" ref="I79" si="12">H79*G79</f>
        <v>42.152466367713011</v>
      </c>
    </row>
    <row r="80" spans="1:11" s="1" customFormat="1" ht="15.75" thickBot="1">
      <c r="A80" s="107"/>
      <c r="B80" s="27"/>
      <c r="C80" s="27"/>
      <c r="D80" s="27"/>
      <c r="E80" s="134"/>
      <c r="F80" s="27"/>
      <c r="G80" s="56"/>
      <c r="H80" s="57"/>
      <c r="I80" s="84">
        <f>SUM(I78:I79)</f>
        <v>73.766816143497778</v>
      </c>
      <c r="J80" s="121"/>
      <c r="K80" s="121"/>
    </row>
    <row r="81" spans="1:11" s="1" customFormat="1" ht="15.75" thickBot="1">
      <c r="A81" s="114"/>
      <c r="B81" s="52"/>
      <c r="C81" s="52"/>
      <c r="D81" s="52"/>
      <c r="E81" s="96"/>
      <c r="F81" s="52"/>
      <c r="G81" s="49" t="s">
        <v>60</v>
      </c>
      <c r="H81" s="53"/>
      <c r="I81" s="85">
        <f>I78+I79</f>
        <v>73.766816143497778</v>
      </c>
      <c r="J81" s="121">
        <f>70000*0.47</f>
        <v>32900</v>
      </c>
      <c r="K81" s="130">
        <f>I81*A79</f>
        <v>32900.000000000007</v>
      </c>
    </row>
    <row r="82" spans="1:11" s="1" customFormat="1" ht="15.75" thickBot="1">
      <c r="A82" s="115"/>
      <c r="B82" s="62"/>
      <c r="C82" s="62"/>
      <c r="D82" s="62"/>
      <c r="E82" s="120"/>
      <c r="F82" s="62"/>
      <c r="G82" s="63" t="s">
        <v>57</v>
      </c>
      <c r="H82" s="64"/>
      <c r="I82" s="86">
        <f>I80-I81</f>
        <v>0</v>
      </c>
      <c r="J82" s="130">
        <v>0</v>
      </c>
      <c r="K82" s="130">
        <f>I82*A79</f>
        <v>0</v>
      </c>
    </row>
    <row r="83" spans="1:11" ht="18" customHeight="1">
      <c r="A83" s="104" t="s">
        <v>70</v>
      </c>
      <c r="B83" s="13" t="s">
        <v>43</v>
      </c>
      <c r="C83" s="38" t="s">
        <v>17</v>
      </c>
      <c r="D83" s="13">
        <v>1</v>
      </c>
      <c r="E83" s="124">
        <f>247*8*(A84/1973)</f>
        <v>466.70856563608714</v>
      </c>
      <c r="F83" s="25">
        <f>E83/A84</f>
        <v>1.0015205271160668</v>
      </c>
      <c r="G83" s="36">
        <f>D83/E83*F83</f>
        <v>2.1459227467811159E-3</v>
      </c>
      <c r="H83" s="14">
        <f>50000*0.48</f>
        <v>24000</v>
      </c>
      <c r="I83" s="82">
        <f>H83*G83</f>
        <v>51.502145922746784</v>
      </c>
    </row>
    <row r="84" spans="1:11">
      <c r="A84" s="112">
        <f>ком.усл!A82</f>
        <v>466</v>
      </c>
      <c r="B84" s="5" t="s">
        <v>83</v>
      </c>
      <c r="C84" s="31" t="s">
        <v>17</v>
      </c>
      <c r="D84" s="5">
        <v>1</v>
      </c>
      <c r="E84" s="97">
        <f>247*8*(A84/1973)</f>
        <v>466.70856563608714</v>
      </c>
      <c r="F84" s="26">
        <f>E84/A84</f>
        <v>1.0015205271160668</v>
      </c>
      <c r="G84" s="35">
        <f>D84/E84*F84</f>
        <v>2.1459227467811159E-3</v>
      </c>
      <c r="H84" s="6">
        <f>(94325-50000)*0.48</f>
        <v>21276</v>
      </c>
      <c r="I84" s="83">
        <f t="shared" ref="I84:I85" si="13">H84*G84</f>
        <v>45.656652360515018</v>
      </c>
    </row>
    <row r="85" spans="1:11">
      <c r="A85" s="112"/>
      <c r="B85" s="5"/>
      <c r="C85" s="31"/>
      <c r="D85" s="5"/>
      <c r="E85" s="97"/>
      <c r="F85" s="26"/>
      <c r="G85" s="35"/>
      <c r="H85" s="6"/>
      <c r="I85" s="83">
        <f t="shared" si="13"/>
        <v>0</v>
      </c>
    </row>
    <row r="86" spans="1:11" s="1" customFormat="1" ht="15.75" thickBot="1">
      <c r="A86" s="107"/>
      <c r="B86" s="27"/>
      <c r="C86" s="27"/>
      <c r="D86" s="27"/>
      <c r="E86" s="134"/>
      <c r="F86" s="27"/>
      <c r="G86" s="56"/>
      <c r="H86" s="57"/>
      <c r="I86" s="84">
        <f>SUM(I83:I85)</f>
        <v>97.158798283261802</v>
      </c>
      <c r="J86" s="121"/>
      <c r="K86" s="121"/>
    </row>
    <row r="87" spans="1:11" s="1" customFormat="1" ht="15.75" thickBot="1">
      <c r="A87" s="114"/>
      <c r="B87" s="52"/>
      <c r="C87" s="52"/>
      <c r="D87" s="52"/>
      <c r="E87" s="96"/>
      <c r="F87" s="52"/>
      <c r="G87" s="49" t="s">
        <v>60</v>
      </c>
      <c r="H87" s="53"/>
      <c r="I87" s="85">
        <f>I83+I84</f>
        <v>97.158798283261802</v>
      </c>
      <c r="J87" s="121">
        <f>94325*0.48</f>
        <v>45276</v>
      </c>
      <c r="K87" s="130">
        <f>I87*A84</f>
        <v>45276</v>
      </c>
    </row>
    <row r="88" spans="1:11" s="1" customFormat="1" ht="15.75" thickBot="1">
      <c r="A88" s="115"/>
      <c r="B88" s="62"/>
      <c r="C88" s="62"/>
      <c r="D88" s="62"/>
      <c r="E88" s="120"/>
      <c r="F88" s="62"/>
      <c r="G88" s="63" t="s">
        <v>57</v>
      </c>
      <c r="H88" s="64"/>
      <c r="I88" s="86">
        <f>I86-I87</f>
        <v>0</v>
      </c>
      <c r="J88" s="130">
        <v>0</v>
      </c>
      <c r="K88" s="130">
        <f>I88*A84</f>
        <v>0</v>
      </c>
    </row>
    <row r="89" spans="1:11" ht="18" customHeight="1">
      <c r="A89" s="104" t="s">
        <v>71</v>
      </c>
      <c r="B89" s="13" t="s">
        <v>43</v>
      </c>
      <c r="C89" s="38" t="s">
        <v>17</v>
      </c>
      <c r="D89" s="13">
        <v>1</v>
      </c>
      <c r="E89" s="124">
        <f>247*8*(A90/1973)</f>
        <v>309.46984287886465</v>
      </c>
      <c r="F89" s="25">
        <f>E89/A90</f>
        <v>1.0015205271160668</v>
      </c>
      <c r="G89" s="36">
        <f>D89/E89*F89</f>
        <v>3.2362459546925564E-3</v>
      </c>
      <c r="H89" s="14">
        <f>60000*0.53</f>
        <v>31800</v>
      </c>
      <c r="I89" s="82">
        <f>H89*G89</f>
        <v>102.91262135922329</v>
      </c>
    </row>
    <row r="90" spans="1:11">
      <c r="A90" s="112">
        <f>ком.усл!A87</f>
        <v>309</v>
      </c>
      <c r="B90" s="5" t="s">
        <v>83</v>
      </c>
      <c r="C90" s="31" t="s">
        <v>17</v>
      </c>
      <c r="D90" s="5">
        <v>1</v>
      </c>
      <c r="E90" s="97">
        <f>247*8*(A90/1973)</f>
        <v>309.46984287886465</v>
      </c>
      <c r="F90" s="26">
        <f>E90/A90</f>
        <v>1.0015205271160668</v>
      </c>
      <c r="G90" s="35">
        <f>D90/E90*F90</f>
        <v>3.2362459546925564E-3</v>
      </c>
      <c r="H90" s="6">
        <f>(235200-60000)*0.53</f>
        <v>92856</v>
      </c>
      <c r="I90" s="83">
        <f t="shared" ref="I90" si="14">H90*G90</f>
        <v>300.504854368932</v>
      </c>
    </row>
    <row r="91" spans="1:11" s="1" customFormat="1" ht="15.75" thickBot="1">
      <c r="A91" s="107"/>
      <c r="B91" s="27"/>
      <c r="C91" s="27"/>
      <c r="D91" s="27"/>
      <c r="E91" s="134"/>
      <c r="F91" s="27"/>
      <c r="G91" s="56"/>
      <c r="H91" s="57"/>
      <c r="I91" s="84">
        <f>SUM(I89:I90)</f>
        <v>403.4174757281553</v>
      </c>
      <c r="J91" s="121"/>
      <c r="K91" s="121"/>
    </row>
    <row r="92" spans="1:11" s="1" customFormat="1" ht="15.75" thickBot="1">
      <c r="A92" s="114"/>
      <c r="B92" s="52"/>
      <c r="C92" s="52"/>
      <c r="D92" s="52"/>
      <c r="E92" s="96"/>
      <c r="F92" s="52"/>
      <c r="G92" s="49" t="s">
        <v>60</v>
      </c>
      <c r="H92" s="53"/>
      <c r="I92" s="85">
        <f>I89+I90</f>
        <v>403.4174757281553</v>
      </c>
      <c r="J92" s="121">
        <f>235200*0.53</f>
        <v>124656</v>
      </c>
      <c r="K92" s="130">
        <f>I92*A90</f>
        <v>124655.99999999999</v>
      </c>
    </row>
    <row r="93" spans="1:11" s="1" customFormat="1" ht="15.75" thickBot="1">
      <c r="A93" s="115"/>
      <c r="B93" s="62"/>
      <c r="C93" s="62"/>
      <c r="D93" s="62"/>
      <c r="E93" s="120"/>
      <c r="F93" s="62"/>
      <c r="G93" s="63" t="s">
        <v>57</v>
      </c>
      <c r="H93" s="64"/>
      <c r="I93" s="86">
        <f>I91-I92</f>
        <v>0</v>
      </c>
      <c r="J93" s="130">
        <v>0</v>
      </c>
      <c r="K93" s="130">
        <f>I93*A90</f>
        <v>0</v>
      </c>
    </row>
    <row r="94" spans="1:11" ht="18" customHeight="1">
      <c r="A94" s="104" t="s">
        <v>94</v>
      </c>
      <c r="B94" s="13" t="s">
        <v>43</v>
      </c>
      <c r="C94" s="38" t="s">
        <v>17</v>
      </c>
      <c r="D94" s="13">
        <v>1</v>
      </c>
      <c r="E94" s="124">
        <f>247*8*(A95/1973)</f>
        <v>490.74505828687273</v>
      </c>
      <c r="F94" s="25">
        <f>E94/A95</f>
        <v>1.0015205271160668</v>
      </c>
      <c r="G94" s="36">
        <f>D94/E94*F94</f>
        <v>2.040816326530612E-3</v>
      </c>
      <c r="H94" s="14">
        <f>30000*0.49</f>
        <v>14700</v>
      </c>
      <c r="I94" s="82">
        <f>H94*G94</f>
        <v>29.999999999999996</v>
      </c>
    </row>
    <row r="95" spans="1:11">
      <c r="A95" s="112">
        <f>ком.усл!A92</f>
        <v>490</v>
      </c>
      <c r="B95" s="5" t="s">
        <v>83</v>
      </c>
      <c r="C95" s="31" t="s">
        <v>17</v>
      </c>
      <c r="D95" s="5">
        <v>1</v>
      </c>
      <c r="E95" s="97">
        <f>247*8*(A95/1973)</f>
        <v>490.74505828687273</v>
      </c>
      <c r="F95" s="26">
        <f>E95/A95</f>
        <v>1.0015205271160668</v>
      </c>
      <c r="G95" s="35">
        <f>D95/E95*F95</f>
        <v>2.040816326530612E-3</v>
      </c>
      <c r="H95" s="6">
        <f>(118000-30000)*0.49</f>
        <v>43120</v>
      </c>
      <c r="I95" s="83">
        <f t="shared" ref="I95:I96" si="15">H95*G95</f>
        <v>87.999999999999986</v>
      </c>
    </row>
    <row r="96" spans="1:11">
      <c r="A96" s="112"/>
      <c r="B96" s="5"/>
      <c r="C96" s="31"/>
      <c r="D96" s="5"/>
      <c r="E96" s="97"/>
      <c r="F96" s="26"/>
      <c r="G96" s="35"/>
      <c r="H96" s="6"/>
      <c r="I96" s="83">
        <f t="shared" si="15"/>
        <v>0</v>
      </c>
    </row>
    <row r="97" spans="1:11" s="1" customFormat="1" ht="15.75" thickBot="1">
      <c r="A97" s="107"/>
      <c r="B97" s="27"/>
      <c r="C97" s="27"/>
      <c r="D97" s="27"/>
      <c r="E97" s="134"/>
      <c r="F97" s="27"/>
      <c r="G97" s="56"/>
      <c r="H97" s="57"/>
      <c r="I97" s="84">
        <f>SUM(I94:I96)</f>
        <v>117.99999999999999</v>
      </c>
      <c r="J97" s="121"/>
      <c r="K97" s="121"/>
    </row>
    <row r="98" spans="1:11" s="1" customFormat="1" ht="15.75" thickBot="1">
      <c r="A98" s="114"/>
      <c r="B98" s="52"/>
      <c r="C98" s="52"/>
      <c r="D98" s="52"/>
      <c r="E98" s="96"/>
      <c r="F98" s="52"/>
      <c r="G98" s="49" t="s">
        <v>60</v>
      </c>
      <c r="H98" s="53"/>
      <c r="I98" s="85">
        <f>I94+I95</f>
        <v>117.99999999999999</v>
      </c>
      <c r="J98" s="121">
        <f>118000*0.49</f>
        <v>57820</v>
      </c>
      <c r="K98" s="130">
        <f>I98*A95</f>
        <v>57819.999999999993</v>
      </c>
    </row>
    <row r="99" spans="1:11" s="1" customFormat="1" ht="15.75" thickBot="1">
      <c r="A99" s="115"/>
      <c r="B99" s="62"/>
      <c r="C99" s="62"/>
      <c r="D99" s="62"/>
      <c r="E99" s="120"/>
      <c r="F99" s="62"/>
      <c r="G99" s="63" t="s">
        <v>57</v>
      </c>
      <c r="H99" s="64"/>
      <c r="I99" s="86">
        <f>I97-I98</f>
        <v>0</v>
      </c>
      <c r="J99" s="130">
        <v>0</v>
      </c>
      <c r="K99" s="130">
        <f>I99*A95</f>
        <v>0</v>
      </c>
    </row>
    <row r="100" spans="1:11" ht="18" customHeight="1">
      <c r="A100" s="104" t="s">
        <v>73</v>
      </c>
      <c r="B100" s="13" t="s">
        <v>43</v>
      </c>
      <c r="C100" s="38" t="s">
        <v>17</v>
      </c>
      <c r="D100" s="13">
        <v>1</v>
      </c>
      <c r="E100" s="124">
        <f>247*8*(A101/1973)</f>
        <v>125.19006588950838</v>
      </c>
      <c r="F100" s="25">
        <f>E100/A101</f>
        <v>1.001520527116067</v>
      </c>
      <c r="G100" s="36">
        <f>D100/E100*F100</f>
        <v>7.9999999999999984E-3</v>
      </c>
      <c r="H100" s="14">
        <f>5000*0.43</f>
        <v>2150</v>
      </c>
      <c r="I100" s="82">
        <f>H100*G100</f>
        <v>17.199999999999996</v>
      </c>
    </row>
    <row r="101" spans="1:11">
      <c r="A101" s="112">
        <f>ком.усл!A98</f>
        <v>125</v>
      </c>
      <c r="B101" s="5" t="s">
        <v>83</v>
      </c>
      <c r="C101" s="31" t="s">
        <v>17</v>
      </c>
      <c r="D101" s="5">
        <v>1</v>
      </c>
      <c r="E101" s="97">
        <f>247*8*(A101/1973)</f>
        <v>125.19006588950838</v>
      </c>
      <c r="F101" s="26">
        <f>E101/A101</f>
        <v>1.001520527116067</v>
      </c>
      <c r="G101" s="35">
        <f>D101/E101*F101</f>
        <v>7.9999999999999984E-3</v>
      </c>
      <c r="H101" s="6">
        <f>(18380-5000)*0.43</f>
        <v>5753.4</v>
      </c>
      <c r="I101" s="83">
        <f t="shared" ref="I101:I102" si="16">H101*G101</f>
        <v>46.027199999999986</v>
      </c>
    </row>
    <row r="102" spans="1:11">
      <c r="A102" s="112"/>
      <c r="B102" s="5"/>
      <c r="C102" s="31"/>
      <c r="D102" s="5"/>
      <c r="E102" s="97"/>
      <c r="F102" s="26"/>
      <c r="G102" s="35"/>
      <c r="H102" s="6"/>
      <c r="I102" s="83">
        <f t="shared" si="16"/>
        <v>0</v>
      </c>
    </row>
    <row r="103" spans="1:11" s="1" customFormat="1" ht="15.75" thickBot="1">
      <c r="A103" s="107"/>
      <c r="B103" s="27"/>
      <c r="C103" s="27"/>
      <c r="D103" s="27"/>
      <c r="E103" s="134"/>
      <c r="F103" s="27"/>
      <c r="G103" s="56"/>
      <c r="H103" s="57"/>
      <c r="I103" s="84">
        <f>SUM(I100:I102)</f>
        <v>63.227199999999982</v>
      </c>
      <c r="J103" s="121"/>
      <c r="K103" s="121"/>
    </row>
    <row r="104" spans="1:11" s="1" customFormat="1" ht="15.75" thickBot="1">
      <c r="A104" s="114"/>
      <c r="B104" s="52"/>
      <c r="C104" s="52"/>
      <c r="D104" s="52"/>
      <c r="E104" s="96"/>
      <c r="F104" s="52"/>
      <c r="G104" s="49" t="s">
        <v>60</v>
      </c>
      <c r="H104" s="53"/>
      <c r="I104" s="85">
        <f>I100+I101</f>
        <v>63.227199999999982</v>
      </c>
      <c r="J104" s="121">
        <f>18380*0.43</f>
        <v>7903.4</v>
      </c>
      <c r="K104" s="130">
        <f>I104*A101</f>
        <v>7903.3999999999978</v>
      </c>
    </row>
    <row r="105" spans="1:11" s="1" customFormat="1" ht="15.75" thickBot="1">
      <c r="A105" s="115"/>
      <c r="B105" s="62"/>
      <c r="C105" s="62"/>
      <c r="D105" s="62"/>
      <c r="E105" s="120"/>
      <c r="F105" s="62"/>
      <c r="G105" s="63" t="s">
        <v>57</v>
      </c>
      <c r="H105" s="64"/>
      <c r="I105" s="86">
        <f>I103-I104</f>
        <v>0</v>
      </c>
      <c r="J105" s="130">
        <v>0</v>
      </c>
      <c r="K105" s="130">
        <f>I105*A101</f>
        <v>0</v>
      </c>
    </row>
    <row r="106" spans="1:11" ht="18" customHeight="1">
      <c r="A106" s="104" t="s">
        <v>74</v>
      </c>
      <c r="B106" s="13" t="s">
        <v>43</v>
      </c>
      <c r="C106" s="38" t="s">
        <v>17</v>
      </c>
      <c r="D106" s="13">
        <v>1</v>
      </c>
      <c r="E106" s="124">
        <f>247*8*(A107/1973)</f>
        <v>131.19918905220476</v>
      </c>
      <c r="F106" s="25">
        <f>E106/A107</f>
        <v>1.0015205271160668</v>
      </c>
      <c r="G106" s="36">
        <f>D106/E106*F106</f>
        <v>7.6335877862595417E-3</v>
      </c>
      <c r="H106" s="14">
        <f>10000*0.51</f>
        <v>5100</v>
      </c>
      <c r="I106" s="82">
        <f>H106*G106</f>
        <v>38.931297709923662</v>
      </c>
    </row>
    <row r="107" spans="1:11">
      <c r="A107" s="112">
        <f>ком.усл!A103</f>
        <v>131</v>
      </c>
      <c r="B107" s="5" t="s">
        <v>83</v>
      </c>
      <c r="C107" s="31" t="s">
        <v>17</v>
      </c>
      <c r="D107" s="5">
        <v>1</v>
      </c>
      <c r="E107" s="97">
        <f>247*8*(A107/1973)</f>
        <v>131.19918905220476</v>
      </c>
      <c r="F107" s="26">
        <f>E107/A107</f>
        <v>1.0015205271160668</v>
      </c>
      <c r="G107" s="35">
        <f>D107/E107*F107</f>
        <v>7.6335877862595417E-3</v>
      </c>
      <c r="H107" s="6">
        <f>(35000-10000)*0.51</f>
        <v>12750</v>
      </c>
      <c r="I107" s="83">
        <f t="shared" ref="I107:I108" si="17">H107*G107</f>
        <v>97.328244274809151</v>
      </c>
    </row>
    <row r="108" spans="1:11">
      <c r="A108" s="112"/>
      <c r="B108" s="5"/>
      <c r="C108" s="31"/>
      <c r="D108" s="5"/>
      <c r="E108" s="97"/>
      <c r="F108" s="26"/>
      <c r="G108" s="35"/>
      <c r="H108" s="6"/>
      <c r="I108" s="83">
        <f t="shared" si="17"/>
        <v>0</v>
      </c>
    </row>
    <row r="109" spans="1:11" s="1" customFormat="1" ht="15.75" thickBot="1">
      <c r="A109" s="107"/>
      <c r="B109" s="27"/>
      <c r="C109" s="27"/>
      <c r="D109" s="27"/>
      <c r="E109" s="134"/>
      <c r="F109" s="27"/>
      <c r="G109" s="56"/>
      <c r="H109" s="57"/>
      <c r="I109" s="84">
        <f>SUM(I106:I108)</f>
        <v>136.25954198473281</v>
      </c>
      <c r="J109" s="121"/>
      <c r="K109" s="121"/>
    </row>
    <row r="110" spans="1:11" s="1" customFormat="1" ht="15.75" thickBot="1">
      <c r="A110" s="114"/>
      <c r="B110" s="52"/>
      <c r="C110" s="52"/>
      <c r="D110" s="52"/>
      <c r="E110" s="96"/>
      <c r="F110" s="52"/>
      <c r="G110" s="49" t="s">
        <v>60</v>
      </c>
      <c r="H110" s="53"/>
      <c r="I110" s="85">
        <f>I106+I107</f>
        <v>136.25954198473281</v>
      </c>
      <c r="J110" s="121">
        <f>35000*0.51</f>
        <v>17850</v>
      </c>
      <c r="K110" s="130">
        <f>I110*A107</f>
        <v>17849.999999999996</v>
      </c>
    </row>
    <row r="111" spans="1:11" s="1" customFormat="1" ht="15.75" thickBot="1">
      <c r="A111" s="115"/>
      <c r="B111" s="62"/>
      <c r="C111" s="62"/>
      <c r="D111" s="62"/>
      <c r="E111" s="120"/>
      <c r="F111" s="62"/>
      <c r="G111" s="63" t="s">
        <v>57</v>
      </c>
      <c r="H111" s="64"/>
      <c r="I111" s="86">
        <f>I109-I110</f>
        <v>0</v>
      </c>
      <c r="J111" s="130">
        <v>0</v>
      </c>
      <c r="K111" s="130">
        <f>I111*A107</f>
        <v>0</v>
      </c>
    </row>
    <row r="112" spans="1:11" s="1" customFormat="1">
      <c r="A112" s="109"/>
      <c r="B112" s="40"/>
      <c r="C112" s="40"/>
      <c r="D112" s="40"/>
      <c r="E112" s="123"/>
      <c r="F112" s="40"/>
      <c r="G112" s="42"/>
      <c r="H112" s="43"/>
      <c r="I112" s="75"/>
      <c r="J112" s="121"/>
      <c r="K112" s="121"/>
    </row>
    <row r="113" spans="1:20" s="1" customFormat="1">
      <c r="A113" s="109"/>
      <c r="B113" s="40"/>
      <c r="C113" s="40"/>
      <c r="D113" s="40"/>
      <c r="E113" s="123"/>
      <c r="F113" s="40"/>
      <c r="G113" s="42"/>
      <c r="H113" s="43"/>
      <c r="I113" s="75"/>
      <c r="J113" s="121"/>
      <c r="K113" s="121"/>
    </row>
    <row r="114" spans="1:20" s="1" customFormat="1">
      <c r="A114" s="109"/>
      <c r="B114" s="40"/>
      <c r="C114" s="40"/>
      <c r="D114" s="40"/>
      <c r="E114" s="123"/>
      <c r="F114" s="40"/>
      <c r="G114" s="42"/>
      <c r="H114" s="43"/>
      <c r="I114" s="75"/>
      <c r="J114" s="121"/>
      <c r="K114" s="121"/>
    </row>
    <row r="115" spans="1:20" s="1" customFormat="1">
      <c r="A115" s="109"/>
      <c r="B115" s="40"/>
      <c r="C115" s="40"/>
      <c r="D115" s="40"/>
      <c r="E115" s="123"/>
      <c r="F115" s="40"/>
      <c r="G115" s="42"/>
      <c r="H115" s="43"/>
      <c r="I115" s="75"/>
      <c r="J115" s="121"/>
      <c r="K115" s="121"/>
    </row>
    <row r="116" spans="1:20" s="1" customFormat="1">
      <c r="A116" s="109"/>
      <c r="B116" s="40"/>
      <c r="C116" s="40"/>
      <c r="D116" s="40"/>
      <c r="E116" s="123"/>
      <c r="F116" s="40"/>
      <c r="G116" s="42"/>
      <c r="H116" s="43"/>
      <c r="I116" s="75"/>
      <c r="J116" s="121"/>
      <c r="K116" s="121"/>
    </row>
    <row r="117" spans="1:20" s="1" customFormat="1">
      <c r="A117" s="109"/>
      <c r="B117" s="40"/>
      <c r="C117" s="40"/>
      <c r="D117" s="40"/>
      <c r="E117" s="123"/>
      <c r="F117" s="40"/>
      <c r="G117" s="42"/>
      <c r="H117" s="43"/>
      <c r="I117" s="75"/>
      <c r="J117" s="121"/>
      <c r="K117" s="121"/>
    </row>
    <row r="118" spans="1:20" s="1" customFormat="1">
      <c r="A118" s="109"/>
      <c r="B118" s="40"/>
      <c r="C118" s="40"/>
      <c r="D118" s="40"/>
      <c r="E118" s="123"/>
      <c r="F118" s="40"/>
      <c r="G118" s="42"/>
      <c r="H118" s="43"/>
      <c r="I118" s="75"/>
      <c r="J118" s="121"/>
      <c r="K118" s="121"/>
    </row>
    <row r="119" spans="1:20" ht="19.5" thickBot="1">
      <c r="A119" s="100" t="s">
        <v>77</v>
      </c>
      <c r="H119"/>
      <c r="I119" s="72"/>
      <c r="S119" s="1"/>
      <c r="T119" s="1"/>
    </row>
    <row r="120" spans="1:20" ht="96" customHeight="1">
      <c r="A120" s="102" t="s">
        <v>2</v>
      </c>
      <c r="B120" s="21" t="s">
        <v>15</v>
      </c>
      <c r="C120" s="21" t="s">
        <v>14</v>
      </c>
      <c r="D120" s="21" t="s">
        <v>16</v>
      </c>
      <c r="E120" s="133" t="s">
        <v>27</v>
      </c>
      <c r="F120" s="21" t="s">
        <v>28</v>
      </c>
      <c r="G120" s="21" t="s">
        <v>29</v>
      </c>
      <c r="H120" s="21" t="s">
        <v>30</v>
      </c>
      <c r="I120" s="79" t="s">
        <v>11</v>
      </c>
      <c r="J120" s="129" t="s">
        <v>34</v>
      </c>
      <c r="K120" s="129" t="s">
        <v>33</v>
      </c>
    </row>
    <row r="121" spans="1:20" ht="15.75" thickBot="1">
      <c r="A121" s="111">
        <v>1</v>
      </c>
      <c r="B121" s="10">
        <v>2</v>
      </c>
      <c r="C121" s="10">
        <v>3</v>
      </c>
      <c r="D121" s="10">
        <v>4</v>
      </c>
      <c r="E121" s="118">
        <v>5</v>
      </c>
      <c r="F121" s="10">
        <v>6</v>
      </c>
      <c r="G121" s="10" t="s">
        <v>31</v>
      </c>
      <c r="H121" s="9">
        <v>8</v>
      </c>
      <c r="I121" s="80" t="s">
        <v>32</v>
      </c>
    </row>
    <row r="122" spans="1:20" ht="18" customHeight="1">
      <c r="A122" s="104" t="s">
        <v>64</v>
      </c>
      <c r="B122" s="13" t="s">
        <v>43</v>
      </c>
      <c r="C122" s="38" t="s">
        <v>17</v>
      </c>
      <c r="D122" s="13">
        <v>1</v>
      </c>
      <c r="E122" s="124">
        <f>247*8*(A123/1973)</f>
        <v>52.079067410035478</v>
      </c>
      <c r="F122" s="25">
        <f>E122/A123</f>
        <v>1.001520527116067</v>
      </c>
      <c r="G122" s="36">
        <f>D122/E122*F122</f>
        <v>1.9230769230769232E-2</v>
      </c>
      <c r="H122" s="135">
        <f>10000*0.12</f>
        <v>1200</v>
      </c>
      <c r="I122" s="82">
        <f>H122*G122</f>
        <v>23.076923076923077</v>
      </c>
    </row>
    <row r="123" spans="1:20">
      <c r="A123" s="112">
        <f>ком.усл!A113</f>
        <v>52</v>
      </c>
      <c r="B123" s="5" t="s">
        <v>83</v>
      </c>
      <c r="C123" s="31" t="s">
        <v>17</v>
      </c>
      <c r="D123" s="5">
        <v>1</v>
      </c>
      <c r="E123" s="97">
        <f>247*8*(A123/1973)</f>
        <v>52.079067410035478</v>
      </c>
      <c r="F123" s="26">
        <f>E123/A123</f>
        <v>1.001520527116067</v>
      </c>
      <c r="G123" s="35">
        <f>D123/E123*F123</f>
        <v>1.9230769230769232E-2</v>
      </c>
      <c r="H123" s="136">
        <f>(46795-10000)*0.12</f>
        <v>4415.3999999999996</v>
      </c>
      <c r="I123" s="83">
        <f t="shared" ref="I123" si="18">H123*G123</f>
        <v>84.911538461538456</v>
      </c>
    </row>
    <row r="124" spans="1:20" s="1" customFormat="1" ht="15.75" thickBot="1">
      <c r="A124" s="107"/>
      <c r="B124" s="27"/>
      <c r="C124" s="27"/>
      <c r="D124" s="27"/>
      <c r="E124" s="134"/>
      <c r="F124" s="27"/>
      <c r="G124" s="56"/>
      <c r="H124" s="57"/>
      <c r="I124" s="84">
        <f>SUM(I122:I123)</f>
        <v>107.98846153846154</v>
      </c>
      <c r="J124" s="121"/>
      <c r="K124" s="121"/>
    </row>
    <row r="125" spans="1:20" s="1" customFormat="1" ht="15.75" thickBot="1">
      <c r="A125" s="114"/>
      <c r="B125" s="52"/>
      <c r="C125" s="52"/>
      <c r="D125" s="52"/>
      <c r="E125" s="96"/>
      <c r="F125" s="52"/>
      <c r="G125" s="49" t="s">
        <v>60</v>
      </c>
      <c r="H125" s="53"/>
      <c r="I125" s="85">
        <f>I122+I123</f>
        <v>107.98846153846154</v>
      </c>
      <c r="J125" s="121">
        <f>46795*0.12</f>
        <v>5615.4</v>
      </c>
      <c r="K125" s="130">
        <f>I125*A123</f>
        <v>5615.4</v>
      </c>
    </row>
    <row r="126" spans="1:20" s="1" customFormat="1" ht="15.75" thickBot="1">
      <c r="A126" s="115"/>
      <c r="B126" s="62"/>
      <c r="C126" s="62"/>
      <c r="D126" s="62"/>
      <c r="E126" s="120"/>
      <c r="F126" s="62"/>
      <c r="G126" s="63" t="s">
        <v>57</v>
      </c>
      <c r="H126" s="64"/>
      <c r="I126" s="86">
        <f>I124-I125</f>
        <v>0</v>
      </c>
      <c r="J126" s="130">
        <v>0</v>
      </c>
      <c r="K126" s="130">
        <f>I126*A123</f>
        <v>0</v>
      </c>
    </row>
    <row r="127" spans="1:20" ht="18" customHeight="1">
      <c r="A127" s="104" t="s">
        <v>67</v>
      </c>
      <c r="B127" s="13" t="s">
        <v>43</v>
      </c>
      <c r="C127" s="38" t="s">
        <v>17</v>
      </c>
      <c r="D127" s="13">
        <v>1</v>
      </c>
      <c r="E127" s="124">
        <f>247*8*(A128/1973)</f>
        <v>44.066903193106945</v>
      </c>
      <c r="F127" s="25">
        <f>E127/A128</f>
        <v>1.001520527116067</v>
      </c>
      <c r="G127" s="36">
        <f>D127/E127*F127</f>
        <v>2.2727272727272728E-2</v>
      </c>
      <c r="H127" s="14">
        <f>10000*0.06</f>
        <v>600</v>
      </c>
      <c r="I127" s="82">
        <f>H127*G127</f>
        <v>13.636363636363637</v>
      </c>
    </row>
    <row r="128" spans="1:20">
      <c r="A128" s="112">
        <f>ком.усл!A118</f>
        <v>44</v>
      </c>
      <c r="B128" s="5" t="s">
        <v>83</v>
      </c>
      <c r="C128" s="31" t="s">
        <v>17</v>
      </c>
      <c r="D128" s="5">
        <v>1</v>
      </c>
      <c r="E128" s="97">
        <f>247*8*(A128/1973)</f>
        <v>44.066903193106945</v>
      </c>
      <c r="F128" s="26">
        <f>E128/A128</f>
        <v>1.001520527116067</v>
      </c>
      <c r="G128" s="35">
        <f>D128/E128*F128</f>
        <v>2.2727272727272728E-2</v>
      </c>
      <c r="H128" s="6">
        <f>(48000-10000)*0.06</f>
        <v>2280</v>
      </c>
      <c r="I128" s="83">
        <f t="shared" ref="I128:I129" si="19">H128*G128</f>
        <v>51.81818181818182</v>
      </c>
    </row>
    <row r="129" spans="1:11">
      <c r="A129" s="112"/>
      <c r="B129" s="5"/>
      <c r="C129" s="31"/>
      <c r="D129" s="5"/>
      <c r="E129" s="97"/>
      <c r="F129" s="26"/>
      <c r="G129" s="35"/>
      <c r="H129" s="6"/>
      <c r="I129" s="83">
        <f t="shared" si="19"/>
        <v>0</v>
      </c>
    </row>
    <row r="130" spans="1:11" s="1" customFormat="1" ht="15.75" thickBot="1">
      <c r="A130" s="107"/>
      <c r="B130" s="27"/>
      <c r="C130" s="27"/>
      <c r="D130" s="27"/>
      <c r="E130" s="134"/>
      <c r="F130" s="27"/>
      <c r="G130" s="56"/>
      <c r="H130" s="57"/>
      <c r="I130" s="84">
        <f>SUM(I127:I129)</f>
        <v>65.454545454545453</v>
      </c>
      <c r="J130" s="121"/>
      <c r="K130" s="121"/>
    </row>
    <row r="131" spans="1:11" s="1" customFormat="1" ht="15.75" thickBot="1">
      <c r="A131" s="114"/>
      <c r="B131" s="52"/>
      <c r="C131" s="52"/>
      <c r="D131" s="52"/>
      <c r="E131" s="96"/>
      <c r="F131" s="52"/>
      <c r="G131" s="49" t="s">
        <v>60</v>
      </c>
      <c r="H131" s="53"/>
      <c r="I131" s="85">
        <f>I127+I128</f>
        <v>65.454545454545453</v>
      </c>
      <c r="J131" s="121">
        <f>48000*0.06</f>
        <v>2880</v>
      </c>
      <c r="K131" s="130">
        <f>I131*A128</f>
        <v>2880</v>
      </c>
    </row>
    <row r="132" spans="1:11" s="1" customFormat="1" ht="15.75" thickBot="1">
      <c r="A132" s="115"/>
      <c r="B132" s="62"/>
      <c r="C132" s="62"/>
      <c r="D132" s="62"/>
      <c r="E132" s="120"/>
      <c r="F132" s="62"/>
      <c r="G132" s="63" t="s">
        <v>57</v>
      </c>
      <c r="H132" s="64"/>
      <c r="I132" s="86">
        <f>I130-I131</f>
        <v>0</v>
      </c>
      <c r="J132" s="130">
        <v>0</v>
      </c>
      <c r="K132" s="130">
        <f>I132*A128</f>
        <v>0</v>
      </c>
    </row>
    <row r="133" spans="1:11" ht="18" customHeight="1">
      <c r="A133" s="104" t="s">
        <v>68</v>
      </c>
      <c r="B133" s="13" t="s">
        <v>43</v>
      </c>
      <c r="C133" s="38" t="s">
        <v>17</v>
      </c>
      <c r="D133" s="13">
        <v>1</v>
      </c>
      <c r="E133" s="124">
        <f>247*8*(A134/1973)</f>
        <v>37.05625950329447</v>
      </c>
      <c r="F133" s="25">
        <f>E133/A134</f>
        <v>1.0015205271160668</v>
      </c>
      <c r="G133" s="36">
        <f>D133/E133*F133</f>
        <v>2.7027027027027029E-2</v>
      </c>
      <c r="H133" s="14">
        <f>20000*0.06</f>
        <v>1200</v>
      </c>
      <c r="I133" s="82">
        <f>H133*G133</f>
        <v>32.432432432432435</v>
      </c>
    </row>
    <row r="134" spans="1:11">
      <c r="A134" s="112">
        <f>ком.усл!A123</f>
        <v>37</v>
      </c>
      <c r="B134" s="5" t="s">
        <v>83</v>
      </c>
      <c r="C134" s="31" t="s">
        <v>17</v>
      </c>
      <c r="D134" s="5">
        <v>1</v>
      </c>
      <c r="E134" s="97">
        <f>247*8*(A134/1973)</f>
        <v>37.05625950329447</v>
      </c>
      <c r="F134" s="26">
        <f>E134/A134</f>
        <v>1.0015205271160668</v>
      </c>
      <c r="G134" s="35">
        <f>D134/E134*F134</f>
        <v>2.7027027027027029E-2</v>
      </c>
      <c r="H134" s="6">
        <f>(69000-20000)*0.06</f>
        <v>2940</v>
      </c>
      <c r="I134" s="83">
        <f t="shared" ref="I134:I135" si="20">H134*G134</f>
        <v>79.459459459459467</v>
      </c>
    </row>
    <row r="135" spans="1:11">
      <c r="A135" s="112"/>
      <c r="B135" s="5"/>
      <c r="C135" s="31"/>
      <c r="D135" s="5"/>
      <c r="E135" s="97"/>
      <c r="F135" s="26"/>
      <c r="G135" s="35"/>
      <c r="H135" s="6"/>
      <c r="I135" s="83">
        <f t="shared" si="20"/>
        <v>0</v>
      </c>
    </row>
    <row r="136" spans="1:11" s="1" customFormat="1" ht="15.75" thickBot="1">
      <c r="A136" s="107"/>
      <c r="B136" s="27"/>
      <c r="C136" s="27"/>
      <c r="D136" s="27"/>
      <c r="E136" s="134"/>
      <c r="F136" s="27"/>
      <c r="G136" s="56"/>
      <c r="H136" s="57"/>
      <c r="I136" s="84">
        <f>SUM(I133:I135)</f>
        <v>111.8918918918919</v>
      </c>
      <c r="J136" s="121"/>
      <c r="K136" s="121"/>
    </row>
    <row r="137" spans="1:11" s="1" customFormat="1" ht="15.75" thickBot="1">
      <c r="A137" s="114"/>
      <c r="B137" s="52"/>
      <c r="C137" s="52"/>
      <c r="D137" s="52"/>
      <c r="E137" s="96"/>
      <c r="F137" s="52"/>
      <c r="G137" s="49" t="s">
        <v>60</v>
      </c>
      <c r="H137" s="53"/>
      <c r="I137" s="85">
        <f>I133+I134</f>
        <v>111.8918918918919</v>
      </c>
      <c r="J137" s="121">
        <f>69000*0.06</f>
        <v>4140</v>
      </c>
      <c r="K137" s="130">
        <f>I137*A134</f>
        <v>4140</v>
      </c>
    </row>
    <row r="138" spans="1:11" s="1" customFormat="1" ht="15.75" thickBot="1">
      <c r="A138" s="115"/>
      <c r="B138" s="62"/>
      <c r="C138" s="62"/>
      <c r="D138" s="62"/>
      <c r="E138" s="120"/>
      <c r="F138" s="62"/>
      <c r="G138" s="63" t="s">
        <v>57</v>
      </c>
      <c r="H138" s="64"/>
      <c r="I138" s="86">
        <f>I136-I137</f>
        <v>0</v>
      </c>
      <c r="J138" s="130">
        <v>0</v>
      </c>
      <c r="K138" s="130">
        <f>I138*A134</f>
        <v>0</v>
      </c>
    </row>
    <row r="139" spans="1:11" ht="18" customHeight="1">
      <c r="A139" s="104" t="s">
        <v>69</v>
      </c>
      <c r="B139" s="13" t="s">
        <v>43</v>
      </c>
      <c r="C139" s="38" t="s">
        <v>17</v>
      </c>
      <c r="D139" s="13">
        <v>1</v>
      </c>
      <c r="E139" s="124">
        <f>247*8*(A140/1973)</f>
        <v>75.114039533705011</v>
      </c>
      <c r="F139" s="25">
        <f>E139/A140</f>
        <v>1.0015205271160668</v>
      </c>
      <c r="G139" s="36">
        <f>D139/E139*F139</f>
        <v>1.3333333333333332E-2</v>
      </c>
      <c r="H139" s="14">
        <f>30000*0.08</f>
        <v>2400</v>
      </c>
      <c r="I139" s="82">
        <f>H139*G139</f>
        <v>31.999999999999996</v>
      </c>
    </row>
    <row r="140" spans="1:11">
      <c r="A140" s="112">
        <f>ком.усл!A128</f>
        <v>75</v>
      </c>
      <c r="B140" s="5" t="s">
        <v>83</v>
      </c>
      <c r="C140" s="31" t="s">
        <v>17</v>
      </c>
      <c r="D140" s="5">
        <v>1</v>
      </c>
      <c r="E140" s="97">
        <f>247*8*(A140/1973)</f>
        <v>75.114039533705011</v>
      </c>
      <c r="F140" s="26">
        <f>E140/A140</f>
        <v>1.0015205271160668</v>
      </c>
      <c r="G140" s="35">
        <f>D140/E140*F140</f>
        <v>1.3333333333333332E-2</v>
      </c>
      <c r="H140" s="6">
        <f>(70000-30000)*0.08</f>
        <v>3200</v>
      </c>
      <c r="I140" s="83">
        <f t="shared" ref="I140" si="21">H140*G140</f>
        <v>42.666666666666664</v>
      </c>
    </row>
    <row r="141" spans="1:11" s="1" customFormat="1" ht="15.75" thickBot="1">
      <c r="A141" s="107"/>
      <c r="B141" s="27"/>
      <c r="C141" s="27"/>
      <c r="D141" s="27"/>
      <c r="E141" s="134"/>
      <c r="F141" s="27"/>
      <c r="G141" s="56"/>
      <c r="H141" s="57"/>
      <c r="I141" s="84">
        <f>SUM(I139:I140)</f>
        <v>74.666666666666657</v>
      </c>
      <c r="J141" s="121"/>
      <c r="K141" s="121"/>
    </row>
    <row r="142" spans="1:11" s="1" customFormat="1" ht="15.75" thickBot="1">
      <c r="A142" s="114"/>
      <c r="B142" s="52"/>
      <c r="C142" s="52"/>
      <c r="D142" s="52"/>
      <c r="E142" s="96"/>
      <c r="F142" s="52"/>
      <c r="G142" s="49" t="s">
        <v>60</v>
      </c>
      <c r="H142" s="53"/>
      <c r="I142" s="85">
        <f>I139+I140</f>
        <v>74.666666666666657</v>
      </c>
      <c r="J142" s="121">
        <f>70000*0.08</f>
        <v>5600</v>
      </c>
      <c r="K142" s="130">
        <f>I142*A140</f>
        <v>5599.9999999999991</v>
      </c>
    </row>
    <row r="143" spans="1:11" s="1" customFormat="1" ht="15.75" thickBot="1">
      <c r="A143" s="115"/>
      <c r="B143" s="62"/>
      <c r="C143" s="62"/>
      <c r="D143" s="62"/>
      <c r="E143" s="120"/>
      <c r="F143" s="62"/>
      <c r="G143" s="63" t="s">
        <v>57</v>
      </c>
      <c r="H143" s="64"/>
      <c r="I143" s="86">
        <f>I141-I142</f>
        <v>0</v>
      </c>
      <c r="J143" s="130">
        <v>0</v>
      </c>
      <c r="K143" s="130">
        <f>I143*A140</f>
        <v>0</v>
      </c>
    </row>
    <row r="144" spans="1:11" ht="18" customHeight="1">
      <c r="A144" s="104" t="s">
        <v>70</v>
      </c>
      <c r="B144" s="13" t="s">
        <v>43</v>
      </c>
      <c r="C144" s="38" t="s">
        <v>17</v>
      </c>
      <c r="D144" s="13">
        <v>1</v>
      </c>
      <c r="E144" s="124">
        <f>247*8*(A145/1973)</f>
        <v>97.147491130258487</v>
      </c>
      <c r="F144" s="25">
        <f>E144/A145</f>
        <v>1.001520527116067</v>
      </c>
      <c r="G144" s="36">
        <f>D144/E144*F144</f>
        <v>1.0309278350515465E-2</v>
      </c>
      <c r="H144" s="14">
        <f>50000*0.1</f>
        <v>5000</v>
      </c>
      <c r="I144" s="82">
        <f>H144*G144</f>
        <v>51.546391752577328</v>
      </c>
    </row>
    <row r="145" spans="1:11">
      <c r="A145" s="112">
        <f>ком.усл!A133</f>
        <v>97</v>
      </c>
      <c r="B145" s="5" t="s">
        <v>83</v>
      </c>
      <c r="C145" s="31" t="s">
        <v>17</v>
      </c>
      <c r="D145" s="5">
        <v>1</v>
      </c>
      <c r="E145" s="97">
        <f>247*8*(A145/1973)</f>
        <v>97.147491130258487</v>
      </c>
      <c r="F145" s="26">
        <f>E145/A145</f>
        <v>1.001520527116067</v>
      </c>
      <c r="G145" s="35">
        <f>D145/E145*F145</f>
        <v>1.0309278350515465E-2</v>
      </c>
      <c r="H145" s="6">
        <f>(94325-50000)*0.1</f>
        <v>4432.5</v>
      </c>
      <c r="I145" s="83">
        <f t="shared" ref="I145:I146" si="22">H145*G145</f>
        <v>45.695876288659804</v>
      </c>
    </row>
    <row r="146" spans="1:11">
      <c r="A146" s="112"/>
      <c r="B146" s="5"/>
      <c r="C146" s="31"/>
      <c r="D146" s="5"/>
      <c r="E146" s="97"/>
      <c r="F146" s="26"/>
      <c r="G146" s="35"/>
      <c r="H146" s="6"/>
      <c r="I146" s="83">
        <f t="shared" si="22"/>
        <v>0</v>
      </c>
    </row>
    <row r="147" spans="1:11" s="1" customFormat="1" ht="15.75" thickBot="1">
      <c r="A147" s="107"/>
      <c r="B147" s="27"/>
      <c r="C147" s="27"/>
      <c r="D147" s="27"/>
      <c r="E147" s="134"/>
      <c r="F147" s="27"/>
      <c r="G147" s="56"/>
      <c r="H147" s="57"/>
      <c r="I147" s="84">
        <f>SUM(I144:I146)</f>
        <v>97.242268041237139</v>
      </c>
      <c r="J147" s="121"/>
      <c r="K147" s="121"/>
    </row>
    <row r="148" spans="1:11" s="1" customFormat="1" ht="15.75" thickBot="1">
      <c r="A148" s="114"/>
      <c r="B148" s="52"/>
      <c r="C148" s="52"/>
      <c r="D148" s="52"/>
      <c r="E148" s="96"/>
      <c r="F148" s="52"/>
      <c r="G148" s="49" t="s">
        <v>60</v>
      </c>
      <c r="H148" s="53"/>
      <c r="I148" s="85">
        <f>I144+I145</f>
        <v>97.242268041237139</v>
      </c>
      <c r="J148" s="121">
        <f>94325*0.1</f>
        <v>9432.5</v>
      </c>
      <c r="K148" s="130">
        <f>I148*A145</f>
        <v>9432.5000000000018</v>
      </c>
    </row>
    <row r="149" spans="1:11" s="1" customFormat="1" ht="15.75" thickBot="1">
      <c r="A149" s="115"/>
      <c r="B149" s="62"/>
      <c r="C149" s="62"/>
      <c r="D149" s="62"/>
      <c r="E149" s="120"/>
      <c r="F149" s="62"/>
      <c r="G149" s="63" t="s">
        <v>57</v>
      </c>
      <c r="H149" s="64"/>
      <c r="I149" s="86">
        <f>I147-I148</f>
        <v>0</v>
      </c>
      <c r="J149" s="130">
        <v>0</v>
      </c>
      <c r="K149" s="130">
        <f>I149*A145</f>
        <v>0</v>
      </c>
    </row>
    <row r="150" spans="1:11" ht="18" customHeight="1">
      <c r="A150" s="104" t="s">
        <v>71</v>
      </c>
      <c r="B150" s="13" t="s">
        <v>43</v>
      </c>
      <c r="C150" s="38" t="s">
        <v>17</v>
      </c>
      <c r="D150" s="13">
        <v>1</v>
      </c>
      <c r="E150" s="124">
        <f>247*8*(A151/1973)</f>
        <v>36.054738976178413</v>
      </c>
      <c r="F150" s="25">
        <f>E150/A151</f>
        <v>1.001520527116067</v>
      </c>
      <c r="G150" s="36">
        <f>D150/E150*F150</f>
        <v>2.777777777777778E-2</v>
      </c>
      <c r="H150" s="14">
        <f>60000*0.06</f>
        <v>3600</v>
      </c>
      <c r="I150" s="82">
        <f>H150*G150</f>
        <v>100</v>
      </c>
    </row>
    <row r="151" spans="1:11">
      <c r="A151" s="112">
        <f>ком.усл!A138</f>
        <v>36</v>
      </c>
      <c r="B151" s="5" t="s">
        <v>83</v>
      </c>
      <c r="C151" s="31" t="s">
        <v>17</v>
      </c>
      <c r="D151" s="5">
        <v>1</v>
      </c>
      <c r="E151" s="97">
        <f>247*8*(A151/1973)</f>
        <v>36.054738976178413</v>
      </c>
      <c r="F151" s="26">
        <f>E151/A151</f>
        <v>1.001520527116067</v>
      </c>
      <c r="G151" s="35">
        <f>D151/E151*F151</f>
        <v>2.777777777777778E-2</v>
      </c>
      <c r="H151" s="6">
        <f>(235200-60000)*0.06</f>
        <v>10512</v>
      </c>
      <c r="I151" s="83">
        <f t="shared" ref="I151" si="23">H151*G151</f>
        <v>292</v>
      </c>
    </row>
    <row r="152" spans="1:11" s="1" customFormat="1" ht="15.75" thickBot="1">
      <c r="A152" s="107"/>
      <c r="B152" s="27"/>
      <c r="C152" s="27"/>
      <c r="D152" s="27"/>
      <c r="E152" s="134"/>
      <c r="F152" s="27"/>
      <c r="G152" s="56"/>
      <c r="H152" s="57"/>
      <c r="I152" s="84">
        <f>SUM(I150:I151)</f>
        <v>392</v>
      </c>
      <c r="J152" s="121"/>
      <c r="K152" s="121"/>
    </row>
    <row r="153" spans="1:11" s="1" customFormat="1" ht="15.75" thickBot="1">
      <c r="A153" s="114"/>
      <c r="B153" s="52"/>
      <c r="C153" s="52"/>
      <c r="D153" s="52"/>
      <c r="E153" s="96"/>
      <c r="F153" s="52"/>
      <c r="G153" s="49" t="s">
        <v>60</v>
      </c>
      <c r="H153" s="53"/>
      <c r="I153" s="85">
        <f>I150+I151</f>
        <v>392</v>
      </c>
      <c r="J153" s="121">
        <f>235200*0.06</f>
        <v>14112</v>
      </c>
      <c r="K153" s="130">
        <f>I153*A151</f>
        <v>14112</v>
      </c>
    </row>
    <row r="154" spans="1:11" s="1" customFormat="1" ht="15.75" thickBot="1">
      <c r="A154" s="115"/>
      <c r="B154" s="62"/>
      <c r="C154" s="62"/>
      <c r="D154" s="62"/>
      <c r="E154" s="120"/>
      <c r="F154" s="62"/>
      <c r="G154" s="63" t="s">
        <v>57</v>
      </c>
      <c r="H154" s="64"/>
      <c r="I154" s="86">
        <f>I152-I153</f>
        <v>0</v>
      </c>
      <c r="J154" s="130">
        <v>0</v>
      </c>
      <c r="K154" s="130">
        <f>I154*A151</f>
        <v>0</v>
      </c>
    </row>
    <row r="155" spans="1:11" ht="18" customHeight="1">
      <c r="A155" s="104" t="s">
        <v>94</v>
      </c>
      <c r="B155" s="13" t="s">
        <v>43</v>
      </c>
      <c r="C155" s="38" t="s">
        <v>17</v>
      </c>
      <c r="D155" s="13">
        <v>1</v>
      </c>
      <c r="E155" s="124">
        <f>247*8*(A156/1973)</f>
        <v>107.16269640141917</v>
      </c>
      <c r="F155" s="25">
        <f>E155/A156</f>
        <v>1.001520527116067</v>
      </c>
      <c r="G155" s="36">
        <f>D155/E155*F155</f>
        <v>9.3457943925233638E-3</v>
      </c>
      <c r="H155" s="14">
        <f>30000*0.11</f>
        <v>3300</v>
      </c>
      <c r="I155" s="82">
        <f>H155*G155</f>
        <v>30.841121495327101</v>
      </c>
    </row>
    <row r="156" spans="1:11">
      <c r="A156" s="112">
        <f>ком.усл!A143</f>
        <v>107</v>
      </c>
      <c r="B156" s="5" t="s">
        <v>83</v>
      </c>
      <c r="C156" s="31" t="s">
        <v>17</v>
      </c>
      <c r="D156" s="5">
        <v>1</v>
      </c>
      <c r="E156" s="97">
        <f>247*8*(A156/1973)</f>
        <v>107.16269640141917</v>
      </c>
      <c r="F156" s="26">
        <f>E156/A156</f>
        <v>1.001520527116067</v>
      </c>
      <c r="G156" s="35">
        <f>D156/E156*F156</f>
        <v>9.3457943925233638E-3</v>
      </c>
      <c r="H156" s="6">
        <f>(118000-30000)*0.11</f>
        <v>9680</v>
      </c>
      <c r="I156" s="83">
        <f t="shared" ref="I156:I157" si="24">H156*G156</f>
        <v>90.467289719626166</v>
      </c>
    </row>
    <row r="157" spans="1:11">
      <c r="A157" s="112"/>
      <c r="B157" s="5"/>
      <c r="C157" s="31"/>
      <c r="D157" s="5"/>
      <c r="E157" s="97"/>
      <c r="F157" s="26"/>
      <c r="G157" s="35"/>
      <c r="H157" s="6"/>
      <c r="I157" s="83">
        <f t="shared" si="24"/>
        <v>0</v>
      </c>
    </row>
    <row r="158" spans="1:11" s="1" customFormat="1" ht="15.75" thickBot="1">
      <c r="A158" s="107"/>
      <c r="B158" s="27"/>
      <c r="C158" s="27"/>
      <c r="D158" s="27"/>
      <c r="E158" s="134"/>
      <c r="F158" s="27"/>
      <c r="G158" s="56"/>
      <c r="H158" s="57"/>
      <c r="I158" s="84">
        <f>SUM(I155:I157)</f>
        <v>121.30841121495327</v>
      </c>
      <c r="J158" s="121"/>
      <c r="K158" s="121"/>
    </row>
    <row r="159" spans="1:11" s="1" customFormat="1" ht="15.75" thickBot="1">
      <c r="A159" s="114"/>
      <c r="B159" s="52"/>
      <c r="C159" s="52"/>
      <c r="D159" s="52"/>
      <c r="E159" s="96"/>
      <c r="F159" s="52"/>
      <c r="G159" s="49" t="s">
        <v>60</v>
      </c>
      <c r="H159" s="53"/>
      <c r="I159" s="85">
        <f>I155+I156</f>
        <v>121.30841121495327</v>
      </c>
      <c r="J159" s="121">
        <f>118000*0.13</f>
        <v>15340</v>
      </c>
      <c r="K159" s="130">
        <f>I159*A156</f>
        <v>12980</v>
      </c>
    </row>
    <row r="160" spans="1:11" s="1" customFormat="1" ht="15.75" thickBot="1">
      <c r="A160" s="115"/>
      <c r="B160" s="62"/>
      <c r="C160" s="62"/>
      <c r="D160" s="62"/>
      <c r="E160" s="120"/>
      <c r="F160" s="62"/>
      <c r="G160" s="63" t="s">
        <v>57</v>
      </c>
      <c r="H160" s="64"/>
      <c r="I160" s="86">
        <f>I158-I159</f>
        <v>0</v>
      </c>
      <c r="J160" s="130">
        <v>0</v>
      </c>
      <c r="K160" s="130">
        <f>I160*A156</f>
        <v>0</v>
      </c>
    </row>
    <row r="161" spans="1:20" ht="18" customHeight="1">
      <c r="A161" s="104" t="s">
        <v>73</v>
      </c>
      <c r="B161" s="13" t="s">
        <v>43</v>
      </c>
      <c r="C161" s="38" t="s">
        <v>17</v>
      </c>
      <c r="D161" s="13">
        <v>1</v>
      </c>
      <c r="E161" s="124">
        <f>247*8*(A162/1973)</f>
        <v>30.045615813482005</v>
      </c>
      <c r="F161" s="25">
        <f>E161/A162</f>
        <v>1.0015205271160668</v>
      </c>
      <c r="G161" s="36">
        <f>D161/E161*F161</f>
        <v>3.3333333333333326E-2</v>
      </c>
      <c r="H161" s="14">
        <f>5000*0.11</f>
        <v>550</v>
      </c>
      <c r="I161" s="82">
        <f>H161*G161</f>
        <v>18.333333333333329</v>
      </c>
    </row>
    <row r="162" spans="1:20">
      <c r="A162" s="112">
        <f>ком.усл!A149</f>
        <v>30</v>
      </c>
      <c r="B162" s="5" t="s">
        <v>83</v>
      </c>
      <c r="C162" s="31" t="s">
        <v>17</v>
      </c>
      <c r="D162" s="5">
        <v>1</v>
      </c>
      <c r="E162" s="97">
        <f>247*8*(A162/1973)</f>
        <v>30.045615813482005</v>
      </c>
      <c r="F162" s="26">
        <f>E162/A162</f>
        <v>1.0015205271160668</v>
      </c>
      <c r="G162" s="35">
        <f>D162/E162*F162</f>
        <v>3.3333333333333326E-2</v>
      </c>
      <c r="H162" s="6">
        <f>(18380-5000)*0.11</f>
        <v>1471.8</v>
      </c>
      <c r="I162" s="83">
        <f t="shared" ref="I162:I163" si="25">H162*G162</f>
        <v>49.059999999999988</v>
      </c>
    </row>
    <row r="163" spans="1:20">
      <c r="A163" s="112"/>
      <c r="B163" s="5"/>
      <c r="C163" s="31"/>
      <c r="D163" s="5"/>
      <c r="E163" s="97"/>
      <c r="F163" s="26"/>
      <c r="G163" s="35"/>
      <c r="H163" s="6"/>
      <c r="I163" s="83">
        <f t="shared" si="25"/>
        <v>0</v>
      </c>
    </row>
    <row r="164" spans="1:20" s="1" customFormat="1" ht="15.75" thickBot="1">
      <c r="A164" s="107"/>
      <c r="B164" s="27"/>
      <c r="C164" s="27"/>
      <c r="D164" s="27"/>
      <c r="E164" s="134"/>
      <c r="F164" s="27"/>
      <c r="G164" s="56"/>
      <c r="H164" s="57"/>
      <c r="I164" s="84">
        <f>SUM(I161:I163)</f>
        <v>67.393333333333317</v>
      </c>
      <c r="J164" s="121"/>
      <c r="K164" s="121"/>
    </row>
    <row r="165" spans="1:20" s="1" customFormat="1" ht="15.75" thickBot="1">
      <c r="A165" s="114"/>
      <c r="B165" s="52"/>
      <c r="C165" s="52"/>
      <c r="D165" s="52"/>
      <c r="E165" s="96"/>
      <c r="F165" s="52"/>
      <c r="G165" s="49" t="s">
        <v>60</v>
      </c>
      <c r="H165" s="53"/>
      <c r="I165" s="85">
        <f>I161+I162</f>
        <v>67.393333333333317</v>
      </c>
      <c r="J165" s="121">
        <f>18380*0.13</f>
        <v>2389.4</v>
      </c>
      <c r="K165" s="130">
        <f>I165*A162</f>
        <v>2021.7999999999995</v>
      </c>
    </row>
    <row r="166" spans="1:20" s="1" customFormat="1" ht="15.75" thickBot="1">
      <c r="A166" s="115"/>
      <c r="B166" s="62"/>
      <c r="C166" s="62"/>
      <c r="D166" s="62"/>
      <c r="E166" s="120"/>
      <c r="F166" s="62"/>
      <c r="G166" s="63" t="s">
        <v>57</v>
      </c>
      <c r="H166" s="64"/>
      <c r="I166" s="86">
        <f>I164-I165</f>
        <v>0</v>
      </c>
      <c r="J166" s="130">
        <v>0</v>
      </c>
      <c r="K166" s="130">
        <f>I166*A162</f>
        <v>0</v>
      </c>
    </row>
    <row r="167" spans="1:20" ht="18" customHeight="1">
      <c r="A167" s="104" t="s">
        <v>74</v>
      </c>
      <c r="B167" s="13" t="s">
        <v>43</v>
      </c>
      <c r="C167" s="38" t="s">
        <v>17</v>
      </c>
      <c r="D167" s="13">
        <v>1</v>
      </c>
      <c r="E167" s="124">
        <f>247*8*(A168/1973)</f>
        <v>0</v>
      </c>
      <c r="F167" s="25" t="e">
        <f>E167/A168</f>
        <v>#DIV/0!</v>
      </c>
      <c r="G167" s="36" t="e">
        <f>D167/E167*F167</f>
        <v>#DIV/0!</v>
      </c>
      <c r="H167" s="14"/>
      <c r="I167" s="82" t="e">
        <f>H167*G167</f>
        <v>#DIV/0!</v>
      </c>
    </row>
    <row r="168" spans="1:20">
      <c r="A168" s="112"/>
      <c r="B168" s="5" t="s">
        <v>83</v>
      </c>
      <c r="C168" s="31" t="s">
        <v>17</v>
      </c>
      <c r="D168" s="5">
        <v>1</v>
      </c>
      <c r="E168" s="97">
        <f>247*8*(A168/1973)</f>
        <v>0</v>
      </c>
      <c r="F168" s="26" t="e">
        <f>E168/A168</f>
        <v>#DIV/0!</v>
      </c>
      <c r="G168" s="35" t="e">
        <f>D168/E168*F168</f>
        <v>#DIV/0!</v>
      </c>
      <c r="H168" s="6"/>
      <c r="I168" s="83" t="e">
        <f t="shared" ref="I168:I169" si="26">H168*G168</f>
        <v>#DIV/0!</v>
      </c>
    </row>
    <row r="169" spans="1:20">
      <c r="A169" s="112"/>
      <c r="B169" s="5"/>
      <c r="C169" s="31"/>
      <c r="D169" s="5"/>
      <c r="E169" s="97"/>
      <c r="F169" s="26"/>
      <c r="G169" s="35"/>
      <c r="H169" s="6"/>
      <c r="I169" s="83">
        <f t="shared" si="26"/>
        <v>0</v>
      </c>
    </row>
    <row r="170" spans="1:20" s="1" customFormat="1" ht="15.75" thickBot="1">
      <c r="A170" s="107"/>
      <c r="B170" s="27"/>
      <c r="C170" s="27"/>
      <c r="D170" s="27"/>
      <c r="E170" s="134"/>
      <c r="F170" s="27"/>
      <c r="G170" s="56"/>
      <c r="H170" s="57"/>
      <c r="I170" s="84" t="e">
        <f>SUM(I167:I169)</f>
        <v>#DIV/0!</v>
      </c>
      <c r="J170" s="121"/>
      <c r="K170" s="121"/>
    </row>
    <row r="171" spans="1:20" s="1" customFormat="1" ht="15.75" thickBot="1">
      <c r="A171" s="114"/>
      <c r="B171" s="52"/>
      <c r="C171" s="52"/>
      <c r="D171" s="52"/>
      <c r="E171" s="96"/>
      <c r="F171" s="52"/>
      <c r="G171" s="49" t="s">
        <v>60</v>
      </c>
      <c r="H171" s="53"/>
      <c r="I171" s="85" t="e">
        <f>I167+I168</f>
        <v>#DIV/0!</v>
      </c>
      <c r="J171" s="121">
        <v>0</v>
      </c>
      <c r="K171" s="130">
        <v>0</v>
      </c>
    </row>
    <row r="172" spans="1:20" s="1" customFormat="1" ht="15.75" thickBot="1">
      <c r="A172" s="115"/>
      <c r="B172" s="62"/>
      <c r="C172" s="62"/>
      <c r="D172" s="62"/>
      <c r="E172" s="120"/>
      <c r="F172" s="62"/>
      <c r="G172" s="63" t="s">
        <v>57</v>
      </c>
      <c r="H172" s="64"/>
      <c r="I172" s="86" t="e">
        <f>I170-I171</f>
        <v>#DIV/0!</v>
      </c>
      <c r="J172" s="130">
        <v>0</v>
      </c>
      <c r="K172" s="130">
        <v>0</v>
      </c>
    </row>
    <row r="173" spans="1:20" s="1" customFormat="1">
      <c r="A173" s="109"/>
      <c r="B173" s="40"/>
      <c r="C173" s="40"/>
      <c r="D173" s="40"/>
      <c r="E173" s="123"/>
      <c r="F173" s="40"/>
      <c r="G173" s="42"/>
      <c r="H173" s="43"/>
      <c r="I173" s="43"/>
      <c r="J173" s="121"/>
      <c r="K173" s="121"/>
    </row>
    <row r="174" spans="1:20" ht="19.5" thickBot="1">
      <c r="A174" s="100" t="s">
        <v>97</v>
      </c>
      <c r="H174"/>
      <c r="S174" s="1"/>
      <c r="T174" s="1"/>
    </row>
    <row r="175" spans="1:20" ht="96" customHeight="1">
      <c r="A175" s="102" t="s">
        <v>2</v>
      </c>
      <c r="B175" s="21" t="s">
        <v>15</v>
      </c>
      <c r="C175" s="21" t="s">
        <v>14</v>
      </c>
      <c r="D175" s="21" t="s">
        <v>16</v>
      </c>
      <c r="E175" s="133" t="s">
        <v>27</v>
      </c>
      <c r="F175" s="21" t="s">
        <v>98</v>
      </c>
      <c r="G175" s="21" t="s">
        <v>29</v>
      </c>
      <c r="H175" s="21" t="s">
        <v>30</v>
      </c>
      <c r="I175" s="21" t="s">
        <v>11</v>
      </c>
      <c r="J175" s="129" t="s">
        <v>34</v>
      </c>
      <c r="K175" s="129" t="s">
        <v>33</v>
      </c>
    </row>
    <row r="176" spans="1:20" ht="15.75" thickBot="1">
      <c r="A176" s="111">
        <v>1</v>
      </c>
      <c r="B176" s="10">
        <v>2</v>
      </c>
      <c r="C176" s="10">
        <v>3</v>
      </c>
      <c r="D176" s="10">
        <v>4</v>
      </c>
      <c r="E176" s="118">
        <v>5</v>
      </c>
      <c r="F176" s="10">
        <v>6</v>
      </c>
      <c r="G176" s="10" t="s">
        <v>31</v>
      </c>
      <c r="H176" s="9">
        <v>8</v>
      </c>
      <c r="I176" s="34" t="s">
        <v>32</v>
      </c>
    </row>
    <row r="177" spans="1:11" ht="18" customHeight="1">
      <c r="A177" s="104" t="s">
        <v>64</v>
      </c>
      <c r="B177" s="13" t="s">
        <v>100</v>
      </c>
      <c r="C177" s="38" t="s">
        <v>17</v>
      </c>
      <c r="D177" s="13">
        <v>1</v>
      </c>
      <c r="E177" s="124">
        <f>247*8*(A178/1973)</f>
        <v>1177.7881398884947</v>
      </c>
      <c r="F177" s="25">
        <f>E177/A178</f>
        <v>1.001520527116067</v>
      </c>
      <c r="G177" s="36">
        <f>D177/E177*F177</f>
        <v>8.5034013605442185E-4</v>
      </c>
      <c r="H177" s="14"/>
      <c r="I177" s="82">
        <f>H177*G177</f>
        <v>0</v>
      </c>
    </row>
    <row r="178" spans="1:11">
      <c r="A178" s="112">
        <v>1176</v>
      </c>
      <c r="B178" s="5" t="s">
        <v>87</v>
      </c>
      <c r="C178" s="31" t="s">
        <v>17</v>
      </c>
      <c r="D178" s="5">
        <v>1</v>
      </c>
      <c r="E178" s="97">
        <f>247*8*(A178/1973)</f>
        <v>1177.7881398884947</v>
      </c>
      <c r="F178" s="26">
        <f>E178/A178</f>
        <v>1.001520527116067</v>
      </c>
      <c r="G178" s="35">
        <f>D178/E178*F178</f>
        <v>8.5034013605442185E-4</v>
      </c>
      <c r="H178" s="6">
        <v>274120</v>
      </c>
      <c r="I178" s="83">
        <f t="shared" ref="I178:I183" si="27">H178*G178</f>
        <v>233.09523809523813</v>
      </c>
    </row>
    <row r="179" spans="1:11">
      <c r="A179" s="112"/>
      <c r="B179" s="5" t="s">
        <v>84</v>
      </c>
      <c r="C179" s="31" t="s">
        <v>17</v>
      </c>
      <c r="D179" s="5">
        <v>1</v>
      </c>
      <c r="E179" s="97">
        <f>247*8*(A178/1973)</f>
        <v>1177.7881398884947</v>
      </c>
      <c r="F179" s="26">
        <f>E179/A178</f>
        <v>1.001520527116067</v>
      </c>
      <c r="G179" s="35">
        <f>D179/E179*F179</f>
        <v>8.5034013605442185E-4</v>
      </c>
      <c r="H179" s="6">
        <v>7080</v>
      </c>
      <c r="I179" s="83">
        <f t="shared" si="27"/>
        <v>6.0204081632653068</v>
      </c>
    </row>
    <row r="180" spans="1:11">
      <c r="A180" s="112"/>
      <c r="B180" s="5" t="s">
        <v>85</v>
      </c>
      <c r="C180" s="31" t="s">
        <v>17</v>
      </c>
      <c r="D180" s="5">
        <v>1</v>
      </c>
      <c r="E180" s="97">
        <f>247*8*(A178/1973)</f>
        <v>1177.7881398884947</v>
      </c>
      <c r="F180" s="26">
        <f>E180/A178</f>
        <v>1.001520527116067</v>
      </c>
      <c r="G180" s="35">
        <f t="shared" ref="G180:G183" si="28">D180/E180*F180</f>
        <v>8.5034013605442185E-4</v>
      </c>
      <c r="H180" s="6">
        <v>7840</v>
      </c>
      <c r="I180" s="83">
        <f t="shared" si="27"/>
        <v>6.666666666666667</v>
      </c>
    </row>
    <row r="181" spans="1:11">
      <c r="A181" s="112"/>
      <c r="B181" s="5" t="s">
        <v>86</v>
      </c>
      <c r="C181" s="31" t="s">
        <v>17</v>
      </c>
      <c r="D181" s="5">
        <v>1</v>
      </c>
      <c r="E181" s="97">
        <f>247*8*(A178/1973)</f>
        <v>1177.7881398884947</v>
      </c>
      <c r="F181" s="26">
        <f>E181/A178</f>
        <v>1.001520527116067</v>
      </c>
      <c r="G181" s="35">
        <f t="shared" si="28"/>
        <v>8.5034013605442185E-4</v>
      </c>
      <c r="H181" s="6">
        <v>25950.5</v>
      </c>
      <c r="I181" s="83">
        <f t="shared" si="27"/>
        <v>22.066751700680275</v>
      </c>
    </row>
    <row r="182" spans="1:11">
      <c r="A182" s="112"/>
      <c r="B182" s="5" t="s">
        <v>99</v>
      </c>
      <c r="C182" s="31" t="s">
        <v>17</v>
      </c>
      <c r="D182" s="5">
        <v>1</v>
      </c>
      <c r="E182" s="97">
        <f>247*8*(A178/1973)</f>
        <v>1177.7881398884947</v>
      </c>
      <c r="F182" s="26">
        <f>E182/A178</f>
        <v>1.001520527116067</v>
      </c>
      <c r="G182" s="35">
        <f t="shared" si="28"/>
        <v>8.5034013605442185E-4</v>
      </c>
      <c r="H182" s="6">
        <v>2348</v>
      </c>
      <c r="I182" s="83">
        <f t="shared" si="27"/>
        <v>1.9965986394557824</v>
      </c>
    </row>
    <row r="183" spans="1:11">
      <c r="A183" s="112"/>
      <c r="B183" s="5"/>
      <c r="C183" s="31" t="s">
        <v>17</v>
      </c>
      <c r="D183" s="5">
        <v>1</v>
      </c>
      <c r="E183" s="97">
        <f>247*8*(A178/1973)</f>
        <v>1177.7881398884947</v>
      </c>
      <c r="F183" s="26">
        <f>E183/A178</f>
        <v>1.001520527116067</v>
      </c>
      <c r="G183" s="35">
        <f t="shared" si="28"/>
        <v>8.5034013605442185E-4</v>
      </c>
      <c r="H183" s="6"/>
      <c r="I183" s="83">
        <f t="shared" si="27"/>
        <v>0</v>
      </c>
    </row>
    <row r="184" spans="1:11" s="1" customFormat="1" ht="15.75" thickBot="1">
      <c r="A184" s="107"/>
      <c r="B184" s="27"/>
      <c r="C184" s="27"/>
      <c r="D184" s="27"/>
      <c r="E184" s="134"/>
      <c r="F184" s="27"/>
      <c r="G184" s="56"/>
      <c r="H184" s="57"/>
      <c r="I184" s="84">
        <f>SUM(I177:I183)</f>
        <v>269.84566326530614</v>
      </c>
      <c r="J184" s="121"/>
      <c r="K184" s="121"/>
    </row>
    <row r="185" spans="1:11" s="1" customFormat="1" ht="15.75" thickBot="1">
      <c r="A185" s="114"/>
      <c r="B185" s="52"/>
      <c r="C185" s="52"/>
      <c r="D185" s="52"/>
      <c r="E185" s="96"/>
      <c r="F185" s="52"/>
      <c r="G185" s="49" t="s">
        <v>60</v>
      </c>
      <c r="H185" s="53"/>
      <c r="I185" s="85">
        <v>0</v>
      </c>
      <c r="J185" s="121"/>
      <c r="K185" s="130">
        <f>I185*A178</f>
        <v>0</v>
      </c>
    </row>
    <row r="186" spans="1:11" s="1" customFormat="1" ht="15.75" thickBot="1">
      <c r="A186" s="115"/>
      <c r="B186" s="62"/>
      <c r="C186" s="62"/>
      <c r="D186" s="62"/>
      <c r="E186" s="120"/>
      <c r="F186" s="62"/>
      <c r="G186" s="63" t="s">
        <v>57</v>
      </c>
      <c r="H186" s="64"/>
      <c r="I186" s="86">
        <f>I184-I185</f>
        <v>269.84566326530614</v>
      </c>
      <c r="J186" s="130">
        <f>2348+25950.5+7080+7840+274120</f>
        <v>317338.5</v>
      </c>
      <c r="K186" s="130">
        <f>I186*A178</f>
        <v>317338.5</v>
      </c>
    </row>
    <row r="187" spans="1:11" ht="18" customHeight="1">
      <c r="A187" s="104" t="s">
        <v>69</v>
      </c>
      <c r="B187" s="13" t="s">
        <v>100</v>
      </c>
      <c r="C187" s="38" t="s">
        <v>17</v>
      </c>
      <c r="D187" s="13">
        <v>1</v>
      </c>
      <c r="E187" s="124">
        <f>247*8*(A188/1973)</f>
        <v>1281.9462747085656</v>
      </c>
      <c r="F187" s="25">
        <f>E187/A188</f>
        <v>1.001520527116067</v>
      </c>
      <c r="G187" s="36">
        <f>D187/E187*F187</f>
        <v>7.8125000000000004E-4</v>
      </c>
      <c r="H187" s="14"/>
      <c r="I187" s="82">
        <f>H187*G187</f>
        <v>0</v>
      </c>
    </row>
    <row r="188" spans="1:11">
      <c r="A188" s="112">
        <v>1280</v>
      </c>
      <c r="B188" s="5" t="s">
        <v>87</v>
      </c>
      <c r="C188" s="31" t="s">
        <v>17</v>
      </c>
      <c r="D188" s="5">
        <v>1</v>
      </c>
      <c r="E188" s="97">
        <f>247*8*(A188/1973)</f>
        <v>1281.9462747085656</v>
      </c>
      <c r="F188" s="26">
        <f>E188/A188</f>
        <v>1.001520527116067</v>
      </c>
      <c r="G188" s="35">
        <f>D188/E188*F188</f>
        <v>7.8125000000000004E-4</v>
      </c>
      <c r="H188" s="6">
        <v>204420</v>
      </c>
      <c r="I188" s="83">
        <f t="shared" ref="I188:I193" si="29">H188*G188</f>
        <v>159.703125</v>
      </c>
    </row>
    <row r="189" spans="1:11">
      <c r="A189" s="112"/>
      <c r="B189" s="5" t="s">
        <v>84</v>
      </c>
      <c r="C189" s="31" t="s">
        <v>17</v>
      </c>
      <c r="D189" s="5">
        <v>1</v>
      </c>
      <c r="E189" s="97">
        <f>247*8*(A188/1973)</f>
        <v>1281.9462747085656</v>
      </c>
      <c r="F189" s="26">
        <f>E189/A188</f>
        <v>1.001520527116067</v>
      </c>
      <c r="G189" s="35">
        <f>D189/E189*F189</f>
        <v>7.8125000000000004E-4</v>
      </c>
      <c r="H189" s="6">
        <v>7080</v>
      </c>
      <c r="I189" s="83">
        <f t="shared" si="29"/>
        <v>5.53125</v>
      </c>
    </row>
    <row r="190" spans="1:11">
      <c r="A190" s="112"/>
      <c r="B190" s="5" t="s">
        <v>85</v>
      </c>
      <c r="C190" s="31" t="s">
        <v>17</v>
      </c>
      <c r="D190" s="5">
        <v>1</v>
      </c>
      <c r="E190" s="97">
        <f>247*8*(A188/1973)</f>
        <v>1281.9462747085656</v>
      </c>
      <c r="F190" s="26">
        <f>E190/A188</f>
        <v>1.001520527116067</v>
      </c>
      <c r="G190" s="35">
        <f t="shared" ref="G190:G193" si="30">D190/E190*F190</f>
        <v>7.8125000000000004E-4</v>
      </c>
      <c r="H190" s="6">
        <v>15770</v>
      </c>
      <c r="I190" s="83">
        <f t="shared" si="29"/>
        <v>12.3203125</v>
      </c>
    </row>
    <row r="191" spans="1:11">
      <c r="A191" s="112"/>
      <c r="B191" s="5" t="s">
        <v>86</v>
      </c>
      <c r="C191" s="31" t="s">
        <v>17</v>
      </c>
      <c r="D191" s="5">
        <v>1</v>
      </c>
      <c r="E191" s="97">
        <f>247*8*(A188/1973)</f>
        <v>1281.9462747085656</v>
      </c>
      <c r="F191" s="26">
        <f>E191/A188</f>
        <v>1.001520527116067</v>
      </c>
      <c r="G191" s="35">
        <f t="shared" si="30"/>
        <v>7.8125000000000004E-4</v>
      </c>
      <c r="H191" s="6">
        <v>22943</v>
      </c>
      <c r="I191" s="83">
        <f t="shared" si="29"/>
        <v>17.924218750000001</v>
      </c>
    </row>
    <row r="192" spans="1:11">
      <c r="A192" s="112"/>
      <c r="B192" s="5" t="s">
        <v>99</v>
      </c>
      <c r="C192" s="31" t="s">
        <v>17</v>
      </c>
      <c r="D192" s="5">
        <v>1</v>
      </c>
      <c r="E192" s="97">
        <f>247*8*(A188/1973)</f>
        <v>1281.9462747085656</v>
      </c>
      <c r="F192" s="26">
        <f>E192/A188</f>
        <v>1.001520527116067</v>
      </c>
      <c r="G192" s="35">
        <f t="shared" si="30"/>
        <v>7.8125000000000004E-4</v>
      </c>
      <c r="H192" s="6">
        <v>2348</v>
      </c>
      <c r="I192" s="83">
        <f t="shared" si="29"/>
        <v>1.8343750000000001</v>
      </c>
    </row>
    <row r="193" spans="1:11">
      <c r="A193" s="112"/>
      <c r="B193" s="5"/>
      <c r="C193" s="31" t="s">
        <v>17</v>
      </c>
      <c r="D193" s="5">
        <v>1</v>
      </c>
      <c r="E193" s="97">
        <f>247*8*(A188/1973)</f>
        <v>1281.9462747085656</v>
      </c>
      <c r="F193" s="26">
        <f>E193/A188</f>
        <v>1.001520527116067</v>
      </c>
      <c r="G193" s="35">
        <f t="shared" si="30"/>
        <v>7.8125000000000004E-4</v>
      </c>
      <c r="H193" s="6"/>
      <c r="I193" s="83">
        <f t="shared" si="29"/>
        <v>0</v>
      </c>
    </row>
    <row r="194" spans="1:11" s="1" customFormat="1" ht="15.75" thickBot="1">
      <c r="A194" s="107"/>
      <c r="B194" s="27"/>
      <c r="C194" s="27"/>
      <c r="D194" s="27"/>
      <c r="E194" s="134"/>
      <c r="F194" s="27"/>
      <c r="G194" s="56"/>
      <c r="H194" s="57"/>
      <c r="I194" s="84">
        <f>SUM(I187:I193)</f>
        <v>197.31328124999999</v>
      </c>
      <c r="J194" s="121"/>
      <c r="K194" s="121"/>
    </row>
    <row r="195" spans="1:11" s="1" customFormat="1" ht="15.75" thickBot="1">
      <c r="A195" s="114"/>
      <c r="B195" s="52"/>
      <c r="C195" s="52"/>
      <c r="D195" s="52"/>
      <c r="E195" s="96"/>
      <c r="F195" s="52"/>
      <c r="G195" s="49" t="s">
        <v>60</v>
      </c>
      <c r="H195" s="53"/>
      <c r="I195" s="85">
        <v>0</v>
      </c>
      <c r="J195" s="121"/>
      <c r="K195" s="130">
        <f>I195*A188</f>
        <v>0</v>
      </c>
    </row>
    <row r="196" spans="1:11" s="1" customFormat="1" ht="15.75" thickBot="1">
      <c r="A196" s="115"/>
      <c r="B196" s="62"/>
      <c r="C196" s="62"/>
      <c r="D196" s="62"/>
      <c r="E196" s="120"/>
      <c r="F196" s="62"/>
      <c r="G196" s="63" t="s">
        <v>57</v>
      </c>
      <c r="H196" s="64"/>
      <c r="I196" s="86">
        <f>I194-I195</f>
        <v>197.31328124999999</v>
      </c>
      <c r="J196" s="130">
        <f>2348+22943+7080+15770+204420</f>
        <v>252561</v>
      </c>
      <c r="K196" s="130">
        <f>I196*A188</f>
        <v>252561</v>
      </c>
    </row>
    <row r="197" spans="1:11" ht="18" customHeight="1">
      <c r="A197" s="104" t="s">
        <v>71</v>
      </c>
      <c r="B197" s="13" t="s">
        <v>100</v>
      </c>
      <c r="C197" s="38" t="s">
        <v>17</v>
      </c>
      <c r="D197" s="13">
        <v>1</v>
      </c>
      <c r="E197" s="124">
        <f>247*8*(A198/1973)</f>
        <v>370.56259503294478</v>
      </c>
      <c r="F197" s="25">
        <f>E197/A198</f>
        <v>1.001520527116067</v>
      </c>
      <c r="G197" s="36">
        <f>D197/E197*F197</f>
        <v>2.7027027027027024E-3</v>
      </c>
      <c r="H197" s="14"/>
      <c r="I197" s="82">
        <f>H197*G197</f>
        <v>0</v>
      </c>
    </row>
    <row r="198" spans="1:11">
      <c r="A198" s="112">
        <v>370</v>
      </c>
      <c r="B198" s="5" t="s">
        <v>87</v>
      </c>
      <c r="C198" s="31" t="s">
        <v>17</v>
      </c>
      <c r="D198" s="5">
        <v>1</v>
      </c>
      <c r="E198" s="97">
        <f>247*8*(A198/1973)</f>
        <v>370.56259503294478</v>
      </c>
      <c r="F198" s="26">
        <f>E198/A198</f>
        <v>1.001520527116067</v>
      </c>
      <c r="G198" s="35">
        <f>D198/E198*F198</f>
        <v>2.7027027027027024E-3</v>
      </c>
      <c r="H198" s="6">
        <v>171900</v>
      </c>
      <c r="I198" s="83">
        <f t="shared" ref="I198:I203" si="31">H198*G198</f>
        <v>464.59459459459453</v>
      </c>
    </row>
    <row r="199" spans="1:11">
      <c r="A199" s="112"/>
      <c r="B199" s="5" t="s">
        <v>84</v>
      </c>
      <c r="C199" s="31" t="s">
        <v>17</v>
      </c>
      <c r="D199" s="5">
        <v>1</v>
      </c>
      <c r="E199" s="97">
        <f>247*8*(A198/1973)</f>
        <v>370.56259503294478</v>
      </c>
      <c r="F199" s="26">
        <f>E199/A198</f>
        <v>1.001520527116067</v>
      </c>
      <c r="G199" s="35">
        <f>D199/E199*F199</f>
        <v>2.7027027027027024E-3</v>
      </c>
      <c r="H199" s="6">
        <v>7080</v>
      </c>
      <c r="I199" s="83">
        <f t="shared" si="31"/>
        <v>19.135135135135133</v>
      </c>
    </row>
    <row r="200" spans="1:11">
      <c r="A200" s="112"/>
      <c r="B200" s="5" t="s">
        <v>85</v>
      </c>
      <c r="C200" s="31" t="s">
        <v>17</v>
      </c>
      <c r="D200" s="5">
        <v>1</v>
      </c>
      <c r="E200" s="97">
        <f>247*8*(A198/1973)</f>
        <v>370.56259503294478</v>
      </c>
      <c r="F200" s="26">
        <f>E200/A198</f>
        <v>1.001520527116067</v>
      </c>
      <c r="G200" s="35">
        <f t="shared" ref="G200:G203" si="32">D200/E200*F200</f>
        <v>2.7027027027027024E-3</v>
      </c>
      <c r="H200" s="6">
        <v>2630</v>
      </c>
      <c r="I200" s="83">
        <f t="shared" si="31"/>
        <v>7.108108108108107</v>
      </c>
    </row>
    <row r="201" spans="1:11">
      <c r="A201" s="112"/>
      <c r="B201" s="5" t="s">
        <v>86</v>
      </c>
      <c r="C201" s="31" t="s">
        <v>17</v>
      </c>
      <c r="D201" s="5">
        <v>1</v>
      </c>
      <c r="E201" s="97">
        <f>247*8*(A198/1973)</f>
        <v>370.56259503294478</v>
      </c>
      <c r="F201" s="26">
        <f>E201/A198</f>
        <v>1.001520527116067</v>
      </c>
      <c r="G201" s="35">
        <f t="shared" si="32"/>
        <v>2.7027027027027024E-3</v>
      </c>
      <c r="H201" s="6">
        <v>9071</v>
      </c>
      <c r="I201" s="83">
        <f t="shared" si="31"/>
        <v>24.516216216216215</v>
      </c>
    </row>
    <row r="202" spans="1:11">
      <c r="A202" s="112"/>
      <c r="B202" s="5" t="s">
        <v>99</v>
      </c>
      <c r="C202" s="31" t="s">
        <v>17</v>
      </c>
      <c r="D202" s="5">
        <v>1</v>
      </c>
      <c r="E202" s="97">
        <f>247*8*(A198/1973)</f>
        <v>370.56259503294478</v>
      </c>
      <c r="F202" s="26">
        <f>E202/A198</f>
        <v>1.001520527116067</v>
      </c>
      <c r="G202" s="35">
        <f t="shared" si="32"/>
        <v>2.7027027027027024E-3</v>
      </c>
      <c r="H202" s="6">
        <v>1952</v>
      </c>
      <c r="I202" s="83">
        <f t="shared" si="31"/>
        <v>5.2756756756756751</v>
      </c>
    </row>
    <row r="203" spans="1:11">
      <c r="A203" s="112"/>
      <c r="B203" s="5"/>
      <c r="C203" s="31" t="s">
        <v>17</v>
      </c>
      <c r="D203" s="5">
        <v>1</v>
      </c>
      <c r="E203" s="97">
        <f>247*8*(A198/1973)</f>
        <v>370.56259503294478</v>
      </c>
      <c r="F203" s="26">
        <f>E203/A198</f>
        <v>1.001520527116067</v>
      </c>
      <c r="G203" s="35">
        <f t="shared" si="32"/>
        <v>2.7027027027027024E-3</v>
      </c>
      <c r="H203" s="6"/>
      <c r="I203" s="83">
        <f t="shared" si="31"/>
        <v>0</v>
      </c>
    </row>
    <row r="204" spans="1:11" s="1" customFormat="1" ht="15.75" thickBot="1">
      <c r="A204" s="107"/>
      <c r="B204" s="27"/>
      <c r="C204" s="27"/>
      <c r="D204" s="27"/>
      <c r="E204" s="134"/>
      <c r="F204" s="27"/>
      <c r="G204" s="56"/>
      <c r="H204" s="57"/>
      <c r="I204" s="84">
        <f>SUM(I197:I203)</f>
        <v>520.62972972972966</v>
      </c>
      <c r="J204" s="121"/>
      <c r="K204" s="121"/>
    </row>
    <row r="205" spans="1:11" s="1" customFormat="1" ht="15.75" thickBot="1">
      <c r="A205" s="114"/>
      <c r="B205" s="52"/>
      <c r="C205" s="52"/>
      <c r="D205" s="52"/>
      <c r="E205" s="96"/>
      <c r="F205" s="52"/>
      <c r="G205" s="49" t="s">
        <v>60</v>
      </c>
      <c r="H205" s="53"/>
      <c r="I205" s="85">
        <v>0</v>
      </c>
      <c r="J205" s="121"/>
      <c r="K205" s="130">
        <f>I205*A198</f>
        <v>0</v>
      </c>
    </row>
    <row r="206" spans="1:11" s="1" customFormat="1" ht="15.75" thickBot="1">
      <c r="A206" s="115"/>
      <c r="B206" s="62"/>
      <c r="C206" s="62"/>
      <c r="D206" s="62"/>
      <c r="E206" s="120"/>
      <c r="F206" s="62"/>
      <c r="G206" s="63" t="s">
        <v>57</v>
      </c>
      <c r="H206" s="64"/>
      <c r="I206" s="86">
        <f>I204-I205</f>
        <v>520.62972972972966</v>
      </c>
      <c r="J206" s="130">
        <f>1952+9071+7080+2630+171900</f>
        <v>192633</v>
      </c>
      <c r="K206" s="130">
        <f>I206*A198</f>
        <v>192632.99999999997</v>
      </c>
    </row>
    <row r="208" spans="1:11">
      <c r="J208" s="121" t="s">
        <v>60</v>
      </c>
    </row>
    <row r="209" spans="9:12">
      <c r="I209" s="1">
        <v>1</v>
      </c>
      <c r="J209" s="130">
        <f>46795</f>
        <v>46795</v>
      </c>
      <c r="K209" s="130">
        <f>K125+K126+K64+K65+K9+K10</f>
        <v>46795</v>
      </c>
      <c r="L209" s="3">
        <f>J209-K209</f>
        <v>0</v>
      </c>
    </row>
    <row r="210" spans="9:12">
      <c r="I210" s="1">
        <v>2</v>
      </c>
      <c r="J210" s="130">
        <v>48000</v>
      </c>
      <c r="K210" s="130">
        <f>K132+K131+K71+K70+K15</f>
        <v>48000</v>
      </c>
      <c r="L210" s="3">
        <f t="shared" ref="L210:L217" si="33">J210-K210</f>
        <v>0</v>
      </c>
    </row>
    <row r="211" spans="9:12">
      <c r="I211" s="1">
        <v>3</v>
      </c>
      <c r="J211" s="130">
        <v>69000</v>
      </c>
      <c r="K211" s="130">
        <f>K137+K138+K76+K77+K21+K22</f>
        <v>69000</v>
      </c>
      <c r="L211" s="3">
        <f t="shared" si="33"/>
        <v>0</v>
      </c>
    </row>
    <row r="212" spans="9:12">
      <c r="I212" s="1">
        <v>7</v>
      </c>
      <c r="J212" s="130">
        <f>70000</f>
        <v>70000</v>
      </c>
      <c r="K212" s="130">
        <f>K142+K143+K81+K82+K26+K27</f>
        <v>70000</v>
      </c>
      <c r="L212" s="3">
        <f t="shared" si="33"/>
        <v>0</v>
      </c>
    </row>
    <row r="213" spans="9:12">
      <c r="I213" s="1">
        <v>9</v>
      </c>
      <c r="J213" s="130">
        <v>94325</v>
      </c>
      <c r="K213" s="130">
        <f>K149+K148+K88+K87+K33+K32</f>
        <v>94325</v>
      </c>
      <c r="L213" s="76">
        <f t="shared" si="33"/>
        <v>0</v>
      </c>
    </row>
    <row r="214" spans="9:12">
      <c r="I214" s="1">
        <v>14</v>
      </c>
      <c r="J214" s="130">
        <f>235200</f>
        <v>235200</v>
      </c>
      <c r="K214" s="130">
        <f>K154+K153+K92+K93+K37+K38</f>
        <v>235200</v>
      </c>
      <c r="L214" s="3">
        <f t="shared" si="33"/>
        <v>0</v>
      </c>
    </row>
    <row r="215" spans="9:12">
      <c r="I215" s="1">
        <v>8</v>
      </c>
      <c r="J215" s="130">
        <v>118000</v>
      </c>
      <c r="K215" s="130">
        <f>K159+K160+K98+K99+K43+K44</f>
        <v>118000</v>
      </c>
      <c r="L215" s="3">
        <f t="shared" si="33"/>
        <v>0</v>
      </c>
    </row>
    <row r="216" spans="9:12">
      <c r="I216" s="1">
        <v>4</v>
      </c>
      <c r="J216" s="130">
        <v>18380</v>
      </c>
      <c r="K216" s="130">
        <f>K166+K165+K104+K105+K49+K50</f>
        <v>18380</v>
      </c>
      <c r="L216" s="3">
        <f t="shared" si="33"/>
        <v>0</v>
      </c>
    </row>
    <row r="217" spans="9:12">
      <c r="I217" s="1">
        <v>11</v>
      </c>
      <c r="J217" s="130">
        <v>35000</v>
      </c>
      <c r="K217" s="130">
        <f>K171+K172+K110+K111+K55+K56</f>
        <v>35000</v>
      </c>
      <c r="L217" s="3">
        <f t="shared" si="33"/>
        <v>0</v>
      </c>
    </row>
  </sheetData>
  <mergeCells count="1">
    <mergeCell ref="A1:H1"/>
  </mergeCells>
  <pageMargins left="0.31496062992125984" right="0" top="0.15748031496062992" bottom="0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T372"/>
  <sheetViews>
    <sheetView tabSelected="1" workbookViewId="0">
      <pane xSplit="3" ySplit="5" topLeftCell="D345" activePane="bottomRight" state="frozen"/>
      <selection pane="topRight" activeCell="D1" sqref="D1"/>
      <selection pane="bottomLeft" activeCell="A7" sqref="A7"/>
      <selection pane="bottomRight" activeCell="G366" sqref="G366"/>
    </sheetView>
  </sheetViews>
  <sheetFormatPr defaultRowHeight="15"/>
  <cols>
    <col min="1" max="1" width="17" customWidth="1"/>
    <col min="2" max="2" width="24" style="1" customWidth="1"/>
    <col min="3" max="3" width="9.7109375" style="1" customWidth="1"/>
    <col min="4" max="4" width="11.42578125" style="1" customWidth="1"/>
    <col min="5" max="5" width="8.42578125" style="121" customWidth="1"/>
    <col min="6" max="6" width="10.42578125" style="121" customWidth="1"/>
    <col min="7" max="7" width="12.5703125" customWidth="1"/>
    <col min="8" max="8" width="11.7109375" customWidth="1"/>
    <col min="9" max="9" width="9.42578125" style="121" customWidth="1"/>
    <col min="10" max="10" width="12.7109375" style="1" customWidth="1"/>
    <col min="11" max="11" width="10.85546875" style="1" customWidth="1"/>
    <col min="12" max="12" width="14.140625" style="1" customWidth="1"/>
    <col min="13" max="13" width="4.28515625" style="1" customWidth="1"/>
    <col min="14" max="14" width="12.85546875" style="1" customWidth="1"/>
    <col min="15" max="20" width="9.140625" style="1"/>
  </cols>
  <sheetData>
    <row r="1" spans="1:14" ht="18.75">
      <c r="A1" s="66" t="s">
        <v>44</v>
      </c>
      <c r="B1" s="66"/>
      <c r="C1" s="66"/>
      <c r="D1" s="66"/>
      <c r="E1" s="116"/>
      <c r="F1" s="116"/>
      <c r="G1" s="66"/>
      <c r="H1" s="66"/>
      <c r="I1" s="116"/>
      <c r="J1" s="66"/>
    </row>
    <row r="2" spans="1:14" ht="18.75">
      <c r="A2" s="65"/>
      <c r="B2" s="65"/>
      <c r="C2" s="65"/>
      <c r="D2" s="65"/>
      <c r="E2" s="110"/>
      <c r="F2" s="110"/>
      <c r="G2" s="65"/>
      <c r="H2" s="65"/>
      <c r="I2" s="110"/>
      <c r="J2" s="65"/>
    </row>
    <row r="3" spans="1:14" ht="15" customHeight="1">
      <c r="A3" s="159" t="s">
        <v>75</v>
      </c>
      <c r="B3" s="159"/>
      <c r="C3" s="159"/>
      <c r="D3" s="159"/>
      <c r="E3" s="159"/>
      <c r="F3" s="159"/>
      <c r="G3" s="159"/>
      <c r="H3" s="159"/>
      <c r="I3" s="159"/>
      <c r="J3" s="159"/>
      <c r="K3" s="1" t="s">
        <v>93</v>
      </c>
    </row>
    <row r="4" spans="1:14" ht="79.900000000000006" customHeight="1">
      <c r="A4" s="4" t="s">
        <v>2</v>
      </c>
      <c r="B4" s="4" t="s">
        <v>4</v>
      </c>
      <c r="C4" s="70" t="s">
        <v>0</v>
      </c>
      <c r="D4" s="70" t="s">
        <v>13</v>
      </c>
      <c r="E4" s="117" t="s">
        <v>3</v>
      </c>
      <c r="F4" s="117" t="s">
        <v>1</v>
      </c>
      <c r="G4" s="70" t="s">
        <v>5</v>
      </c>
      <c r="H4" s="70" t="s">
        <v>7</v>
      </c>
      <c r="I4" s="117" t="s">
        <v>9</v>
      </c>
      <c r="J4" s="70" t="s">
        <v>11</v>
      </c>
      <c r="K4" s="2" t="s">
        <v>33</v>
      </c>
      <c r="L4" s="2" t="s">
        <v>34</v>
      </c>
      <c r="M4" s="2"/>
    </row>
    <row r="5" spans="1:14" ht="15.75" thickBot="1">
      <c r="A5" s="9">
        <v>1</v>
      </c>
      <c r="B5" s="10">
        <v>2</v>
      </c>
      <c r="C5" s="10">
        <v>3</v>
      </c>
      <c r="D5" s="10">
        <v>4</v>
      </c>
      <c r="E5" s="118">
        <v>5</v>
      </c>
      <c r="F5" s="118">
        <v>6</v>
      </c>
      <c r="G5" s="10" t="s">
        <v>6</v>
      </c>
      <c r="H5" s="9" t="s">
        <v>8</v>
      </c>
      <c r="I5" s="118" t="s">
        <v>10</v>
      </c>
      <c r="J5" s="10" t="s">
        <v>12</v>
      </c>
    </row>
    <row r="6" spans="1:14">
      <c r="A6" s="12" t="s">
        <v>64</v>
      </c>
      <c r="B6" s="13" t="s">
        <v>45</v>
      </c>
      <c r="C6" s="93">
        <v>3.25</v>
      </c>
      <c r="D6" s="7">
        <v>7445.2870400000002</v>
      </c>
      <c r="E6" s="94">
        <f>ком.усл!A11</f>
        <v>173</v>
      </c>
      <c r="F6" s="94">
        <v>1973</v>
      </c>
      <c r="G6" s="14">
        <f>C6*F6</f>
        <v>6412.25</v>
      </c>
      <c r="H6" s="14">
        <f>G6/E6</f>
        <v>37.065028901734102</v>
      </c>
      <c r="I6" s="97">
        <f t="shared" ref="I6:I11" si="0">D6*12*1.302/1973</f>
        <v>58.958522409001532</v>
      </c>
      <c r="J6" s="82">
        <f>I6*H6</f>
        <v>2185.2993370931795</v>
      </c>
    </row>
    <row r="7" spans="1:14">
      <c r="A7" s="16"/>
      <c r="B7" s="5" t="s">
        <v>114</v>
      </c>
      <c r="C7" s="94">
        <v>0.125</v>
      </c>
      <c r="D7" s="7">
        <v>7445.2870400000002</v>
      </c>
      <c r="E7" s="94">
        <f>E6</f>
        <v>173</v>
      </c>
      <c r="F7" s="94">
        <v>1973</v>
      </c>
      <c r="G7" s="6">
        <f t="shared" ref="G7:G8" si="1">C7*F7</f>
        <v>246.625</v>
      </c>
      <c r="H7" s="6">
        <f t="shared" ref="H7:H8" si="2">G7/E7</f>
        <v>1.425578034682081</v>
      </c>
      <c r="I7" s="97">
        <f t="shared" si="0"/>
        <v>58.958522409001532</v>
      </c>
      <c r="J7" s="83">
        <f t="shared" ref="J7:J8" si="3">I7*H7</f>
        <v>84.04997450358384</v>
      </c>
    </row>
    <row r="8" spans="1:14">
      <c r="A8" s="16"/>
      <c r="B8" s="5" t="s">
        <v>46</v>
      </c>
      <c r="C8" s="97">
        <v>3</v>
      </c>
      <c r="D8" s="7">
        <v>7445.2870400000002</v>
      </c>
      <c r="E8" s="94">
        <f>E6</f>
        <v>173</v>
      </c>
      <c r="F8" s="94">
        <v>1973</v>
      </c>
      <c r="G8" s="6">
        <f t="shared" si="1"/>
        <v>5919</v>
      </c>
      <c r="H8" s="6">
        <f t="shared" si="2"/>
        <v>34.213872832369944</v>
      </c>
      <c r="I8" s="97">
        <f t="shared" si="0"/>
        <v>58.958522409001532</v>
      </c>
      <c r="J8" s="83">
        <f t="shared" si="3"/>
        <v>2017.199388086012</v>
      </c>
    </row>
    <row r="9" spans="1:14">
      <c r="A9" s="16"/>
      <c r="B9" s="5" t="s">
        <v>88</v>
      </c>
      <c r="C9" s="94">
        <v>0.75</v>
      </c>
      <c r="D9" s="7">
        <v>7445.2870400000002</v>
      </c>
      <c r="E9" s="94">
        <f>E6</f>
        <v>173</v>
      </c>
      <c r="F9" s="94">
        <v>1973</v>
      </c>
      <c r="G9" s="6">
        <f t="shared" ref="G9:G10" si="4">C9*F9</f>
        <v>1479.75</v>
      </c>
      <c r="H9" s="6">
        <f>G9/E9</f>
        <v>8.553468208092486</v>
      </c>
      <c r="I9" s="97">
        <f t="shared" si="0"/>
        <v>58.958522409001532</v>
      </c>
      <c r="J9" s="83">
        <f t="shared" ref="J9:J12" si="5">I9*H9</f>
        <v>504.29984702150301</v>
      </c>
    </row>
    <row r="10" spans="1:14">
      <c r="A10" s="16"/>
      <c r="B10" s="5" t="s">
        <v>47</v>
      </c>
      <c r="C10" s="94">
        <v>0.75</v>
      </c>
      <c r="D10" s="7">
        <v>7445.2870400000002</v>
      </c>
      <c r="E10" s="94">
        <f>E6</f>
        <v>173</v>
      </c>
      <c r="F10" s="94">
        <v>1973</v>
      </c>
      <c r="G10" s="6">
        <f t="shared" si="4"/>
        <v>1479.75</v>
      </c>
      <c r="H10" s="6">
        <f t="shared" ref="H10" si="6">G10/E10</f>
        <v>8.553468208092486</v>
      </c>
      <c r="I10" s="97">
        <f t="shared" si="0"/>
        <v>58.958522409001532</v>
      </c>
      <c r="J10" s="83">
        <f t="shared" si="5"/>
        <v>504.29984702150301</v>
      </c>
    </row>
    <row r="11" spans="1:14">
      <c r="A11" s="16"/>
      <c r="B11" s="5" t="s">
        <v>106</v>
      </c>
      <c r="C11" s="94">
        <v>0.75</v>
      </c>
      <c r="D11" s="7">
        <v>7445.2870400000002</v>
      </c>
      <c r="E11" s="94">
        <f>E6</f>
        <v>173</v>
      </c>
      <c r="F11" s="94">
        <v>1973</v>
      </c>
      <c r="G11" s="6">
        <f t="shared" ref="G11" si="7">C11*F11</f>
        <v>1479.75</v>
      </c>
      <c r="H11" s="6">
        <f t="shared" ref="H11" si="8">G11/E11</f>
        <v>8.553468208092486</v>
      </c>
      <c r="I11" s="97">
        <f t="shared" si="0"/>
        <v>58.958522409001532</v>
      </c>
      <c r="J11" s="83">
        <f t="shared" ref="J11" si="9">I11*H11</f>
        <v>504.29984702150301</v>
      </c>
    </row>
    <row r="12" spans="1:14">
      <c r="A12" s="16"/>
      <c r="B12" s="5"/>
      <c r="C12" s="94"/>
      <c r="D12" s="5"/>
      <c r="E12" s="94"/>
      <c r="F12" s="94"/>
      <c r="G12" s="6"/>
      <c r="H12" s="6"/>
      <c r="I12" s="97"/>
      <c r="J12" s="83">
        <f t="shared" si="5"/>
        <v>0</v>
      </c>
    </row>
    <row r="13" spans="1:14" ht="15.75" thickBot="1">
      <c r="A13" s="17"/>
      <c r="B13" s="18"/>
      <c r="C13" s="95">
        <f>SUM(C6:C12)</f>
        <v>8.625</v>
      </c>
      <c r="D13" s="18"/>
      <c r="E13" s="95"/>
      <c r="F13" s="95"/>
      <c r="G13" s="19"/>
      <c r="H13" s="19"/>
      <c r="I13" s="98"/>
      <c r="J13" s="87">
        <f>SUM(J6:J12)</f>
        <v>5799.448240747286</v>
      </c>
    </row>
    <row r="14" spans="1:14" ht="15.75" thickBot="1">
      <c r="A14" s="51"/>
      <c r="B14" s="52"/>
      <c r="C14" s="52"/>
      <c r="D14" s="52"/>
      <c r="E14" s="96"/>
      <c r="F14" s="96"/>
      <c r="G14" s="55"/>
      <c r="H14" s="160" t="s">
        <v>60</v>
      </c>
      <c r="I14" s="161"/>
      <c r="J14" s="85">
        <f>J13-J15</f>
        <v>0</v>
      </c>
      <c r="K14" s="50">
        <f>J14*122</f>
        <v>0</v>
      </c>
      <c r="L14" s="50"/>
      <c r="M14" s="50">
        <f>L14-K14</f>
        <v>0</v>
      </c>
    </row>
    <row r="15" spans="1:14" ht="15.75" thickBot="1">
      <c r="A15" s="51"/>
      <c r="B15" s="52"/>
      <c r="C15" s="52"/>
      <c r="D15" s="71"/>
      <c r="E15" s="119"/>
      <c r="F15" s="96"/>
      <c r="G15" s="55"/>
      <c r="H15" s="160" t="s">
        <v>57</v>
      </c>
      <c r="I15" s="161"/>
      <c r="J15" s="85">
        <f>J6+J7+J8+J9+J10+J11</f>
        <v>5799.448240747286</v>
      </c>
      <c r="K15" s="130">
        <f>J15*E6</f>
        <v>1003304.5456492805</v>
      </c>
      <c r="L15" s="130">
        <f>(2538540+766610-644661.33-20213.55)*0.38</f>
        <v>1003304.5456000001</v>
      </c>
      <c r="M15" s="130">
        <f>L15-K15</f>
        <v>-4.9280468374490738E-5</v>
      </c>
      <c r="N15" s="131">
        <f>L15/1.302/12/8.625</f>
        <v>7445.2870396343051</v>
      </c>
    </row>
    <row r="16" spans="1:14">
      <c r="A16" s="12" t="s">
        <v>67</v>
      </c>
      <c r="B16" s="13" t="s">
        <v>45</v>
      </c>
      <c r="C16" s="93">
        <v>5.75</v>
      </c>
      <c r="D16" s="7">
        <v>9311.3699899999992</v>
      </c>
      <c r="E16" s="94">
        <f>ком.усл!A16</f>
        <v>306</v>
      </c>
      <c r="F16" s="94">
        <v>1973</v>
      </c>
      <c r="G16" s="14">
        <f>C16*F16</f>
        <v>11344.75</v>
      </c>
      <c r="H16" s="14">
        <f>G16/E16</f>
        <v>37.074346405228759</v>
      </c>
      <c r="I16" s="97">
        <f t="shared" ref="I16:I21" si="10">D16*12*1.302/1973</f>
        <v>73.735856423598577</v>
      </c>
      <c r="J16" s="82">
        <f>I16*H16</f>
        <v>2733.7086835347059</v>
      </c>
    </row>
    <row r="17" spans="1:14">
      <c r="A17" s="16"/>
      <c r="B17" s="5" t="s">
        <v>106</v>
      </c>
      <c r="C17" s="94">
        <v>3</v>
      </c>
      <c r="D17" s="7">
        <v>9311.3699899999992</v>
      </c>
      <c r="E17" s="94">
        <f>E16</f>
        <v>306</v>
      </c>
      <c r="F17" s="94">
        <v>1973</v>
      </c>
      <c r="G17" s="6">
        <f t="shared" ref="G17:G20" si="11">C17*F17</f>
        <v>5919</v>
      </c>
      <c r="H17" s="6">
        <f t="shared" ref="H17:H18" si="12">G17/E17</f>
        <v>19.343137254901961</v>
      </c>
      <c r="I17" s="97">
        <f t="shared" si="10"/>
        <v>73.735856423598577</v>
      </c>
      <c r="J17" s="83">
        <f t="shared" ref="J17:J20" si="13">I17*H17</f>
        <v>1426.2827914094116</v>
      </c>
    </row>
    <row r="18" spans="1:14">
      <c r="A18" s="16"/>
      <c r="B18" s="5" t="s">
        <v>46</v>
      </c>
      <c r="C18" s="94">
        <v>6</v>
      </c>
      <c r="D18" s="7">
        <v>9311.3699899999992</v>
      </c>
      <c r="E18" s="94">
        <f>E16</f>
        <v>306</v>
      </c>
      <c r="F18" s="94">
        <v>1973</v>
      </c>
      <c r="G18" s="6">
        <f t="shared" si="11"/>
        <v>11838</v>
      </c>
      <c r="H18" s="6">
        <f t="shared" si="12"/>
        <v>38.686274509803923</v>
      </c>
      <c r="I18" s="97">
        <f t="shared" si="10"/>
        <v>73.735856423598577</v>
      </c>
      <c r="J18" s="83">
        <f t="shared" si="13"/>
        <v>2852.5655828188233</v>
      </c>
    </row>
    <row r="19" spans="1:14">
      <c r="A19" s="16"/>
      <c r="B19" s="5" t="s">
        <v>88</v>
      </c>
      <c r="C19" s="94">
        <v>1.5</v>
      </c>
      <c r="D19" s="7">
        <v>9311.3699899999992</v>
      </c>
      <c r="E19" s="94">
        <f>E16</f>
        <v>306</v>
      </c>
      <c r="F19" s="94">
        <v>1973</v>
      </c>
      <c r="G19" s="6">
        <f t="shared" si="11"/>
        <v>2959.5</v>
      </c>
      <c r="H19" s="6">
        <f>G19/E19</f>
        <v>9.6715686274509807</v>
      </c>
      <c r="I19" s="97">
        <f t="shared" si="10"/>
        <v>73.735856423598577</v>
      </c>
      <c r="J19" s="83">
        <f t="shared" si="13"/>
        <v>713.14139570470581</v>
      </c>
    </row>
    <row r="20" spans="1:14">
      <c r="A20" s="16"/>
      <c r="B20" s="5" t="s">
        <v>47</v>
      </c>
      <c r="C20" s="94">
        <v>1.5</v>
      </c>
      <c r="D20" s="7">
        <v>9311.3699899999992</v>
      </c>
      <c r="E20" s="94">
        <f>E16</f>
        <v>306</v>
      </c>
      <c r="F20" s="94">
        <v>1973</v>
      </c>
      <c r="G20" s="6">
        <f t="shared" si="11"/>
        <v>2959.5</v>
      </c>
      <c r="H20" s="6">
        <f>G20/E20</f>
        <v>9.6715686274509807</v>
      </c>
      <c r="I20" s="97">
        <f t="shared" si="10"/>
        <v>73.735856423598577</v>
      </c>
      <c r="J20" s="83">
        <f t="shared" si="13"/>
        <v>713.14139570470581</v>
      </c>
    </row>
    <row r="21" spans="1:14">
      <c r="A21" s="16"/>
      <c r="B21" s="5"/>
      <c r="C21" s="94"/>
      <c r="D21" s="5"/>
      <c r="E21" s="94">
        <f>E16</f>
        <v>306</v>
      </c>
      <c r="F21" s="94">
        <v>1973</v>
      </c>
      <c r="G21" s="6"/>
      <c r="H21" s="6"/>
      <c r="I21" s="97">
        <f t="shared" si="10"/>
        <v>0</v>
      </c>
      <c r="J21" s="83">
        <f t="shared" ref="J21" si="14">I21*H21</f>
        <v>0</v>
      </c>
    </row>
    <row r="22" spans="1:14" ht="15.75" thickBot="1">
      <c r="A22" s="17"/>
      <c r="B22" s="18"/>
      <c r="C22" s="95">
        <f>SUM(C16:C21)</f>
        <v>17.75</v>
      </c>
      <c r="D22" s="18"/>
      <c r="E22" s="95"/>
      <c r="F22" s="95"/>
      <c r="G22" s="19"/>
      <c r="H22" s="19"/>
      <c r="I22" s="98"/>
      <c r="J22" s="87">
        <f>SUM(J16:J21)</f>
        <v>8438.8398491723528</v>
      </c>
    </row>
    <row r="23" spans="1:14" ht="15.75" thickBot="1">
      <c r="A23" s="51"/>
      <c r="B23" s="52"/>
      <c r="C23" s="52"/>
      <c r="D23" s="52"/>
      <c r="E23" s="96"/>
      <c r="F23" s="96"/>
      <c r="G23" s="55"/>
      <c r="H23" s="160" t="s">
        <v>60</v>
      </c>
      <c r="I23" s="161"/>
      <c r="J23" s="85">
        <f>J22-J24</f>
        <v>0</v>
      </c>
      <c r="K23" s="50">
        <f>J23*122</f>
        <v>0</v>
      </c>
      <c r="L23" s="50"/>
      <c r="M23" s="50">
        <f>L23-K23</f>
        <v>0</v>
      </c>
    </row>
    <row r="24" spans="1:14" ht="15.75" thickBot="1">
      <c r="A24" s="51"/>
      <c r="B24" s="52"/>
      <c r="C24" s="52"/>
      <c r="D24" s="71"/>
      <c r="E24" s="119"/>
      <c r="F24" s="96"/>
      <c r="G24" s="55"/>
      <c r="H24" s="160" t="s">
        <v>57</v>
      </c>
      <c r="I24" s="161"/>
      <c r="J24" s="85">
        <f>J16+J17+J18+J19+J20</f>
        <v>8438.8398491723528</v>
      </c>
      <c r="K24" s="130">
        <f>J24*E16</f>
        <v>2582284.9938467401</v>
      </c>
      <c r="L24" s="130">
        <f>(4439340+1340670-41598.9)*0.45</f>
        <v>2582284.9950000001</v>
      </c>
      <c r="M24" s="130">
        <f>L24-K24</f>
        <v>1.1532600037753582E-3</v>
      </c>
      <c r="N24" s="131">
        <f>L24/1.302/12/17.75</f>
        <v>9311.3699941584982</v>
      </c>
    </row>
    <row r="25" spans="1:14">
      <c r="A25" s="12" t="s">
        <v>68</v>
      </c>
      <c r="B25" s="13" t="s">
        <v>45</v>
      </c>
      <c r="C25" s="93">
        <f>3.5+4</f>
        <v>7.5</v>
      </c>
      <c r="D25" s="7">
        <v>10158.285</v>
      </c>
      <c r="E25" s="94">
        <f>ком.усл!A21</f>
        <v>293</v>
      </c>
      <c r="F25" s="94">
        <v>1973</v>
      </c>
      <c r="G25" s="14">
        <f>C25*F25</f>
        <v>14797.5</v>
      </c>
      <c r="H25" s="14">
        <f>G25/E25</f>
        <v>50.503412969283275</v>
      </c>
      <c r="I25" s="97">
        <f t="shared" ref="I25:I30" si="15">D25*12*1.302/1973</f>
        <v>80.442496117587439</v>
      </c>
      <c r="J25" s="82">
        <f>I25*H25</f>
        <v>4062.6206017064851</v>
      </c>
    </row>
    <row r="26" spans="1:14">
      <c r="A26" s="16"/>
      <c r="B26" s="5" t="s">
        <v>106</v>
      </c>
      <c r="C26" s="94">
        <v>1.75</v>
      </c>
      <c r="D26" s="7">
        <v>10158.285</v>
      </c>
      <c r="E26" s="94">
        <f>E25</f>
        <v>293</v>
      </c>
      <c r="F26" s="94">
        <v>1973</v>
      </c>
      <c r="G26" s="6">
        <f t="shared" ref="G26:G30" si="16">C26*F26</f>
        <v>3452.75</v>
      </c>
      <c r="H26" s="6">
        <f t="shared" ref="H26:H27" si="17">G26/E26</f>
        <v>11.784129692832764</v>
      </c>
      <c r="I26" s="97">
        <f t="shared" si="15"/>
        <v>80.442496117587439</v>
      </c>
      <c r="J26" s="83">
        <f t="shared" ref="J26:J29" si="18">I26*H26</f>
        <v>947.94480706484649</v>
      </c>
    </row>
    <row r="27" spans="1:14">
      <c r="A27" s="16"/>
      <c r="B27" s="5" t="s">
        <v>46</v>
      </c>
      <c r="C27" s="94">
        <v>9</v>
      </c>
      <c r="D27" s="7">
        <v>10158.285</v>
      </c>
      <c r="E27" s="94">
        <f>E25</f>
        <v>293</v>
      </c>
      <c r="F27" s="94">
        <v>1973</v>
      </c>
      <c r="G27" s="6">
        <f t="shared" si="16"/>
        <v>17757</v>
      </c>
      <c r="H27" s="6">
        <f t="shared" si="17"/>
        <v>60.604095563139929</v>
      </c>
      <c r="I27" s="97">
        <f t="shared" si="15"/>
        <v>80.442496117587439</v>
      </c>
      <c r="J27" s="83">
        <f t="shared" si="18"/>
        <v>4875.1447220477821</v>
      </c>
    </row>
    <row r="28" spans="1:14">
      <c r="A28" s="16"/>
      <c r="B28" s="5" t="s">
        <v>88</v>
      </c>
      <c r="C28" s="94">
        <v>1.5</v>
      </c>
      <c r="D28" s="7">
        <v>10158.285</v>
      </c>
      <c r="E28" s="94">
        <f>E25</f>
        <v>293</v>
      </c>
      <c r="F28" s="94">
        <v>1973</v>
      </c>
      <c r="G28" s="6">
        <f t="shared" si="16"/>
        <v>2959.5</v>
      </c>
      <c r="H28" s="6">
        <f>G28/E28</f>
        <v>10.100682593856655</v>
      </c>
      <c r="I28" s="97">
        <f t="shared" si="15"/>
        <v>80.442496117587439</v>
      </c>
      <c r="J28" s="83">
        <f t="shared" si="18"/>
        <v>812.52412034129702</v>
      </c>
    </row>
    <row r="29" spans="1:14">
      <c r="A29" s="16"/>
      <c r="B29" s="5" t="s">
        <v>47</v>
      </c>
      <c r="C29" s="94">
        <f>2.45+1.5</f>
        <v>3.95</v>
      </c>
      <c r="D29" s="7">
        <v>10158.285</v>
      </c>
      <c r="E29" s="94">
        <f>E25</f>
        <v>293</v>
      </c>
      <c r="F29" s="94">
        <v>1973</v>
      </c>
      <c r="G29" s="6">
        <f t="shared" si="16"/>
        <v>7793.35</v>
      </c>
      <c r="H29" s="6">
        <f t="shared" ref="H29:H30" si="19">G29/E29</f>
        <v>26.598464163822527</v>
      </c>
      <c r="I29" s="97">
        <f t="shared" si="15"/>
        <v>80.442496117587439</v>
      </c>
      <c r="J29" s="83">
        <f t="shared" si="18"/>
        <v>2139.6468502320822</v>
      </c>
    </row>
    <row r="30" spans="1:14">
      <c r="A30" s="16"/>
      <c r="B30" s="5" t="s">
        <v>115</v>
      </c>
      <c r="C30" s="94">
        <v>1</v>
      </c>
      <c r="D30" s="7">
        <v>10158.285</v>
      </c>
      <c r="E30" s="94">
        <f>E25</f>
        <v>293</v>
      </c>
      <c r="F30" s="94">
        <v>1973</v>
      </c>
      <c r="G30" s="6">
        <f t="shared" si="16"/>
        <v>1973</v>
      </c>
      <c r="H30" s="6">
        <f t="shared" si="19"/>
        <v>6.7337883959044369</v>
      </c>
      <c r="I30" s="97">
        <f t="shared" si="15"/>
        <v>80.442496117587439</v>
      </c>
      <c r="J30" s="83">
        <f t="shared" ref="J30" si="20">I30*H30</f>
        <v>541.68274689419798</v>
      </c>
    </row>
    <row r="31" spans="1:14" ht="15.75" thickBot="1">
      <c r="A31" s="17"/>
      <c r="B31" s="18"/>
      <c r="C31" s="98">
        <f>SUM(C25:C30)</f>
        <v>24.7</v>
      </c>
      <c r="D31" s="18"/>
      <c r="E31" s="95"/>
      <c r="F31" s="95"/>
      <c r="G31" s="19"/>
      <c r="H31" s="19"/>
      <c r="I31" s="98"/>
      <c r="J31" s="87">
        <f>SUM(J25:J30)</f>
        <v>13379.563848286691</v>
      </c>
    </row>
    <row r="32" spans="1:14" ht="15.75" thickBot="1">
      <c r="A32" s="51"/>
      <c r="B32" s="52"/>
      <c r="C32" s="52"/>
      <c r="D32" s="52"/>
      <c r="E32" s="96"/>
      <c r="F32" s="96"/>
      <c r="G32" s="55"/>
      <c r="H32" s="160" t="s">
        <v>60</v>
      </c>
      <c r="I32" s="161"/>
      <c r="J32" s="85">
        <f>J31-J33</f>
        <v>0</v>
      </c>
      <c r="K32" s="50">
        <f>J32*122</f>
        <v>0</v>
      </c>
      <c r="L32" s="50"/>
      <c r="M32" s="50">
        <f>L32-K32</f>
        <v>0</v>
      </c>
    </row>
    <row r="33" spans="1:14" ht="15.75" thickBot="1">
      <c r="A33" s="51"/>
      <c r="B33" s="52"/>
      <c r="C33" s="52"/>
      <c r="D33" s="71"/>
      <c r="E33" s="119"/>
      <c r="F33" s="96"/>
      <c r="G33" s="55"/>
      <c r="H33" s="160" t="s">
        <v>57</v>
      </c>
      <c r="I33" s="161"/>
      <c r="J33" s="85">
        <f>J25+J26+J27+J28+J29+J30</f>
        <v>13379.563848286691</v>
      </c>
      <c r="K33" s="130">
        <f>J33*E25</f>
        <v>3920212.2075480004</v>
      </c>
      <c r="L33" s="130">
        <f>(6186200+3900+1868220-57886.92)*0.49</f>
        <v>3920212.2091999999</v>
      </c>
      <c r="M33" s="130">
        <f>L33-K33</f>
        <v>1.6519995406270027E-3</v>
      </c>
      <c r="N33" s="131">
        <f>L33/1.302/12/24.7</f>
        <v>10158.28500428076</v>
      </c>
    </row>
    <row r="34" spans="1:14">
      <c r="A34" s="12" t="s">
        <v>69</v>
      </c>
      <c r="B34" s="13" t="s">
        <v>45</v>
      </c>
      <c r="C34" s="93">
        <v>6.25</v>
      </c>
      <c r="D34" s="7">
        <v>8971.0169399999995</v>
      </c>
      <c r="E34" s="94">
        <f>ком.усл!A26</f>
        <v>430</v>
      </c>
      <c r="F34" s="94">
        <v>1973</v>
      </c>
      <c r="G34" s="14">
        <f>C34*F34</f>
        <v>12331.25</v>
      </c>
      <c r="H34" s="14">
        <f>G34/E34</f>
        <v>28.677325581395348</v>
      </c>
      <c r="I34" s="97">
        <f t="shared" ref="I34:I39" si="21">D34*12*1.302/1973</f>
        <v>71.040632879148504</v>
      </c>
      <c r="J34" s="82">
        <f>I34*H34</f>
        <v>2037.2553585837209</v>
      </c>
    </row>
    <row r="35" spans="1:14">
      <c r="A35" s="16"/>
      <c r="B35" s="5" t="s">
        <v>106</v>
      </c>
      <c r="C35" s="94">
        <v>0.75</v>
      </c>
      <c r="D35" s="7">
        <v>8971.0169399999995</v>
      </c>
      <c r="E35" s="94">
        <f>E34</f>
        <v>430</v>
      </c>
      <c r="F35" s="94">
        <v>1973</v>
      </c>
      <c r="G35" s="6">
        <f t="shared" ref="G35:G39" si="22">C35*F35</f>
        <v>1479.75</v>
      </c>
      <c r="H35" s="6">
        <f t="shared" ref="H35:H36" si="23">G35/E35</f>
        <v>3.4412790697674418</v>
      </c>
      <c r="I35" s="97">
        <f t="shared" si="21"/>
        <v>71.040632879148504</v>
      </c>
      <c r="J35" s="83">
        <f t="shared" ref="J35:J38" si="24">I35*H35</f>
        <v>244.47064303004652</v>
      </c>
    </row>
    <row r="36" spans="1:14">
      <c r="A36" s="16"/>
      <c r="B36" s="5" t="s">
        <v>46</v>
      </c>
      <c r="C36" s="94">
        <v>3</v>
      </c>
      <c r="D36" s="7">
        <v>8971.0169399999995</v>
      </c>
      <c r="E36" s="94">
        <f>E34</f>
        <v>430</v>
      </c>
      <c r="F36" s="94">
        <v>1973</v>
      </c>
      <c r="G36" s="6">
        <f t="shared" si="22"/>
        <v>5919</v>
      </c>
      <c r="H36" s="6">
        <f t="shared" si="23"/>
        <v>13.765116279069767</v>
      </c>
      <c r="I36" s="97">
        <f t="shared" si="21"/>
        <v>71.040632879148504</v>
      </c>
      <c r="J36" s="83">
        <f t="shared" si="24"/>
        <v>977.88257212018607</v>
      </c>
    </row>
    <row r="37" spans="1:14">
      <c r="A37" s="16"/>
      <c r="B37" s="5" t="s">
        <v>88</v>
      </c>
      <c r="C37" s="94">
        <v>1.5</v>
      </c>
      <c r="D37" s="7">
        <v>8971.0169399999995</v>
      </c>
      <c r="E37" s="94">
        <f>E34</f>
        <v>430</v>
      </c>
      <c r="F37" s="94">
        <v>1973</v>
      </c>
      <c r="G37" s="6">
        <f t="shared" si="22"/>
        <v>2959.5</v>
      </c>
      <c r="H37" s="6">
        <f>G37/E37</f>
        <v>6.8825581395348836</v>
      </c>
      <c r="I37" s="97">
        <f t="shared" si="21"/>
        <v>71.040632879148504</v>
      </c>
      <c r="J37" s="83">
        <f t="shared" si="24"/>
        <v>488.94128606009303</v>
      </c>
    </row>
    <row r="38" spans="1:14">
      <c r="A38" s="16"/>
      <c r="B38" s="5" t="s">
        <v>47</v>
      </c>
      <c r="C38" s="94">
        <v>3</v>
      </c>
      <c r="D38" s="7">
        <v>8971.0169399999995</v>
      </c>
      <c r="E38" s="94">
        <f>E34</f>
        <v>430</v>
      </c>
      <c r="F38" s="94">
        <v>1973</v>
      </c>
      <c r="G38" s="6">
        <f t="shared" si="22"/>
        <v>5919</v>
      </c>
      <c r="H38" s="6">
        <f t="shared" ref="H38:H39" si="25">G38/E38</f>
        <v>13.765116279069767</v>
      </c>
      <c r="I38" s="97">
        <f t="shared" si="21"/>
        <v>71.040632879148504</v>
      </c>
      <c r="J38" s="83">
        <f t="shared" si="24"/>
        <v>977.88257212018607</v>
      </c>
    </row>
    <row r="39" spans="1:14">
      <c r="A39" s="16"/>
      <c r="B39" s="5" t="s">
        <v>114</v>
      </c>
      <c r="C39" s="94">
        <v>0.125</v>
      </c>
      <c r="D39" s="7">
        <v>8971.0169399999995</v>
      </c>
      <c r="E39" s="94">
        <f>E34</f>
        <v>430</v>
      </c>
      <c r="F39" s="94">
        <v>1973</v>
      </c>
      <c r="G39" s="6">
        <f t="shared" si="22"/>
        <v>246.625</v>
      </c>
      <c r="H39" s="6">
        <f t="shared" si="25"/>
        <v>0.57354651162790693</v>
      </c>
      <c r="I39" s="97">
        <f t="shared" si="21"/>
        <v>71.040632879148504</v>
      </c>
      <c r="J39" s="83">
        <f t="shared" ref="J39" si="26">I39*H39</f>
        <v>40.745107171674412</v>
      </c>
    </row>
    <row r="40" spans="1:14" ht="15.75" thickBot="1">
      <c r="A40" s="17"/>
      <c r="B40" s="18"/>
      <c r="C40" s="95">
        <f>SUM(C34:C39)</f>
        <v>14.625</v>
      </c>
      <c r="D40" s="18"/>
      <c r="E40" s="94"/>
      <c r="F40" s="95"/>
      <c r="G40" s="19"/>
      <c r="H40" s="19"/>
      <c r="I40" s="98"/>
      <c r="J40" s="87">
        <f>SUM(J34:J39)</f>
        <v>4767.1775390859066</v>
      </c>
    </row>
    <row r="41" spans="1:14" ht="15.75" thickBot="1">
      <c r="A41" s="51"/>
      <c r="B41" s="52"/>
      <c r="C41" s="52"/>
      <c r="D41" s="52"/>
      <c r="E41" s="120"/>
      <c r="F41" s="96"/>
      <c r="G41" s="55"/>
      <c r="H41" s="160" t="s">
        <v>60</v>
      </c>
      <c r="I41" s="161"/>
      <c r="J41" s="85">
        <f>J40-J42</f>
        <v>0</v>
      </c>
      <c r="K41" s="50">
        <f>J41*122</f>
        <v>0</v>
      </c>
      <c r="L41" s="50"/>
      <c r="M41" s="50">
        <f>L41-K41</f>
        <v>0</v>
      </c>
    </row>
    <row r="42" spans="1:14" ht="15.75" thickBot="1">
      <c r="A42" s="51"/>
      <c r="B42" s="52"/>
      <c r="C42" s="52"/>
      <c r="D42" s="71"/>
      <c r="E42" s="119"/>
      <c r="F42" s="96"/>
      <c r="G42" s="55"/>
      <c r="H42" s="160" t="s">
        <v>57</v>
      </c>
      <c r="I42" s="161"/>
      <c r="J42" s="85">
        <f>J34+J35+J36+J37+J38+J39</f>
        <v>4767.1775390859066</v>
      </c>
      <c r="K42" s="130">
        <f>J42*E34</f>
        <v>2049886.3418069398</v>
      </c>
      <c r="L42" s="130">
        <f>(3986060+1203790-600271.87-34275.15)*0.45</f>
        <v>2049886.3409999998</v>
      </c>
      <c r="M42" s="130">
        <f>L42-K42</f>
        <v>-8.0694002099335194E-4</v>
      </c>
      <c r="N42" s="131">
        <f>L42/1.302/12/14.625</f>
        <v>8971.016936468548</v>
      </c>
    </row>
    <row r="43" spans="1:14">
      <c r="A43" s="12" t="s">
        <v>70</v>
      </c>
      <c r="B43" s="13" t="s">
        <v>45</v>
      </c>
      <c r="C43" s="93">
        <v>9</v>
      </c>
      <c r="D43" s="7">
        <v>8620.71976</v>
      </c>
      <c r="E43" s="94">
        <f>ком.усл!A31</f>
        <v>407</v>
      </c>
      <c r="F43" s="94">
        <v>1973</v>
      </c>
      <c r="G43" s="14">
        <f>C43*F43</f>
        <v>17757</v>
      </c>
      <c r="H43" s="14">
        <f>G43/E43</f>
        <v>43.628992628992627</v>
      </c>
      <c r="I43" s="97">
        <f t="shared" ref="I43:I48" si="27">D43*12*1.302/1973</f>
        <v>68.266662711728344</v>
      </c>
      <c r="J43" s="82">
        <f>I43*H43</f>
        <v>2978.4057242559215</v>
      </c>
    </row>
    <row r="44" spans="1:14">
      <c r="A44" s="16"/>
      <c r="B44" s="5" t="s">
        <v>106</v>
      </c>
      <c r="C44" s="94">
        <v>1</v>
      </c>
      <c r="D44" s="7">
        <v>8620.71976</v>
      </c>
      <c r="E44" s="94">
        <f>E43</f>
        <v>407</v>
      </c>
      <c r="F44" s="94">
        <v>1973</v>
      </c>
      <c r="G44" s="6">
        <f t="shared" ref="G44:G47" si="28">C44*F44</f>
        <v>1973</v>
      </c>
      <c r="H44" s="6">
        <f t="shared" ref="H44:H45" si="29">G44/E44</f>
        <v>4.8476658476658478</v>
      </c>
      <c r="I44" s="97">
        <f t="shared" si="27"/>
        <v>68.266662711728344</v>
      </c>
      <c r="J44" s="83">
        <f t="shared" ref="J44:J47" si="30">I44*H44</f>
        <v>330.93396936176913</v>
      </c>
    </row>
    <row r="45" spans="1:14">
      <c r="A45" s="16"/>
      <c r="B45" s="5" t="s">
        <v>46</v>
      </c>
      <c r="C45" s="94">
        <v>3</v>
      </c>
      <c r="D45" s="7">
        <v>8620.71976</v>
      </c>
      <c r="E45" s="94">
        <f>E43</f>
        <v>407</v>
      </c>
      <c r="F45" s="94">
        <v>1973</v>
      </c>
      <c r="G45" s="6">
        <f t="shared" si="28"/>
        <v>5919</v>
      </c>
      <c r="H45" s="6">
        <f t="shared" si="29"/>
        <v>14.542997542997544</v>
      </c>
      <c r="I45" s="97">
        <f t="shared" si="27"/>
        <v>68.266662711728344</v>
      </c>
      <c r="J45" s="83">
        <f t="shared" si="30"/>
        <v>992.80190808530733</v>
      </c>
    </row>
    <row r="46" spans="1:14">
      <c r="A46" s="16"/>
      <c r="B46" s="5" t="s">
        <v>88</v>
      </c>
      <c r="C46" s="94">
        <v>1.5</v>
      </c>
      <c r="D46" s="7">
        <v>8620.71976</v>
      </c>
      <c r="E46" s="94">
        <f>E43</f>
        <v>407</v>
      </c>
      <c r="F46" s="94">
        <v>1973</v>
      </c>
      <c r="G46" s="6">
        <f t="shared" si="28"/>
        <v>2959.5</v>
      </c>
      <c r="H46" s="6">
        <f>G46/E46</f>
        <v>7.2714987714987718</v>
      </c>
      <c r="I46" s="97">
        <f t="shared" si="27"/>
        <v>68.266662711728344</v>
      </c>
      <c r="J46" s="83">
        <f t="shared" si="30"/>
        <v>496.40095404265367</v>
      </c>
    </row>
    <row r="47" spans="1:14">
      <c r="A47" s="16"/>
      <c r="B47" s="5" t="s">
        <v>47</v>
      </c>
      <c r="C47" s="94">
        <v>1.5</v>
      </c>
      <c r="D47" s="7">
        <v>8620.71976</v>
      </c>
      <c r="E47" s="94">
        <f>E43</f>
        <v>407</v>
      </c>
      <c r="F47" s="94">
        <v>1973</v>
      </c>
      <c r="G47" s="6">
        <f t="shared" si="28"/>
        <v>2959.5</v>
      </c>
      <c r="H47" s="6">
        <f t="shared" ref="H47" si="31">G47/E47</f>
        <v>7.2714987714987718</v>
      </c>
      <c r="I47" s="97">
        <f t="shared" si="27"/>
        <v>68.266662711728344</v>
      </c>
      <c r="J47" s="83">
        <f t="shared" si="30"/>
        <v>496.40095404265367</v>
      </c>
    </row>
    <row r="48" spans="1:14">
      <c r="A48" s="16"/>
      <c r="B48" s="5"/>
      <c r="C48" s="94"/>
      <c r="D48" s="5"/>
      <c r="E48" s="94">
        <f>E43</f>
        <v>407</v>
      </c>
      <c r="F48" s="94">
        <v>1973</v>
      </c>
      <c r="G48" s="6"/>
      <c r="H48" s="6"/>
      <c r="I48" s="97">
        <f t="shared" si="27"/>
        <v>0</v>
      </c>
      <c r="J48" s="83">
        <f t="shared" ref="J48" si="32">I48*H48</f>
        <v>0</v>
      </c>
    </row>
    <row r="49" spans="1:14" ht="15.75" thickBot="1">
      <c r="A49" s="17"/>
      <c r="B49" s="18"/>
      <c r="C49" s="98">
        <f>SUM(C43:C48)</f>
        <v>16</v>
      </c>
      <c r="D49" s="18"/>
      <c r="E49" s="95"/>
      <c r="F49" s="95"/>
      <c r="G49" s="19"/>
      <c r="H49" s="19"/>
      <c r="I49" s="98"/>
      <c r="J49" s="87">
        <f>SUM(J43:J48)</f>
        <v>5294.9435097883052</v>
      </c>
    </row>
    <row r="50" spans="1:14" ht="15.75" thickBot="1">
      <c r="A50" s="51"/>
      <c r="B50" s="52"/>
      <c r="C50" s="52"/>
      <c r="D50" s="52"/>
      <c r="E50" s="96"/>
      <c r="F50" s="96"/>
      <c r="G50" s="55"/>
      <c r="H50" s="160" t="s">
        <v>60</v>
      </c>
      <c r="I50" s="161"/>
      <c r="J50" s="85">
        <f>J49-J51</f>
        <v>0</v>
      </c>
      <c r="K50" s="50">
        <f>J50*122</f>
        <v>0</v>
      </c>
      <c r="L50" s="50"/>
      <c r="M50" s="50">
        <f>L50-K50</f>
        <v>0</v>
      </c>
    </row>
    <row r="51" spans="1:14" ht="15.75" thickBot="1">
      <c r="A51" s="51"/>
      <c r="B51" s="52"/>
      <c r="C51" s="52"/>
      <c r="D51" s="71"/>
      <c r="E51" s="119"/>
      <c r="F51" s="96"/>
      <c r="G51" s="55"/>
      <c r="H51" s="160" t="s">
        <v>57</v>
      </c>
      <c r="I51" s="161"/>
      <c r="J51" s="85">
        <f>J43+J44+J45+J46+J47</f>
        <v>5294.9435097883052</v>
      </c>
      <c r="K51" s="130">
        <f>J51*E43</f>
        <v>2155042.0084838402</v>
      </c>
      <c r="L51" s="130">
        <f>(3969700+1198850-37497.6)*0.42</f>
        <v>2155042.0079999999</v>
      </c>
      <c r="M51" s="130">
        <f>L51-K51</f>
        <v>-4.8384023830294609E-4</v>
      </c>
      <c r="N51" s="131">
        <f>L51/1.302/12/16</f>
        <v>8620.7197580645152</v>
      </c>
    </row>
    <row r="52" spans="1:14">
      <c r="A52" s="12" t="s">
        <v>71</v>
      </c>
      <c r="B52" s="13" t="s">
        <v>45</v>
      </c>
      <c r="C52" s="93">
        <v>6.75</v>
      </c>
      <c r="D52" s="7">
        <v>8051.1477500000001</v>
      </c>
      <c r="E52" s="94">
        <f>ком.усл!A36</f>
        <v>238</v>
      </c>
      <c r="F52" s="94">
        <v>1973</v>
      </c>
      <c r="G52" s="14">
        <f>C52*F52</f>
        <v>13317.75</v>
      </c>
      <c r="H52" s="14">
        <f>G52/E52</f>
        <v>55.956932773109244</v>
      </c>
      <c r="I52" s="97">
        <f t="shared" ref="I52:I57" si="33">D52*12*1.302/1973</f>
        <v>63.756275948302083</v>
      </c>
      <c r="J52" s="82">
        <f>I52*H52</f>
        <v>3567.6056471029415</v>
      </c>
    </row>
    <row r="53" spans="1:14">
      <c r="A53" s="16"/>
      <c r="B53" s="5" t="s">
        <v>114</v>
      </c>
      <c r="C53" s="94">
        <v>0.25</v>
      </c>
      <c r="D53" s="7">
        <v>8051.1477500000001</v>
      </c>
      <c r="E53" s="94">
        <f>E52</f>
        <v>238</v>
      </c>
      <c r="F53" s="94">
        <v>1973</v>
      </c>
      <c r="G53" s="6">
        <f t="shared" ref="G53:G57" si="34">C53*F53</f>
        <v>493.25</v>
      </c>
      <c r="H53" s="6">
        <f t="shared" ref="H53:H54" si="35">G53/E53</f>
        <v>2.0724789915966388</v>
      </c>
      <c r="I53" s="97">
        <f t="shared" si="33"/>
        <v>63.756275948302083</v>
      </c>
      <c r="J53" s="83">
        <f t="shared" ref="J53:J56" si="36">I53*H53</f>
        <v>132.13354248529413</v>
      </c>
    </row>
    <row r="54" spans="1:14">
      <c r="A54" s="16"/>
      <c r="B54" s="5" t="s">
        <v>46</v>
      </c>
      <c r="C54" s="94">
        <v>3</v>
      </c>
      <c r="D54" s="7">
        <v>8051.1477500000001</v>
      </c>
      <c r="E54" s="94">
        <f>E52</f>
        <v>238</v>
      </c>
      <c r="F54" s="94">
        <v>1973</v>
      </c>
      <c r="G54" s="6">
        <f t="shared" si="34"/>
        <v>5919</v>
      </c>
      <c r="H54" s="6">
        <f t="shared" si="35"/>
        <v>24.869747899159663</v>
      </c>
      <c r="I54" s="97">
        <f t="shared" si="33"/>
        <v>63.756275948302083</v>
      </c>
      <c r="J54" s="83">
        <f t="shared" si="36"/>
        <v>1585.6025098235295</v>
      </c>
    </row>
    <row r="55" spans="1:14">
      <c r="A55" s="16"/>
      <c r="B55" s="5" t="s">
        <v>88</v>
      </c>
      <c r="C55" s="94">
        <v>0.75</v>
      </c>
      <c r="D55" s="7">
        <v>8051.1477500000001</v>
      </c>
      <c r="E55" s="94">
        <f>E52</f>
        <v>238</v>
      </c>
      <c r="F55" s="94">
        <v>1973</v>
      </c>
      <c r="G55" s="6">
        <f t="shared" si="34"/>
        <v>1479.75</v>
      </c>
      <c r="H55" s="6">
        <f>G55/E55</f>
        <v>6.2174369747899156</v>
      </c>
      <c r="I55" s="97">
        <f t="shared" si="33"/>
        <v>63.756275948302083</v>
      </c>
      <c r="J55" s="83">
        <f t="shared" si="36"/>
        <v>396.40062745588239</v>
      </c>
    </row>
    <row r="56" spans="1:14">
      <c r="A56" s="16"/>
      <c r="B56" s="5" t="s">
        <v>47</v>
      </c>
      <c r="C56" s="94">
        <v>1.5</v>
      </c>
      <c r="D56" s="7">
        <v>8051.1477500000001</v>
      </c>
      <c r="E56" s="94">
        <f>E52</f>
        <v>238</v>
      </c>
      <c r="F56" s="94">
        <v>1973</v>
      </c>
      <c r="G56" s="6">
        <f t="shared" si="34"/>
        <v>2959.5</v>
      </c>
      <c r="H56" s="6">
        <f t="shared" ref="H56:H57" si="37">G56/E56</f>
        <v>12.434873949579831</v>
      </c>
      <c r="I56" s="97">
        <f t="shared" si="33"/>
        <v>63.756275948302083</v>
      </c>
      <c r="J56" s="83">
        <f t="shared" si="36"/>
        <v>792.80125491176477</v>
      </c>
    </row>
    <row r="57" spans="1:14">
      <c r="A57" s="16"/>
      <c r="B57" s="5" t="s">
        <v>106</v>
      </c>
      <c r="C57" s="94">
        <v>0.75</v>
      </c>
      <c r="D57" s="7">
        <v>8051.1477500000001</v>
      </c>
      <c r="E57" s="94">
        <f>E52</f>
        <v>238</v>
      </c>
      <c r="F57" s="94">
        <v>1973</v>
      </c>
      <c r="G57" s="6">
        <f t="shared" si="34"/>
        <v>1479.75</v>
      </c>
      <c r="H57" s="6">
        <f t="shared" si="37"/>
        <v>6.2174369747899156</v>
      </c>
      <c r="I57" s="97">
        <f t="shared" si="33"/>
        <v>63.756275948302083</v>
      </c>
      <c r="J57" s="83">
        <f t="shared" ref="J57" si="38">I57*H57</f>
        <v>396.40062745588239</v>
      </c>
    </row>
    <row r="58" spans="1:14" ht="15.75" thickBot="1">
      <c r="A58" s="17"/>
      <c r="B58" s="18"/>
      <c r="C58" s="98">
        <f>SUM(C52:C57)</f>
        <v>13</v>
      </c>
      <c r="D58" s="18"/>
      <c r="E58" s="95"/>
      <c r="F58" s="95"/>
      <c r="G58" s="19"/>
      <c r="H58" s="19"/>
      <c r="I58" s="98"/>
      <c r="J58" s="87">
        <f>SUM(J52:J57)</f>
        <v>6870.9442092352947</v>
      </c>
    </row>
    <row r="59" spans="1:14" ht="15.75" thickBot="1">
      <c r="A59" s="51"/>
      <c r="B59" s="52"/>
      <c r="C59" s="52"/>
      <c r="D59" s="52"/>
      <c r="E59" s="96"/>
      <c r="F59" s="96"/>
      <c r="G59" s="55"/>
      <c r="H59" s="160" t="s">
        <v>60</v>
      </c>
      <c r="I59" s="161"/>
      <c r="J59" s="85">
        <f>J58-J60</f>
        <v>0</v>
      </c>
      <c r="K59" s="50">
        <f>J59*122</f>
        <v>0</v>
      </c>
      <c r="L59" s="50"/>
      <c r="M59" s="50">
        <f>L59-K59</f>
        <v>0</v>
      </c>
    </row>
    <row r="60" spans="1:14" ht="15.75" thickBot="1">
      <c r="A60" s="51"/>
      <c r="B60" s="52"/>
      <c r="C60" s="52"/>
      <c r="D60" s="71"/>
      <c r="E60" s="119"/>
      <c r="F60" s="96"/>
      <c r="G60" s="55"/>
      <c r="H60" s="160" t="s">
        <v>57</v>
      </c>
      <c r="I60" s="161"/>
      <c r="J60" s="85">
        <f>J52+J53+J54+J55+J56+J57</f>
        <v>6870.9442092352947</v>
      </c>
      <c r="K60" s="130">
        <f>J60*E52</f>
        <v>1635284.7217980002</v>
      </c>
      <c r="L60" s="130">
        <f>(3584550+1082520-648103.88-30466.8)*0.41</f>
        <v>1635284.7212</v>
      </c>
      <c r="M60" s="130">
        <f>L60-K60</f>
        <v>-5.9800012968480587E-4</v>
      </c>
      <c r="N60" s="131">
        <f>L60/1.302/12/13</f>
        <v>8051.1477470558111</v>
      </c>
    </row>
    <row r="61" spans="1:14">
      <c r="A61" s="12" t="s">
        <v>72</v>
      </c>
      <c r="B61" s="13" t="s">
        <v>45</v>
      </c>
      <c r="C61" s="93">
        <v>8.25</v>
      </c>
      <c r="D61" s="7">
        <v>8248.3337599999995</v>
      </c>
      <c r="E61" s="94">
        <f>ком.усл!A41</f>
        <v>397</v>
      </c>
      <c r="F61" s="94">
        <v>1973</v>
      </c>
      <c r="G61" s="14">
        <f>C61*F61</f>
        <v>16277.25</v>
      </c>
      <c r="H61" s="14">
        <f>G61/E61</f>
        <v>41.000629722921914</v>
      </c>
      <c r="I61" s="97">
        <f t="shared" ref="I61:I66" si="39">D61*12*1.302/1973</f>
        <v>65.317773272295995</v>
      </c>
      <c r="J61" s="82">
        <f>I61*H61</f>
        <v>2678.0698362631738</v>
      </c>
    </row>
    <row r="62" spans="1:14">
      <c r="A62" s="16"/>
      <c r="B62" s="5" t="s">
        <v>106</v>
      </c>
      <c r="C62" s="94">
        <v>2</v>
      </c>
      <c r="D62" s="7">
        <v>8248.3337599999995</v>
      </c>
      <c r="E62" s="94">
        <f>E61</f>
        <v>397</v>
      </c>
      <c r="F62" s="94">
        <v>1973</v>
      </c>
      <c r="G62" s="6">
        <f t="shared" ref="G62:G65" si="40">C62*F62</f>
        <v>3946</v>
      </c>
      <c r="H62" s="6">
        <f t="shared" ref="H62:H63" si="41">G62/E62</f>
        <v>9.9395465994962215</v>
      </c>
      <c r="I62" s="97">
        <f t="shared" si="39"/>
        <v>65.317773272295995</v>
      </c>
      <c r="J62" s="83">
        <f t="shared" ref="J62:J65" si="42">I62*H62</f>
        <v>649.22905121531483</v>
      </c>
    </row>
    <row r="63" spans="1:14">
      <c r="A63" s="16"/>
      <c r="B63" s="5" t="s">
        <v>46</v>
      </c>
      <c r="C63" s="94">
        <v>6</v>
      </c>
      <c r="D63" s="7">
        <v>8248.3337599999995</v>
      </c>
      <c r="E63" s="94">
        <f>E61</f>
        <v>397</v>
      </c>
      <c r="F63" s="94">
        <v>1973</v>
      </c>
      <c r="G63" s="6">
        <f t="shared" si="40"/>
        <v>11838</v>
      </c>
      <c r="H63" s="6">
        <f t="shared" si="41"/>
        <v>29.818639798488665</v>
      </c>
      <c r="I63" s="97">
        <f t="shared" si="39"/>
        <v>65.317773272295995</v>
      </c>
      <c r="J63" s="83">
        <f t="shared" si="42"/>
        <v>1947.6871536459446</v>
      </c>
    </row>
    <row r="64" spans="1:14">
      <c r="A64" s="16"/>
      <c r="B64" s="5" t="s">
        <v>88</v>
      </c>
      <c r="C64" s="94">
        <v>2.75</v>
      </c>
      <c r="D64" s="7">
        <v>8248.3337599999995</v>
      </c>
      <c r="E64" s="94">
        <f>E61</f>
        <v>397</v>
      </c>
      <c r="F64" s="94">
        <v>1973</v>
      </c>
      <c r="G64" s="6">
        <f t="shared" si="40"/>
        <v>5425.75</v>
      </c>
      <c r="H64" s="6">
        <f>G64/E64</f>
        <v>13.666876574307304</v>
      </c>
      <c r="I64" s="97">
        <f t="shared" si="39"/>
        <v>65.317773272295995</v>
      </c>
      <c r="J64" s="83">
        <f t="shared" si="42"/>
        <v>892.68994542105793</v>
      </c>
    </row>
    <row r="65" spans="1:14">
      <c r="A65" s="16"/>
      <c r="B65" s="5" t="s">
        <v>47</v>
      </c>
      <c r="C65" s="94">
        <v>3.75</v>
      </c>
      <c r="D65" s="7">
        <v>8248.3337599999995</v>
      </c>
      <c r="E65" s="94">
        <f>E61</f>
        <v>397</v>
      </c>
      <c r="F65" s="94">
        <v>1973</v>
      </c>
      <c r="G65" s="6">
        <f t="shared" si="40"/>
        <v>7398.75</v>
      </c>
      <c r="H65" s="6">
        <f t="shared" ref="H65" si="43">G65/E65</f>
        <v>18.636649874055415</v>
      </c>
      <c r="I65" s="97">
        <f t="shared" si="39"/>
        <v>65.317773272295995</v>
      </c>
      <c r="J65" s="83">
        <f t="shared" si="42"/>
        <v>1217.3044710287154</v>
      </c>
    </row>
    <row r="66" spans="1:14">
      <c r="A66" s="16"/>
      <c r="B66" s="5"/>
      <c r="C66" s="94"/>
      <c r="D66" s="5"/>
      <c r="E66" s="94">
        <f>E61</f>
        <v>397</v>
      </c>
      <c r="F66" s="94">
        <v>1973</v>
      </c>
      <c r="G66" s="6"/>
      <c r="H66" s="6"/>
      <c r="I66" s="97">
        <f t="shared" si="39"/>
        <v>0</v>
      </c>
      <c r="J66" s="83">
        <f t="shared" ref="J66" si="44">I66*H66</f>
        <v>0</v>
      </c>
    </row>
    <row r="67" spans="1:14" ht="15.75" thickBot="1">
      <c r="A67" s="17"/>
      <c r="B67" s="18"/>
      <c r="C67" s="95">
        <f>SUM(C61:C66)</f>
        <v>22.75</v>
      </c>
      <c r="D67" s="18"/>
      <c r="E67" s="95"/>
      <c r="F67" s="95"/>
      <c r="G67" s="19"/>
      <c r="H67" s="19"/>
      <c r="I67" s="98"/>
      <c r="J67" s="87">
        <f>SUM(J61:J66)</f>
        <v>7384.9804575742073</v>
      </c>
    </row>
    <row r="68" spans="1:14" ht="15.75" thickBot="1">
      <c r="A68" s="51"/>
      <c r="B68" s="52"/>
      <c r="C68" s="52"/>
      <c r="D68" s="52"/>
      <c r="E68" s="96"/>
      <c r="F68" s="96"/>
      <c r="G68" s="55"/>
      <c r="H68" s="160" t="s">
        <v>60</v>
      </c>
      <c r="I68" s="161"/>
      <c r="J68" s="85">
        <f>J67-J69</f>
        <v>0</v>
      </c>
      <c r="K68" s="50">
        <f>J68*122</f>
        <v>0</v>
      </c>
      <c r="L68" s="50"/>
      <c r="M68" s="50">
        <f>L68-K68</f>
        <v>0</v>
      </c>
    </row>
    <row r="69" spans="1:14" ht="15.75" thickBot="1">
      <c r="A69" s="51"/>
      <c r="B69" s="52"/>
      <c r="C69" s="52"/>
      <c r="D69" s="71"/>
      <c r="E69" s="119"/>
      <c r="F69" s="96"/>
      <c r="G69" s="55"/>
      <c r="H69" s="160" t="s">
        <v>57</v>
      </c>
      <c r="I69" s="161"/>
      <c r="J69" s="85">
        <f>J61+J62+J63+J64+J65</f>
        <v>7384.9804575742073</v>
      </c>
      <c r="K69" s="130">
        <f>J69*E61</f>
        <v>2931837.2416569605</v>
      </c>
      <c r="L69" s="130">
        <f>(5667440+1711570+3900-53316.9)*0.4</f>
        <v>2931837.24</v>
      </c>
      <c r="M69" s="130">
        <f>L69-K69</f>
        <v>-1.6569602303206921E-3</v>
      </c>
      <c r="N69" s="131">
        <f>L69/1.302/12/22.75</f>
        <v>8248.3337553383644</v>
      </c>
    </row>
    <row r="70" spans="1:14">
      <c r="A70" s="12" t="s">
        <v>73</v>
      </c>
      <c r="B70" s="13" t="s">
        <v>45</v>
      </c>
      <c r="C70" s="93">
        <v>3</v>
      </c>
      <c r="D70" s="7">
        <v>9531.3025600000001</v>
      </c>
      <c r="E70" s="94">
        <f>ком.усл!A47</f>
        <v>134</v>
      </c>
      <c r="F70" s="94">
        <v>1973</v>
      </c>
      <c r="G70" s="14">
        <f>C70*F70</f>
        <v>5919</v>
      </c>
      <c r="H70" s="14">
        <f>G70/E70</f>
        <v>44.171641791044777</v>
      </c>
      <c r="I70" s="97">
        <f t="shared" ref="I70:I75" si="45">D70*12*1.302/1973</f>
        <v>75.477481600324381</v>
      </c>
      <c r="J70" s="82">
        <f>I70*H70</f>
        <v>3333.9642805397016</v>
      </c>
    </row>
    <row r="71" spans="1:14">
      <c r="A71" s="16"/>
      <c r="B71" s="5" t="s">
        <v>106</v>
      </c>
      <c r="C71" s="94">
        <v>0.75</v>
      </c>
      <c r="D71" s="7">
        <v>9531.3025600000001</v>
      </c>
      <c r="E71" s="94">
        <f>E70</f>
        <v>134</v>
      </c>
      <c r="F71" s="94">
        <v>1973</v>
      </c>
      <c r="G71" s="6">
        <f t="shared" ref="G71:G74" si="46">C71*F71</f>
        <v>1479.75</v>
      </c>
      <c r="H71" s="6">
        <f t="shared" ref="H71:H72" si="47">G71/E71</f>
        <v>11.042910447761194</v>
      </c>
      <c r="I71" s="97">
        <f t="shared" si="45"/>
        <v>75.477481600324381</v>
      </c>
      <c r="J71" s="83">
        <f t="shared" ref="J71:J74" si="48">I71*H71</f>
        <v>833.49107013492539</v>
      </c>
    </row>
    <row r="72" spans="1:14">
      <c r="A72" s="16"/>
      <c r="B72" s="5" t="s">
        <v>46</v>
      </c>
      <c r="C72" s="94">
        <v>3</v>
      </c>
      <c r="D72" s="7">
        <v>9531.3025600000001</v>
      </c>
      <c r="E72" s="94">
        <f>E70</f>
        <v>134</v>
      </c>
      <c r="F72" s="94">
        <v>1973</v>
      </c>
      <c r="G72" s="6">
        <f t="shared" si="46"/>
        <v>5919</v>
      </c>
      <c r="H72" s="6">
        <f t="shared" si="47"/>
        <v>44.171641791044777</v>
      </c>
      <c r="I72" s="97">
        <f t="shared" si="45"/>
        <v>75.477481600324381</v>
      </c>
      <c r="J72" s="83">
        <f t="shared" si="48"/>
        <v>3333.9642805397016</v>
      </c>
    </row>
    <row r="73" spans="1:14">
      <c r="A73" s="16"/>
      <c r="B73" s="5" t="s">
        <v>88</v>
      </c>
      <c r="C73" s="94">
        <v>0.75</v>
      </c>
      <c r="D73" s="7">
        <v>9531.3025600000001</v>
      </c>
      <c r="E73" s="94">
        <f>E70</f>
        <v>134</v>
      </c>
      <c r="F73" s="94">
        <v>1973</v>
      </c>
      <c r="G73" s="6">
        <f t="shared" si="46"/>
        <v>1479.75</v>
      </c>
      <c r="H73" s="6">
        <f>G73/E73</f>
        <v>11.042910447761194</v>
      </c>
      <c r="I73" s="97">
        <f t="shared" si="45"/>
        <v>75.477481600324381</v>
      </c>
      <c r="J73" s="83">
        <f t="shared" si="48"/>
        <v>833.49107013492539</v>
      </c>
    </row>
    <row r="74" spans="1:14">
      <c r="A74" s="16"/>
      <c r="B74" s="5" t="s">
        <v>47</v>
      </c>
      <c r="C74" s="94">
        <v>0.75</v>
      </c>
      <c r="D74" s="7">
        <v>9531.3025600000001</v>
      </c>
      <c r="E74" s="94">
        <f>E70</f>
        <v>134</v>
      </c>
      <c r="F74" s="94">
        <v>1973</v>
      </c>
      <c r="G74" s="6">
        <f t="shared" si="46"/>
        <v>1479.75</v>
      </c>
      <c r="H74" s="6">
        <f t="shared" ref="H74" si="49">G74/E74</f>
        <v>11.042910447761194</v>
      </c>
      <c r="I74" s="97">
        <f t="shared" si="45"/>
        <v>75.477481600324381</v>
      </c>
      <c r="J74" s="83">
        <f t="shared" si="48"/>
        <v>833.49107013492539</v>
      </c>
    </row>
    <row r="75" spans="1:14">
      <c r="A75" s="16"/>
      <c r="B75" s="5"/>
      <c r="C75" s="94"/>
      <c r="D75" s="5"/>
      <c r="E75" s="94">
        <f>E70</f>
        <v>134</v>
      </c>
      <c r="F75" s="94">
        <v>1973</v>
      </c>
      <c r="G75" s="6"/>
      <c r="H75" s="6"/>
      <c r="I75" s="97">
        <f t="shared" si="45"/>
        <v>0</v>
      </c>
      <c r="J75" s="83">
        <f t="shared" ref="J75" si="50">I75*H75</f>
        <v>0</v>
      </c>
    </row>
    <row r="76" spans="1:14" ht="15.75" thickBot="1">
      <c r="A76" s="17"/>
      <c r="B76" s="18"/>
      <c r="C76" s="98">
        <f>SUM(C70:C75)</f>
        <v>8.25</v>
      </c>
      <c r="D76" s="18"/>
      <c r="E76" s="95"/>
      <c r="F76" s="95"/>
      <c r="G76" s="19"/>
      <c r="H76" s="19"/>
      <c r="I76" s="98"/>
      <c r="J76" s="87">
        <f>SUM(J70:J75)</f>
        <v>9168.4017714841793</v>
      </c>
    </row>
    <row r="77" spans="1:14" ht="15.75" thickBot="1">
      <c r="A77" s="51"/>
      <c r="B77" s="52"/>
      <c r="C77" s="52"/>
      <c r="D77" s="52"/>
      <c r="E77" s="96"/>
      <c r="F77" s="96"/>
      <c r="G77" s="55"/>
      <c r="H77" s="160" t="s">
        <v>60</v>
      </c>
      <c r="I77" s="161"/>
      <c r="J77" s="85">
        <f>J76-J78</f>
        <v>0</v>
      </c>
      <c r="K77" s="50">
        <f>J77*122</f>
        <v>0</v>
      </c>
      <c r="L77" s="50"/>
      <c r="M77" s="50">
        <f>L77-K77</f>
        <v>0</v>
      </c>
    </row>
    <row r="78" spans="1:14" ht="15.75" thickBot="1">
      <c r="A78" s="51"/>
      <c r="B78" s="52"/>
      <c r="C78" s="52"/>
      <c r="D78" s="71"/>
      <c r="E78" s="119"/>
      <c r="F78" s="96"/>
      <c r="G78" s="55"/>
      <c r="H78" s="160" t="s">
        <v>57</v>
      </c>
      <c r="I78" s="161"/>
      <c r="J78" s="85">
        <f>J70+J71+J72+J73+J74</f>
        <v>9168.4017714841793</v>
      </c>
      <c r="K78" s="130">
        <f>J78*E70</f>
        <v>1228565.83737888</v>
      </c>
      <c r="L78" s="130">
        <f>(2066160+623970-19334.7)*0.46</f>
        <v>1228565.838</v>
      </c>
      <c r="M78" s="130">
        <f>L78-K78</f>
        <v>6.2111997976899147E-4</v>
      </c>
      <c r="N78" s="131">
        <f>L78/1.302/12/8.25</f>
        <v>9531.3025648186922</v>
      </c>
    </row>
    <row r="79" spans="1:14">
      <c r="A79" s="12" t="s">
        <v>74</v>
      </c>
      <c r="B79" s="13" t="s">
        <v>45</v>
      </c>
      <c r="C79" s="93">
        <v>3.75</v>
      </c>
      <c r="D79" s="7">
        <v>10147.08296</v>
      </c>
      <c r="E79" s="94">
        <f>ком.усл!A52</f>
        <v>125</v>
      </c>
      <c r="F79" s="94">
        <v>1973</v>
      </c>
      <c r="G79" s="14">
        <f>C79*F79</f>
        <v>7398.75</v>
      </c>
      <c r="H79" s="14">
        <f>G79/E79</f>
        <v>59.19</v>
      </c>
      <c r="I79" s="97">
        <f t="shared" ref="I79:I84" si="51">D79*12*1.302/1973</f>
        <v>80.353788224551451</v>
      </c>
      <c r="J79" s="82">
        <f>I79*H79</f>
        <v>4756.1407250112006</v>
      </c>
    </row>
    <row r="80" spans="1:14">
      <c r="A80" s="16"/>
      <c r="B80" s="5" t="s">
        <v>107</v>
      </c>
      <c r="C80" s="94"/>
      <c r="D80" s="7">
        <v>10147.08296</v>
      </c>
      <c r="E80" s="94">
        <f>E79</f>
        <v>125</v>
      </c>
      <c r="F80" s="94">
        <v>1973</v>
      </c>
      <c r="G80" s="6">
        <f t="shared" ref="G80:G83" si="52">C80*F80</f>
        <v>0</v>
      </c>
      <c r="H80" s="6">
        <f t="shared" ref="H80:H81" si="53">G80/E80</f>
        <v>0</v>
      </c>
      <c r="I80" s="97">
        <f t="shared" si="51"/>
        <v>80.353788224551451</v>
      </c>
      <c r="J80" s="83">
        <f t="shared" ref="J80:J83" si="54">I80*H80</f>
        <v>0</v>
      </c>
    </row>
    <row r="81" spans="1:14">
      <c r="A81" s="16"/>
      <c r="B81" s="5" t="s">
        <v>46</v>
      </c>
      <c r="C81" s="94">
        <v>3</v>
      </c>
      <c r="D81" s="7">
        <v>10147.08296</v>
      </c>
      <c r="E81" s="94">
        <f>E79</f>
        <v>125</v>
      </c>
      <c r="F81" s="94">
        <v>1973</v>
      </c>
      <c r="G81" s="6">
        <f t="shared" si="52"/>
        <v>5919</v>
      </c>
      <c r="H81" s="6">
        <f t="shared" si="53"/>
        <v>47.351999999999997</v>
      </c>
      <c r="I81" s="97">
        <f t="shared" si="51"/>
        <v>80.353788224551451</v>
      </c>
      <c r="J81" s="83">
        <f t="shared" si="54"/>
        <v>3804.91258000896</v>
      </c>
    </row>
    <row r="82" spans="1:14">
      <c r="A82" s="16"/>
      <c r="B82" s="5" t="s">
        <v>88</v>
      </c>
      <c r="C82" s="94">
        <v>0.75</v>
      </c>
      <c r="D82" s="7">
        <v>10147.08296</v>
      </c>
      <c r="E82" s="94">
        <f>E79</f>
        <v>125</v>
      </c>
      <c r="F82" s="94">
        <v>1973</v>
      </c>
      <c r="G82" s="6">
        <f t="shared" si="52"/>
        <v>1479.75</v>
      </c>
      <c r="H82" s="6">
        <f>G82/E82</f>
        <v>11.837999999999999</v>
      </c>
      <c r="I82" s="97">
        <f t="shared" si="51"/>
        <v>80.353788224551451</v>
      </c>
      <c r="J82" s="83">
        <f t="shared" si="54"/>
        <v>951.22814500224001</v>
      </c>
    </row>
    <row r="83" spans="1:14">
      <c r="A83" s="16"/>
      <c r="B83" s="5" t="s">
        <v>47</v>
      </c>
      <c r="C83" s="94">
        <v>1</v>
      </c>
      <c r="D83" s="7">
        <v>10147.08296</v>
      </c>
      <c r="E83" s="94">
        <f>E79</f>
        <v>125</v>
      </c>
      <c r="F83" s="94">
        <v>1973</v>
      </c>
      <c r="G83" s="6">
        <f t="shared" si="52"/>
        <v>1973</v>
      </c>
      <c r="H83" s="6">
        <f t="shared" ref="H83" si="55">G83/E83</f>
        <v>15.784000000000001</v>
      </c>
      <c r="I83" s="97">
        <f t="shared" si="51"/>
        <v>80.353788224551451</v>
      </c>
      <c r="J83" s="83">
        <f t="shared" si="54"/>
        <v>1268.3041933363202</v>
      </c>
    </row>
    <row r="84" spans="1:14">
      <c r="A84" s="16"/>
      <c r="B84" s="5"/>
      <c r="C84" s="94"/>
      <c r="D84" s="5"/>
      <c r="E84" s="94">
        <f>E79</f>
        <v>125</v>
      </c>
      <c r="F84" s="94">
        <v>1973</v>
      </c>
      <c r="G84" s="6"/>
      <c r="H84" s="6"/>
      <c r="I84" s="97">
        <f t="shared" si="51"/>
        <v>0</v>
      </c>
      <c r="J84" s="83">
        <f t="shared" ref="J84" si="56">I84*H84</f>
        <v>0</v>
      </c>
    </row>
    <row r="85" spans="1:14" ht="15.75" thickBot="1">
      <c r="A85" s="17"/>
      <c r="B85" s="18"/>
      <c r="C85" s="95">
        <f>SUM(C79:C84)</f>
        <v>8.5</v>
      </c>
      <c r="D85" s="18"/>
      <c r="E85" s="95"/>
      <c r="F85" s="95"/>
      <c r="G85" s="19"/>
      <c r="H85" s="19"/>
      <c r="I85" s="98"/>
      <c r="J85" s="87">
        <f>SUM(J79:J84)</f>
        <v>10780.585643358721</v>
      </c>
    </row>
    <row r="86" spans="1:14" ht="15.75" thickBot="1">
      <c r="A86" s="51"/>
      <c r="B86" s="52"/>
      <c r="C86" s="52"/>
      <c r="D86" s="52"/>
      <c r="E86" s="96"/>
      <c r="F86" s="96"/>
      <c r="G86" s="55"/>
      <c r="H86" s="160" t="s">
        <v>60</v>
      </c>
      <c r="I86" s="161"/>
      <c r="J86" s="85">
        <f>J85-J87</f>
        <v>0</v>
      </c>
      <c r="K86" s="50">
        <f>J86*122</f>
        <v>0</v>
      </c>
      <c r="L86" s="50"/>
      <c r="M86" s="50">
        <f>L86-K86</f>
        <v>0</v>
      </c>
    </row>
    <row r="87" spans="1:14" ht="15.75" thickBot="1">
      <c r="A87" s="51"/>
      <c r="B87" s="52"/>
      <c r="C87" s="52"/>
      <c r="D87" s="52"/>
      <c r="E87" s="96"/>
      <c r="F87" s="96"/>
      <c r="G87" s="55"/>
      <c r="H87" s="160" t="s">
        <v>57</v>
      </c>
      <c r="I87" s="161"/>
      <c r="J87" s="85">
        <f>J79+J80+J81+J82+J83</f>
        <v>10780.585643358721</v>
      </c>
      <c r="K87" s="130">
        <f>J87*E79</f>
        <v>1347573.2054198403</v>
      </c>
      <c r="L87" s="130">
        <f>(2127560+642510-19920.6)*0.49</f>
        <v>1347573.206</v>
      </c>
      <c r="M87" s="130">
        <f>L87-K87</f>
        <v>5.8015971444547176E-4</v>
      </c>
      <c r="N87" s="131">
        <f>L87/1.302/12/8.5</f>
        <v>10147.082964368543</v>
      </c>
    </row>
    <row r="88" spans="1:14">
      <c r="J88" s="72"/>
    </row>
    <row r="89" spans="1:14" ht="18.75">
      <c r="A89" s="54" t="s">
        <v>76</v>
      </c>
      <c r="J89" s="72"/>
    </row>
    <row r="90" spans="1:14" ht="87" customHeight="1">
      <c r="A90" s="4" t="s">
        <v>2</v>
      </c>
      <c r="B90" s="70" t="s">
        <v>4</v>
      </c>
      <c r="C90" s="70" t="s">
        <v>0</v>
      </c>
      <c r="D90" s="70" t="s">
        <v>13</v>
      </c>
      <c r="E90" s="117" t="s">
        <v>3</v>
      </c>
      <c r="F90" s="117" t="s">
        <v>1</v>
      </c>
      <c r="G90" s="70" t="s">
        <v>5</v>
      </c>
      <c r="H90" s="70" t="s">
        <v>7</v>
      </c>
      <c r="I90" s="117" t="s">
        <v>9</v>
      </c>
      <c r="J90" s="73" t="s">
        <v>11</v>
      </c>
      <c r="K90" s="2" t="s">
        <v>33</v>
      </c>
      <c r="L90" s="2" t="s">
        <v>34</v>
      </c>
      <c r="M90" s="2"/>
    </row>
    <row r="91" spans="1:14" ht="15.75" thickBot="1">
      <c r="A91" s="9">
        <v>1</v>
      </c>
      <c r="B91" s="10">
        <v>2</v>
      </c>
      <c r="C91" s="10">
        <v>3</v>
      </c>
      <c r="D91" s="10">
        <v>4</v>
      </c>
      <c r="E91" s="118">
        <v>5</v>
      </c>
      <c r="F91" s="118">
        <v>6</v>
      </c>
      <c r="G91" s="10" t="s">
        <v>6</v>
      </c>
      <c r="H91" s="9" t="s">
        <v>8</v>
      </c>
      <c r="I91" s="118" t="s">
        <v>10</v>
      </c>
      <c r="J91" s="74" t="s">
        <v>12</v>
      </c>
    </row>
    <row r="92" spans="1:14">
      <c r="A92" s="12" t="s">
        <v>64</v>
      </c>
      <c r="B92" s="13" t="s">
        <v>45</v>
      </c>
      <c r="C92" s="93">
        <v>3.25</v>
      </c>
      <c r="D92" s="7">
        <v>9796.4303199999995</v>
      </c>
      <c r="E92" s="94">
        <f>ком.усл!A62</f>
        <v>224</v>
      </c>
      <c r="F92" s="94">
        <v>1973</v>
      </c>
      <c r="G92" s="14">
        <f>C92*F92</f>
        <v>6412.25</v>
      </c>
      <c r="H92" s="14">
        <f>G92/E92</f>
        <v>28.626116071428573</v>
      </c>
      <c r="I92" s="97">
        <f t="shared" ref="I92:I97" si="57">D92*12*1.302/1973</f>
        <v>77.577003203081603</v>
      </c>
      <c r="J92" s="82">
        <f>I92*H92</f>
        <v>2220.7282981650001</v>
      </c>
    </row>
    <row r="93" spans="1:14">
      <c r="A93" s="16"/>
      <c r="B93" s="5" t="s">
        <v>114</v>
      </c>
      <c r="C93" s="94">
        <v>0.125</v>
      </c>
      <c r="D93" s="7">
        <v>9796.4303199999995</v>
      </c>
      <c r="E93" s="94">
        <f>E92</f>
        <v>224</v>
      </c>
      <c r="F93" s="94">
        <v>1973</v>
      </c>
      <c r="G93" s="6">
        <f t="shared" ref="G93:G96" si="58">C93*F93</f>
        <v>246.625</v>
      </c>
      <c r="H93" s="6">
        <f t="shared" ref="H93:H94" si="59">G93/E93</f>
        <v>1.1010044642857142</v>
      </c>
      <c r="I93" s="97">
        <f t="shared" si="57"/>
        <v>77.577003203081603</v>
      </c>
      <c r="J93" s="83">
        <f t="shared" ref="J93:J96" si="60">I93*H93</f>
        <v>85.412626852499997</v>
      </c>
    </row>
    <row r="94" spans="1:14">
      <c r="A94" s="16"/>
      <c r="B94" s="5" t="s">
        <v>46</v>
      </c>
      <c r="C94" s="97">
        <v>3</v>
      </c>
      <c r="D94" s="7">
        <v>9796.4303199999995</v>
      </c>
      <c r="E94" s="94">
        <f>E92</f>
        <v>224</v>
      </c>
      <c r="F94" s="94">
        <v>1973</v>
      </c>
      <c r="G94" s="6">
        <f t="shared" si="58"/>
        <v>5919</v>
      </c>
      <c r="H94" s="6">
        <f t="shared" si="59"/>
        <v>26.424107142857142</v>
      </c>
      <c r="I94" s="97">
        <f t="shared" si="57"/>
        <v>77.577003203081603</v>
      </c>
      <c r="J94" s="83">
        <f t="shared" si="60"/>
        <v>2049.9030444599998</v>
      </c>
    </row>
    <row r="95" spans="1:14">
      <c r="A95" s="16"/>
      <c r="B95" s="5" t="s">
        <v>88</v>
      </c>
      <c r="C95" s="94">
        <v>0.75</v>
      </c>
      <c r="D95" s="7">
        <v>9796.4303199999995</v>
      </c>
      <c r="E95" s="94">
        <f>E92</f>
        <v>224</v>
      </c>
      <c r="F95" s="94">
        <v>1973</v>
      </c>
      <c r="G95" s="6">
        <f t="shared" si="58"/>
        <v>1479.75</v>
      </c>
      <c r="H95" s="6">
        <f>G95/E95</f>
        <v>6.6060267857142856</v>
      </c>
      <c r="I95" s="97">
        <f t="shared" si="57"/>
        <v>77.577003203081603</v>
      </c>
      <c r="J95" s="83">
        <f t="shared" si="60"/>
        <v>512.47576111499995</v>
      </c>
    </row>
    <row r="96" spans="1:14">
      <c r="A96" s="16"/>
      <c r="B96" s="5" t="s">
        <v>47</v>
      </c>
      <c r="C96" s="94">
        <v>0.75</v>
      </c>
      <c r="D96" s="7">
        <v>9796.4303199999995</v>
      </c>
      <c r="E96" s="94">
        <f>E92</f>
        <v>224</v>
      </c>
      <c r="F96" s="94">
        <v>1973</v>
      </c>
      <c r="G96" s="6">
        <f t="shared" si="58"/>
        <v>1479.75</v>
      </c>
      <c r="H96" s="6">
        <f t="shared" ref="H96" si="61">G96/E96</f>
        <v>6.6060267857142856</v>
      </c>
      <c r="I96" s="97">
        <f t="shared" si="57"/>
        <v>77.577003203081603</v>
      </c>
      <c r="J96" s="83">
        <f t="shared" si="60"/>
        <v>512.47576111499995</v>
      </c>
    </row>
    <row r="97" spans="1:14">
      <c r="A97" s="16"/>
      <c r="B97" s="5" t="s">
        <v>106</v>
      </c>
      <c r="C97" s="94">
        <v>0.75</v>
      </c>
      <c r="D97" s="7">
        <v>9796.4303199999995</v>
      </c>
      <c r="E97" s="94">
        <f>E92</f>
        <v>224</v>
      </c>
      <c r="F97" s="94">
        <v>1973</v>
      </c>
      <c r="G97" s="6">
        <f t="shared" ref="G97" si="62">C97*F97</f>
        <v>1479.75</v>
      </c>
      <c r="H97" s="6">
        <f t="shared" ref="H97" si="63">G97/E97</f>
        <v>6.6060267857142856</v>
      </c>
      <c r="I97" s="97">
        <f t="shared" si="57"/>
        <v>77.577003203081603</v>
      </c>
      <c r="J97" s="83">
        <f t="shared" ref="J97" si="64">I97*H97</f>
        <v>512.47576111499995</v>
      </c>
    </row>
    <row r="98" spans="1:14">
      <c r="A98" s="16"/>
      <c r="B98" s="5"/>
      <c r="C98" s="94"/>
      <c r="D98" s="5"/>
      <c r="E98" s="94"/>
      <c r="F98" s="94"/>
      <c r="G98" s="6"/>
      <c r="H98" s="6"/>
      <c r="I98" s="97"/>
      <c r="J98" s="83">
        <f t="shared" ref="J98" si="65">I98*H98</f>
        <v>0</v>
      </c>
    </row>
    <row r="99" spans="1:14" ht="15.75" thickBot="1">
      <c r="A99" s="17"/>
      <c r="B99" s="18"/>
      <c r="C99" s="95">
        <f>SUM(C92:C98)</f>
        <v>8.625</v>
      </c>
      <c r="D99" s="18"/>
      <c r="E99" s="95"/>
      <c r="F99" s="95"/>
      <c r="G99" s="19"/>
      <c r="H99" s="19"/>
      <c r="I99" s="98"/>
      <c r="J99" s="87">
        <f>SUM(J92:J98)</f>
        <v>5893.4712528224991</v>
      </c>
    </row>
    <row r="100" spans="1:14" ht="15.75" thickBot="1">
      <c r="A100" s="51"/>
      <c r="B100" s="52"/>
      <c r="C100" s="52"/>
      <c r="D100" s="52"/>
      <c r="E100" s="96"/>
      <c r="F100" s="96"/>
      <c r="G100" s="55"/>
      <c r="H100" s="160" t="s">
        <v>60</v>
      </c>
      <c r="I100" s="161"/>
      <c r="J100" s="85">
        <f>J99-J101</f>
        <v>0</v>
      </c>
      <c r="K100" s="50">
        <f>J100*122</f>
        <v>0</v>
      </c>
      <c r="L100" s="50"/>
      <c r="M100" s="50">
        <f>L100-K100</f>
        <v>0</v>
      </c>
    </row>
    <row r="101" spans="1:14" ht="15.75" thickBot="1">
      <c r="A101" s="51"/>
      <c r="B101" s="52"/>
      <c r="C101" s="52"/>
      <c r="D101" s="71"/>
      <c r="E101" s="119"/>
      <c r="F101" s="96"/>
      <c r="G101" s="55"/>
      <c r="H101" s="160" t="s">
        <v>57</v>
      </c>
      <c r="I101" s="161"/>
      <c r="J101" s="85">
        <f>J92+J93+J94+J95+J96+J97</f>
        <v>5893.4712528224991</v>
      </c>
      <c r="K101" s="130">
        <f>J101*E92</f>
        <v>1320137.5606322398</v>
      </c>
      <c r="L101" s="130">
        <f>(2538540+766610-644661.33-20213.55)*0.5</f>
        <v>1320137.56</v>
      </c>
      <c r="M101" s="3">
        <f>L101-K101</f>
        <v>-6.3223973847925663E-4</v>
      </c>
      <c r="N101" s="90">
        <f>L101/1.302/12/8.625</f>
        <v>9796.4303153082947</v>
      </c>
    </row>
    <row r="102" spans="1:14">
      <c r="A102" s="12" t="s">
        <v>67</v>
      </c>
      <c r="B102" s="13" t="s">
        <v>45</v>
      </c>
      <c r="C102" s="93">
        <v>5.75</v>
      </c>
      <c r="D102" s="7">
        <v>10139.047329999999</v>
      </c>
      <c r="E102" s="94">
        <f>ком.усл!A67</f>
        <v>330</v>
      </c>
      <c r="F102" s="94">
        <v>1973</v>
      </c>
      <c r="G102" s="14">
        <f>C102*F102</f>
        <v>11344.75</v>
      </c>
      <c r="H102" s="14">
        <f>G102/E102</f>
        <v>34.3780303030303</v>
      </c>
      <c r="I102" s="97">
        <f t="shared" ref="I102:I107" si="66">D102*12*1.302/1973</f>
        <v>80.290154832194617</v>
      </c>
      <c r="J102" s="82">
        <f>I102*H102</f>
        <v>2760.2173758561812</v>
      </c>
    </row>
    <row r="103" spans="1:14">
      <c r="A103" s="16"/>
      <c r="B103" s="5" t="s">
        <v>106</v>
      </c>
      <c r="C103" s="94">
        <v>3</v>
      </c>
      <c r="D103" s="7">
        <v>10139.047329999999</v>
      </c>
      <c r="E103" s="94">
        <f>E102</f>
        <v>330</v>
      </c>
      <c r="F103" s="94">
        <v>1973</v>
      </c>
      <c r="G103" s="6">
        <f t="shared" ref="G103:G106" si="67">C103*F103</f>
        <v>5919</v>
      </c>
      <c r="H103" s="6">
        <f t="shared" ref="H103:H104" si="68">G103/E103</f>
        <v>17.936363636363637</v>
      </c>
      <c r="I103" s="97">
        <f t="shared" si="66"/>
        <v>80.290154832194617</v>
      </c>
      <c r="J103" s="83">
        <f t="shared" ref="J103:J106" si="69">I103*H103</f>
        <v>1440.1134134901818</v>
      </c>
    </row>
    <row r="104" spans="1:14">
      <c r="A104" s="16"/>
      <c r="B104" s="5" t="s">
        <v>46</v>
      </c>
      <c r="C104" s="94">
        <v>6</v>
      </c>
      <c r="D104" s="7">
        <v>10139.047329999999</v>
      </c>
      <c r="E104" s="94">
        <f>E102</f>
        <v>330</v>
      </c>
      <c r="F104" s="94">
        <v>1973</v>
      </c>
      <c r="G104" s="6">
        <f t="shared" si="67"/>
        <v>11838</v>
      </c>
      <c r="H104" s="6">
        <f t="shared" si="68"/>
        <v>35.872727272727275</v>
      </c>
      <c r="I104" s="97">
        <f t="shared" si="66"/>
        <v>80.290154832194617</v>
      </c>
      <c r="J104" s="83">
        <f t="shared" si="69"/>
        <v>2880.2268269803635</v>
      </c>
    </row>
    <row r="105" spans="1:14">
      <c r="A105" s="16"/>
      <c r="B105" s="5" t="s">
        <v>88</v>
      </c>
      <c r="C105" s="94">
        <v>1.5</v>
      </c>
      <c r="D105" s="7">
        <v>10139.047329999999</v>
      </c>
      <c r="E105" s="94">
        <f>E102</f>
        <v>330</v>
      </c>
      <c r="F105" s="94">
        <v>1973</v>
      </c>
      <c r="G105" s="6">
        <f t="shared" si="67"/>
        <v>2959.5</v>
      </c>
      <c r="H105" s="6">
        <f>G105/E105</f>
        <v>8.9681818181818187</v>
      </c>
      <c r="I105" s="97">
        <f t="shared" si="66"/>
        <v>80.290154832194617</v>
      </c>
      <c r="J105" s="83">
        <f t="shared" si="69"/>
        <v>720.05670674509088</v>
      </c>
    </row>
    <row r="106" spans="1:14">
      <c r="A106" s="16"/>
      <c r="B106" s="5" t="s">
        <v>47</v>
      </c>
      <c r="C106" s="94">
        <v>1.5</v>
      </c>
      <c r="D106" s="7">
        <v>10139.047329999999</v>
      </c>
      <c r="E106" s="94">
        <f>E102</f>
        <v>330</v>
      </c>
      <c r="F106" s="94">
        <v>1973</v>
      </c>
      <c r="G106" s="6">
        <f t="shared" si="67"/>
        <v>2959.5</v>
      </c>
      <c r="H106" s="6">
        <f t="shared" ref="H106" si="70">G106/E106</f>
        <v>8.9681818181818187</v>
      </c>
      <c r="I106" s="97">
        <f t="shared" si="66"/>
        <v>80.290154832194617</v>
      </c>
      <c r="J106" s="83">
        <f t="shared" si="69"/>
        <v>720.05670674509088</v>
      </c>
    </row>
    <row r="107" spans="1:14">
      <c r="A107" s="16"/>
      <c r="B107" s="5"/>
      <c r="C107" s="94"/>
      <c r="D107" s="5"/>
      <c r="E107" s="94">
        <f>E102</f>
        <v>330</v>
      </c>
      <c r="F107" s="94">
        <v>1973</v>
      </c>
      <c r="G107" s="6"/>
      <c r="H107" s="6"/>
      <c r="I107" s="97">
        <f t="shared" si="66"/>
        <v>0</v>
      </c>
      <c r="J107" s="83">
        <f t="shared" ref="J107" si="71">I107*H107</f>
        <v>0</v>
      </c>
    </row>
    <row r="108" spans="1:14" ht="15.75" thickBot="1">
      <c r="A108" s="17"/>
      <c r="B108" s="18"/>
      <c r="C108" s="95">
        <f>SUM(C102:C107)</f>
        <v>17.75</v>
      </c>
      <c r="D108" s="18"/>
      <c r="E108" s="95"/>
      <c r="F108" s="95"/>
      <c r="G108" s="19"/>
      <c r="H108" s="19"/>
      <c r="I108" s="98"/>
      <c r="J108" s="87">
        <f>SUM(J102:J107)</f>
        <v>8520.6710298169073</v>
      </c>
    </row>
    <row r="109" spans="1:14" ht="15.75" thickBot="1">
      <c r="A109" s="51"/>
      <c r="B109" s="52"/>
      <c r="C109" s="52"/>
      <c r="D109" s="52"/>
      <c r="E109" s="96"/>
      <c r="F109" s="96"/>
      <c r="G109" s="55"/>
      <c r="H109" s="160" t="s">
        <v>60</v>
      </c>
      <c r="I109" s="161"/>
      <c r="J109" s="85">
        <f>J108-J110</f>
        <v>0</v>
      </c>
      <c r="K109" s="50">
        <f>J109*122</f>
        <v>0</v>
      </c>
      <c r="L109" s="50"/>
      <c r="M109" s="50">
        <f>L109-K109</f>
        <v>0</v>
      </c>
    </row>
    <row r="110" spans="1:14" ht="15.75" thickBot="1">
      <c r="A110" s="51"/>
      <c r="B110" s="52"/>
      <c r="C110" s="52"/>
      <c r="D110" s="71"/>
      <c r="E110" s="96"/>
      <c r="F110" s="96"/>
      <c r="G110" s="55"/>
      <c r="H110" s="160" t="s">
        <v>57</v>
      </c>
      <c r="I110" s="161"/>
      <c r="J110" s="85">
        <f>J102+J103+J104+J105+J106</f>
        <v>8520.6710298169073</v>
      </c>
      <c r="K110" s="130">
        <f>J110*E102</f>
        <v>2811821.4398395796</v>
      </c>
      <c r="L110" s="130">
        <f>(4439340+1340670-41598.9)*0.49</f>
        <v>2811821.4389999998</v>
      </c>
      <c r="M110" s="130">
        <f>L110-K110</f>
        <v>-8.3957985043525696E-4</v>
      </c>
      <c r="N110" s="131">
        <f>L110/1.302/12/17.75</f>
        <v>10139.047326972588</v>
      </c>
    </row>
    <row r="111" spans="1:14">
      <c r="A111" s="12" t="s">
        <v>68</v>
      </c>
      <c r="B111" s="13" t="s">
        <v>45</v>
      </c>
      <c r="C111" s="93">
        <f>3.5+4</f>
        <v>7.5</v>
      </c>
      <c r="D111" s="7">
        <v>9329.0372499999994</v>
      </c>
      <c r="E111" s="94">
        <f>ком.усл!A72</f>
        <v>267</v>
      </c>
      <c r="F111" s="94">
        <v>1973</v>
      </c>
      <c r="G111" s="14">
        <f>C111*F111</f>
        <v>14797.5</v>
      </c>
      <c r="H111" s="14">
        <f>G111/E111</f>
        <v>55.421348314606739</v>
      </c>
      <c r="I111" s="97">
        <f t="shared" ref="I111:I116" si="72">D111*12*1.302/1973</f>
        <v>73.875761781044091</v>
      </c>
      <c r="J111" s="82">
        <f>I111*H111</f>
        <v>4094.2943256741569</v>
      </c>
    </row>
    <row r="112" spans="1:14">
      <c r="A112" s="16"/>
      <c r="B112" s="5" t="s">
        <v>106</v>
      </c>
      <c r="C112" s="94">
        <v>1.75</v>
      </c>
      <c r="D112" s="7">
        <v>9329.0372499999994</v>
      </c>
      <c r="E112" s="94">
        <f>E111</f>
        <v>267</v>
      </c>
      <c r="F112" s="94">
        <v>1973</v>
      </c>
      <c r="G112" s="6">
        <f t="shared" ref="G112:G115" si="73">C112*F112</f>
        <v>3452.75</v>
      </c>
      <c r="H112" s="6">
        <f t="shared" ref="H112:H113" si="74">G112/E112</f>
        <v>12.931647940074907</v>
      </c>
      <c r="I112" s="97">
        <f t="shared" si="72"/>
        <v>73.875761781044091</v>
      </c>
      <c r="J112" s="83">
        <f t="shared" ref="J112:J115" si="75">I112*H112</f>
        <v>955.33534265730339</v>
      </c>
    </row>
    <row r="113" spans="1:14">
      <c r="A113" s="16"/>
      <c r="B113" s="5" t="s">
        <v>46</v>
      </c>
      <c r="C113" s="94">
        <v>9</v>
      </c>
      <c r="D113" s="7">
        <v>9329.0372499999994</v>
      </c>
      <c r="E113" s="94">
        <f>E111</f>
        <v>267</v>
      </c>
      <c r="F113" s="94">
        <v>1973</v>
      </c>
      <c r="G113" s="6">
        <f t="shared" si="73"/>
        <v>17757</v>
      </c>
      <c r="H113" s="6">
        <f t="shared" si="74"/>
        <v>66.50561797752809</v>
      </c>
      <c r="I113" s="97">
        <f t="shared" si="72"/>
        <v>73.875761781044091</v>
      </c>
      <c r="J113" s="83">
        <f t="shared" si="75"/>
        <v>4913.1531908089883</v>
      </c>
    </row>
    <row r="114" spans="1:14">
      <c r="A114" s="16"/>
      <c r="B114" s="5" t="s">
        <v>88</v>
      </c>
      <c r="C114" s="94">
        <v>1.5</v>
      </c>
      <c r="D114" s="7">
        <v>9329.0372499999994</v>
      </c>
      <c r="E114" s="94">
        <f>E111</f>
        <v>267</v>
      </c>
      <c r="F114" s="94">
        <v>1973</v>
      </c>
      <c r="G114" s="6">
        <f t="shared" si="73"/>
        <v>2959.5</v>
      </c>
      <c r="H114" s="6">
        <f>G114/E114</f>
        <v>11.084269662921349</v>
      </c>
      <c r="I114" s="97">
        <f t="shared" si="72"/>
        <v>73.875761781044091</v>
      </c>
      <c r="J114" s="83">
        <f t="shared" si="75"/>
        <v>818.85886513483149</v>
      </c>
    </row>
    <row r="115" spans="1:14">
      <c r="A115" s="16"/>
      <c r="B115" s="5" t="s">
        <v>47</v>
      </c>
      <c r="C115" s="94">
        <f>2.45+1.5</f>
        <v>3.95</v>
      </c>
      <c r="D115" s="7">
        <v>9329.0372499999994</v>
      </c>
      <c r="E115" s="94">
        <f>E111</f>
        <v>267</v>
      </c>
      <c r="F115" s="94">
        <v>1973</v>
      </c>
      <c r="G115" s="6">
        <f t="shared" si="73"/>
        <v>7793.35</v>
      </c>
      <c r="H115" s="6">
        <f t="shared" ref="H115" si="76">G115/E115</f>
        <v>29.188576779026217</v>
      </c>
      <c r="I115" s="97">
        <f t="shared" si="72"/>
        <v>73.875761781044091</v>
      </c>
      <c r="J115" s="83">
        <f t="shared" si="75"/>
        <v>2156.328344855056</v>
      </c>
    </row>
    <row r="116" spans="1:14">
      <c r="A116" s="16"/>
      <c r="B116" s="5" t="s">
        <v>118</v>
      </c>
      <c r="C116" s="94">
        <v>1</v>
      </c>
      <c r="D116" s="7">
        <v>9329.0372499999994</v>
      </c>
      <c r="E116" s="94">
        <f>E111</f>
        <v>267</v>
      </c>
      <c r="F116" s="94">
        <v>1973</v>
      </c>
      <c r="G116" s="6">
        <f t="shared" ref="G116" si="77">C116*F116</f>
        <v>1973</v>
      </c>
      <c r="H116" s="6">
        <f t="shared" ref="H116" si="78">G116/E116</f>
        <v>7.3895131086142323</v>
      </c>
      <c r="I116" s="97">
        <f t="shared" si="72"/>
        <v>73.875761781044091</v>
      </c>
      <c r="J116" s="83">
        <f t="shared" ref="J116" si="79">I116*H116</f>
        <v>545.90591008988758</v>
      </c>
    </row>
    <row r="117" spans="1:14" ht="15.75" thickBot="1">
      <c r="A117" s="17"/>
      <c r="B117" s="18"/>
      <c r="C117" s="98">
        <f>SUM(C111:C116)</f>
        <v>24.7</v>
      </c>
      <c r="D117" s="18"/>
      <c r="E117" s="95"/>
      <c r="F117" s="95"/>
      <c r="G117" s="19"/>
      <c r="H117" s="19"/>
      <c r="I117" s="98"/>
      <c r="J117" s="87">
        <f>SUM(J111:J116)</f>
        <v>13483.875979220222</v>
      </c>
    </row>
    <row r="118" spans="1:14" ht="15.75" thickBot="1">
      <c r="A118" s="51"/>
      <c r="B118" s="52"/>
      <c r="C118" s="52"/>
      <c r="D118" s="52"/>
      <c r="E118" s="96"/>
      <c r="F118" s="96"/>
      <c r="G118" s="55"/>
      <c r="H118" s="160" t="s">
        <v>60</v>
      </c>
      <c r="I118" s="161"/>
      <c r="J118" s="85">
        <f>J117-J119</f>
        <v>0</v>
      </c>
      <c r="K118" s="50">
        <f>J118*122</f>
        <v>0</v>
      </c>
      <c r="L118" s="50"/>
      <c r="M118" s="50">
        <f>L118-K118</f>
        <v>0</v>
      </c>
    </row>
    <row r="119" spans="1:14" ht="15.75" thickBot="1">
      <c r="A119" s="51"/>
      <c r="B119" s="52"/>
      <c r="C119" s="52"/>
      <c r="D119" s="71"/>
      <c r="E119" s="96"/>
      <c r="F119" s="96"/>
      <c r="G119" s="55"/>
      <c r="H119" s="160" t="s">
        <v>57</v>
      </c>
      <c r="I119" s="161"/>
      <c r="J119" s="85">
        <f>J111+J112+J113+J114+J115+J116</f>
        <v>13483.875979220222</v>
      </c>
      <c r="K119" s="130">
        <f>J119*E111</f>
        <v>3600194.8864517994</v>
      </c>
      <c r="L119" s="130">
        <f>(6186200+3900+1868220-57886.92)*0.45</f>
        <v>3600194.8859999999</v>
      </c>
      <c r="M119" s="130">
        <f>L119-K119</f>
        <v>-4.5179948210716248E-4</v>
      </c>
      <c r="N119" s="131">
        <f>L119/1.302/12/24.7</f>
        <v>9329.0372488292687</v>
      </c>
    </row>
    <row r="120" spans="1:14">
      <c r="A120" s="12" t="s">
        <v>69</v>
      </c>
      <c r="B120" s="13" t="s">
        <v>45</v>
      </c>
      <c r="C120" s="93">
        <v>6.25</v>
      </c>
      <c r="D120" s="7">
        <v>9369.7288000000008</v>
      </c>
      <c r="E120" s="94">
        <f>ком.усл!A77</f>
        <v>446</v>
      </c>
      <c r="F120" s="94">
        <v>1973</v>
      </c>
      <c r="G120" s="14">
        <f>C120*F120</f>
        <v>12331.25</v>
      </c>
      <c r="H120" s="14">
        <f>G120/E120</f>
        <v>27.64854260089686</v>
      </c>
      <c r="I120" s="97">
        <f t="shared" ref="I120:I125" si="80">D120*12*1.302/1973</f>
        <v>74.197994308768386</v>
      </c>
      <c r="J120" s="82">
        <f>I120*H120</f>
        <v>2051.4664065470856</v>
      </c>
    </row>
    <row r="121" spans="1:14">
      <c r="A121" s="16"/>
      <c r="B121" s="5" t="s">
        <v>106</v>
      </c>
      <c r="C121" s="94">
        <v>0.75</v>
      </c>
      <c r="D121" s="7">
        <v>9369.7288000000008</v>
      </c>
      <c r="E121" s="94">
        <f>E120</f>
        <v>446</v>
      </c>
      <c r="F121" s="94">
        <v>1973</v>
      </c>
      <c r="G121" s="6">
        <f t="shared" ref="G121:G125" si="81">C121*F121</f>
        <v>1479.75</v>
      </c>
      <c r="H121" s="6">
        <f t="shared" ref="H121:H122" si="82">G121/E121</f>
        <v>3.3178251121076232</v>
      </c>
      <c r="I121" s="97">
        <f t="shared" si="80"/>
        <v>74.197994308768386</v>
      </c>
      <c r="J121" s="83">
        <f t="shared" ref="J121:J124" si="83">I121*H121</f>
        <v>246.17596878565027</v>
      </c>
    </row>
    <row r="122" spans="1:14">
      <c r="A122" s="16"/>
      <c r="B122" s="5" t="s">
        <v>46</v>
      </c>
      <c r="C122" s="94">
        <v>3</v>
      </c>
      <c r="D122" s="7">
        <v>9369.7288000000008</v>
      </c>
      <c r="E122" s="94">
        <f>E120</f>
        <v>446</v>
      </c>
      <c r="F122" s="94">
        <v>1973</v>
      </c>
      <c r="G122" s="6">
        <f t="shared" si="81"/>
        <v>5919</v>
      </c>
      <c r="H122" s="6">
        <f t="shared" si="82"/>
        <v>13.271300448430493</v>
      </c>
      <c r="I122" s="97">
        <f t="shared" si="80"/>
        <v>74.197994308768386</v>
      </c>
      <c r="J122" s="83">
        <f t="shared" si="83"/>
        <v>984.70387514260108</v>
      </c>
    </row>
    <row r="123" spans="1:14">
      <c r="A123" s="16"/>
      <c r="B123" s="5" t="s">
        <v>88</v>
      </c>
      <c r="C123" s="94">
        <v>1.5</v>
      </c>
      <c r="D123" s="7">
        <v>9369.7288000000008</v>
      </c>
      <c r="E123" s="94">
        <f>E120</f>
        <v>446</v>
      </c>
      <c r="F123" s="94">
        <v>1973</v>
      </c>
      <c r="G123" s="6">
        <f t="shared" si="81"/>
        <v>2959.5</v>
      </c>
      <c r="H123" s="6">
        <f>G123/E123</f>
        <v>6.6356502242152464</v>
      </c>
      <c r="I123" s="97">
        <f t="shared" si="80"/>
        <v>74.197994308768386</v>
      </c>
      <c r="J123" s="83">
        <f t="shared" si="83"/>
        <v>492.35193757130054</v>
      </c>
    </row>
    <row r="124" spans="1:14">
      <c r="A124" s="16"/>
      <c r="B124" s="5" t="s">
        <v>47</v>
      </c>
      <c r="C124" s="94">
        <v>3</v>
      </c>
      <c r="D124" s="7">
        <v>9369.7288000000008</v>
      </c>
      <c r="E124" s="94">
        <f>E120</f>
        <v>446</v>
      </c>
      <c r="F124" s="94">
        <v>1973</v>
      </c>
      <c r="G124" s="6">
        <f t="shared" si="81"/>
        <v>5919</v>
      </c>
      <c r="H124" s="6">
        <f t="shared" ref="H124:H125" si="84">G124/E124</f>
        <v>13.271300448430493</v>
      </c>
      <c r="I124" s="97">
        <f t="shared" si="80"/>
        <v>74.197994308768386</v>
      </c>
      <c r="J124" s="83">
        <f t="shared" si="83"/>
        <v>984.70387514260108</v>
      </c>
    </row>
    <row r="125" spans="1:14">
      <c r="A125" s="16"/>
      <c r="B125" s="5" t="s">
        <v>114</v>
      </c>
      <c r="C125" s="94">
        <v>0.125</v>
      </c>
      <c r="D125" s="7">
        <v>9369.7288000000008</v>
      </c>
      <c r="E125" s="94">
        <f>E120</f>
        <v>446</v>
      </c>
      <c r="F125" s="94">
        <v>1973</v>
      </c>
      <c r="G125" s="6">
        <f t="shared" si="81"/>
        <v>246.625</v>
      </c>
      <c r="H125" s="6">
        <f t="shared" si="84"/>
        <v>0.55297085201793716</v>
      </c>
      <c r="I125" s="97">
        <f t="shared" si="80"/>
        <v>74.197994308768386</v>
      </c>
      <c r="J125" s="83">
        <f t="shared" ref="J125" si="85">I125*H125</f>
        <v>41.029328130941707</v>
      </c>
    </row>
    <row r="126" spans="1:14" ht="15.75" thickBot="1">
      <c r="A126" s="17"/>
      <c r="B126" s="18"/>
      <c r="C126" s="95">
        <f>SUM(C120:C125)</f>
        <v>14.625</v>
      </c>
      <c r="D126" s="18"/>
      <c r="E126" s="95"/>
      <c r="F126" s="95"/>
      <c r="G126" s="19"/>
      <c r="H126" s="19"/>
      <c r="I126" s="98"/>
      <c r="J126" s="87">
        <f>SUM(J120:J125)</f>
        <v>4800.4313913201795</v>
      </c>
    </row>
    <row r="127" spans="1:14" ht="15.75" thickBot="1">
      <c r="A127" s="51"/>
      <c r="B127" s="52"/>
      <c r="C127" s="52"/>
      <c r="D127" s="52"/>
      <c r="E127" s="96"/>
      <c r="F127" s="96"/>
      <c r="G127" s="55"/>
      <c r="H127" s="160" t="s">
        <v>60</v>
      </c>
      <c r="I127" s="161"/>
      <c r="J127" s="85">
        <f>J126-J128</f>
        <v>0</v>
      </c>
      <c r="K127" s="50">
        <f>J127*122</f>
        <v>0</v>
      </c>
      <c r="L127" s="50"/>
      <c r="M127" s="50">
        <f>L127-K127</f>
        <v>0</v>
      </c>
    </row>
    <row r="128" spans="1:14" ht="15.75" thickBot="1">
      <c r="A128" s="51"/>
      <c r="B128" s="52"/>
      <c r="C128" s="52"/>
      <c r="D128" s="71"/>
      <c r="E128" s="119"/>
      <c r="F128" s="96"/>
      <c r="G128" s="55"/>
      <c r="H128" s="160" t="s">
        <v>57</v>
      </c>
      <c r="I128" s="161"/>
      <c r="J128" s="85">
        <f>J120+J121+J122+J123+J124+J125</f>
        <v>4800.4313913201795</v>
      </c>
      <c r="K128" s="130">
        <f>J128*E120</f>
        <v>2140992.4005288002</v>
      </c>
      <c r="L128" s="130">
        <f>(3986060+1203790-600271.87-34275.15)*0.47</f>
        <v>2140992.4005999998</v>
      </c>
      <c r="M128" s="130">
        <f>L128-K128</f>
        <v>7.1199610829353333E-5</v>
      </c>
      <c r="N128" s="131">
        <f>L128/1.302/12/14.625</f>
        <v>9369.7288003115955</v>
      </c>
    </row>
    <row r="129" spans="1:14">
      <c r="A129" s="12" t="s">
        <v>70</v>
      </c>
      <c r="B129" s="13" t="s">
        <v>45</v>
      </c>
      <c r="C129" s="93">
        <v>9</v>
      </c>
      <c r="D129" s="7">
        <v>9852.2511500000001</v>
      </c>
      <c r="E129" s="94">
        <f>ком.усл!A82</f>
        <v>466</v>
      </c>
      <c r="F129" s="94">
        <v>1973</v>
      </c>
      <c r="G129" s="14">
        <f>C129*F129</f>
        <v>17757</v>
      </c>
      <c r="H129" s="14">
        <f>G129/E129</f>
        <v>38.105150214592271</v>
      </c>
      <c r="I129" s="97">
        <f t="shared" ref="I129:I134" si="86">D129*12*1.302/1973</f>
        <v>78.019043065179929</v>
      </c>
      <c r="J129" s="82">
        <f>I129*H129</f>
        <v>2972.9273555974246</v>
      </c>
    </row>
    <row r="130" spans="1:14">
      <c r="A130" s="16"/>
      <c r="B130" s="5" t="s">
        <v>106</v>
      </c>
      <c r="C130" s="94">
        <v>1</v>
      </c>
      <c r="D130" s="7">
        <v>9852.2511500000001</v>
      </c>
      <c r="E130" s="94">
        <f>E129</f>
        <v>466</v>
      </c>
      <c r="F130" s="94">
        <v>1973</v>
      </c>
      <c r="G130" s="6">
        <f t="shared" ref="G130:G133" si="87">C130*F130</f>
        <v>1973</v>
      </c>
      <c r="H130" s="6">
        <f t="shared" ref="H130:H131" si="88">G130/E130</f>
        <v>4.233905579399142</v>
      </c>
      <c r="I130" s="97">
        <f t="shared" si="86"/>
        <v>78.019043065179929</v>
      </c>
      <c r="J130" s="83">
        <f t="shared" ref="J130:J133" si="89">I130*H130</f>
        <v>330.32526173304723</v>
      </c>
    </row>
    <row r="131" spans="1:14">
      <c r="A131" s="16"/>
      <c r="B131" s="5" t="s">
        <v>46</v>
      </c>
      <c r="C131" s="94">
        <v>3</v>
      </c>
      <c r="D131" s="7">
        <v>9852.2511500000001</v>
      </c>
      <c r="E131" s="94">
        <f>E129</f>
        <v>466</v>
      </c>
      <c r="F131" s="94">
        <v>1973</v>
      </c>
      <c r="G131" s="6">
        <f t="shared" si="87"/>
        <v>5919</v>
      </c>
      <c r="H131" s="6">
        <f t="shared" si="88"/>
        <v>12.701716738197424</v>
      </c>
      <c r="I131" s="97">
        <f t="shared" si="86"/>
        <v>78.019043065179929</v>
      </c>
      <c r="J131" s="83">
        <f t="shared" si="89"/>
        <v>990.97578519914157</v>
      </c>
    </row>
    <row r="132" spans="1:14">
      <c r="A132" s="16"/>
      <c r="B132" s="5" t="s">
        <v>88</v>
      </c>
      <c r="C132" s="94">
        <v>1.5</v>
      </c>
      <c r="D132" s="7">
        <v>9852.2511500000001</v>
      </c>
      <c r="E132" s="94">
        <f>E129</f>
        <v>466</v>
      </c>
      <c r="F132" s="94">
        <v>1973</v>
      </c>
      <c r="G132" s="6">
        <f t="shared" si="87"/>
        <v>2959.5</v>
      </c>
      <c r="H132" s="6">
        <f>G132/E132</f>
        <v>6.3508583690987122</v>
      </c>
      <c r="I132" s="97">
        <f t="shared" si="86"/>
        <v>78.019043065179929</v>
      </c>
      <c r="J132" s="83">
        <f t="shared" si="89"/>
        <v>495.48789259957078</v>
      </c>
    </row>
    <row r="133" spans="1:14">
      <c r="A133" s="16"/>
      <c r="B133" s="5" t="s">
        <v>47</v>
      </c>
      <c r="C133" s="94">
        <v>1.5</v>
      </c>
      <c r="D133" s="7">
        <v>9852.2511500000001</v>
      </c>
      <c r="E133" s="94">
        <f>E129</f>
        <v>466</v>
      </c>
      <c r="F133" s="94">
        <v>1973</v>
      </c>
      <c r="G133" s="6">
        <f t="shared" si="87"/>
        <v>2959.5</v>
      </c>
      <c r="H133" s="6">
        <f t="shared" ref="H133" si="90">G133/E133</f>
        <v>6.3508583690987122</v>
      </c>
      <c r="I133" s="97">
        <f t="shared" si="86"/>
        <v>78.019043065179929</v>
      </c>
      <c r="J133" s="83">
        <f t="shared" si="89"/>
        <v>495.48789259957078</v>
      </c>
    </row>
    <row r="134" spans="1:14">
      <c r="A134" s="16"/>
      <c r="B134" s="5"/>
      <c r="C134" s="94"/>
      <c r="D134" s="5"/>
      <c r="E134" s="94">
        <f>E129</f>
        <v>466</v>
      </c>
      <c r="F134" s="94">
        <v>1973</v>
      </c>
      <c r="G134" s="6"/>
      <c r="H134" s="6"/>
      <c r="I134" s="97">
        <f t="shared" si="86"/>
        <v>0</v>
      </c>
      <c r="J134" s="83">
        <f t="shared" ref="J134" si="91">I134*H134</f>
        <v>0</v>
      </c>
    </row>
    <row r="135" spans="1:14" ht="15.75" thickBot="1">
      <c r="A135" s="17"/>
      <c r="B135" s="18"/>
      <c r="C135" s="98">
        <f>SUM(C129:C134)</f>
        <v>16</v>
      </c>
      <c r="D135" s="18"/>
      <c r="E135" s="95"/>
      <c r="F135" s="95"/>
      <c r="G135" s="19"/>
      <c r="H135" s="19"/>
      <c r="I135" s="98"/>
      <c r="J135" s="87">
        <f>SUM(J129:J134)</f>
        <v>5285.2041877287547</v>
      </c>
    </row>
    <row r="136" spans="1:14" ht="15.75" thickBot="1">
      <c r="A136" s="51"/>
      <c r="B136" s="52"/>
      <c r="C136" s="52"/>
      <c r="D136" s="52"/>
      <c r="E136" s="96"/>
      <c r="F136" s="96"/>
      <c r="G136" s="55"/>
      <c r="H136" s="160" t="s">
        <v>60</v>
      </c>
      <c r="I136" s="161"/>
      <c r="J136" s="85">
        <f>J135-J137</f>
        <v>0</v>
      </c>
      <c r="K136" s="50">
        <f>J136*122</f>
        <v>0</v>
      </c>
      <c r="L136" s="50"/>
      <c r="M136" s="50">
        <f>L136-K136</f>
        <v>0</v>
      </c>
    </row>
    <row r="137" spans="1:14" ht="15.75" thickBot="1">
      <c r="A137" s="51"/>
      <c r="B137" s="52"/>
      <c r="C137" s="52"/>
      <c r="D137" s="71"/>
      <c r="E137" s="96"/>
      <c r="F137" s="96"/>
      <c r="G137" s="55"/>
      <c r="H137" s="160" t="s">
        <v>57</v>
      </c>
      <c r="I137" s="161"/>
      <c r="J137" s="85">
        <f>J129+J130+J131+J132+J133</f>
        <v>5285.2041877287547</v>
      </c>
      <c r="K137" s="130">
        <f>J137*E129</f>
        <v>2462905.1514815995</v>
      </c>
      <c r="L137" s="130">
        <f>(3969700+1198850-37497.6)*0.48</f>
        <v>2462905.1520000002</v>
      </c>
      <c r="M137" s="130">
        <f>L137-K137</f>
        <v>5.1840068772435188E-4</v>
      </c>
      <c r="N137" s="131">
        <f>L137/1.302/12/16</f>
        <v>9852.2511520737335</v>
      </c>
    </row>
    <row r="138" spans="1:14">
      <c r="A138" s="12" t="s">
        <v>71</v>
      </c>
      <c r="B138" s="13" t="s">
        <v>45</v>
      </c>
      <c r="C138" s="93">
        <v>6.75</v>
      </c>
      <c r="D138" s="7">
        <v>10407.58123</v>
      </c>
      <c r="E138" s="94">
        <f>ком.усл!A87</f>
        <v>309</v>
      </c>
      <c r="F138" s="94">
        <v>1973</v>
      </c>
      <c r="G138" s="14">
        <f>C138*F138</f>
        <v>13317.75</v>
      </c>
      <c r="H138" s="14">
        <f>G138/E138</f>
        <v>43.099514563106794</v>
      </c>
      <c r="I138" s="97">
        <f t="shared" ref="I138:I143" si="92">D138*12*1.302/1973</f>
        <v>82.416649334779521</v>
      </c>
      <c r="J138" s="82">
        <f>I138*H138</f>
        <v>3552.1175782467958</v>
      </c>
    </row>
    <row r="139" spans="1:14">
      <c r="A139" s="16"/>
      <c r="B139" s="5" t="s">
        <v>114</v>
      </c>
      <c r="C139" s="94">
        <v>0.25</v>
      </c>
      <c r="D139" s="7">
        <v>10407.58123</v>
      </c>
      <c r="E139" s="94">
        <f>E138</f>
        <v>309</v>
      </c>
      <c r="F139" s="94">
        <v>1973</v>
      </c>
      <c r="G139" s="6">
        <f t="shared" ref="G139:G143" si="93">C139*F139</f>
        <v>493.25</v>
      </c>
      <c r="H139" s="6">
        <f t="shared" ref="H139:H140" si="94">G139/E139</f>
        <v>1.5962783171521036</v>
      </c>
      <c r="I139" s="97">
        <f t="shared" si="92"/>
        <v>82.416649334779521</v>
      </c>
      <c r="J139" s="83">
        <f t="shared" ref="J139:J142" si="95">I139*H139</f>
        <v>131.55991030543689</v>
      </c>
    </row>
    <row r="140" spans="1:14">
      <c r="A140" s="16"/>
      <c r="B140" s="5" t="s">
        <v>46</v>
      </c>
      <c r="C140" s="94">
        <v>3</v>
      </c>
      <c r="D140" s="7">
        <v>10407.58123</v>
      </c>
      <c r="E140" s="94">
        <f>E138</f>
        <v>309</v>
      </c>
      <c r="F140" s="94">
        <v>1973</v>
      </c>
      <c r="G140" s="6">
        <f t="shared" si="93"/>
        <v>5919</v>
      </c>
      <c r="H140" s="6">
        <f t="shared" si="94"/>
        <v>19.155339805825243</v>
      </c>
      <c r="I140" s="97">
        <f t="shared" si="92"/>
        <v>82.416649334779521</v>
      </c>
      <c r="J140" s="83">
        <f t="shared" si="95"/>
        <v>1578.7189236652428</v>
      </c>
    </row>
    <row r="141" spans="1:14">
      <c r="A141" s="16"/>
      <c r="B141" s="5" t="s">
        <v>88</v>
      </c>
      <c r="C141" s="94">
        <v>0.75</v>
      </c>
      <c r="D141" s="7">
        <v>10407.58123</v>
      </c>
      <c r="E141" s="94">
        <f>E138</f>
        <v>309</v>
      </c>
      <c r="F141" s="94">
        <v>1973</v>
      </c>
      <c r="G141" s="6">
        <f t="shared" si="93"/>
        <v>1479.75</v>
      </c>
      <c r="H141" s="6">
        <f>G141/E141</f>
        <v>4.7888349514563107</v>
      </c>
      <c r="I141" s="97">
        <f t="shared" si="92"/>
        <v>82.416649334779521</v>
      </c>
      <c r="J141" s="83">
        <f t="shared" si="95"/>
        <v>394.67973091631069</v>
      </c>
    </row>
    <row r="142" spans="1:14">
      <c r="A142" s="16"/>
      <c r="B142" s="5" t="s">
        <v>47</v>
      </c>
      <c r="C142" s="94">
        <v>1.5</v>
      </c>
      <c r="D142" s="7">
        <v>10407.58123</v>
      </c>
      <c r="E142" s="94">
        <f>E138</f>
        <v>309</v>
      </c>
      <c r="F142" s="94">
        <v>1973</v>
      </c>
      <c r="G142" s="6">
        <f t="shared" si="93"/>
        <v>2959.5</v>
      </c>
      <c r="H142" s="6">
        <f t="shared" ref="H142:H143" si="96">G142/E142</f>
        <v>9.5776699029126213</v>
      </c>
      <c r="I142" s="97">
        <f t="shared" si="92"/>
        <v>82.416649334779521</v>
      </c>
      <c r="J142" s="83">
        <f t="shared" si="95"/>
        <v>789.35946183262138</v>
      </c>
    </row>
    <row r="143" spans="1:14">
      <c r="A143" s="16"/>
      <c r="B143" s="5" t="s">
        <v>106</v>
      </c>
      <c r="C143" s="94">
        <v>0.75</v>
      </c>
      <c r="D143" s="7">
        <v>10407.58123</v>
      </c>
      <c r="E143" s="94">
        <f>E138</f>
        <v>309</v>
      </c>
      <c r="F143" s="94">
        <v>1973</v>
      </c>
      <c r="G143" s="6">
        <f t="shared" si="93"/>
        <v>1479.75</v>
      </c>
      <c r="H143" s="6">
        <f t="shared" si="96"/>
        <v>4.7888349514563107</v>
      </c>
      <c r="I143" s="97">
        <f t="shared" si="92"/>
        <v>82.416649334779521</v>
      </c>
      <c r="J143" s="83">
        <f t="shared" ref="J143" si="97">I143*H143</f>
        <v>394.67973091631069</v>
      </c>
    </row>
    <row r="144" spans="1:14" ht="15.75" thickBot="1">
      <c r="A144" s="17"/>
      <c r="B144" s="18"/>
      <c r="C144" s="98">
        <f>SUM(C138:C143)</f>
        <v>13</v>
      </c>
      <c r="D144" s="18"/>
      <c r="E144" s="95"/>
      <c r="F144" s="95"/>
      <c r="G144" s="19"/>
      <c r="H144" s="19"/>
      <c r="I144" s="98"/>
      <c r="J144" s="87">
        <f>SUM(J138:J143)</f>
        <v>6841.1153358827178</v>
      </c>
    </row>
    <row r="145" spans="1:14" ht="15.75" thickBot="1">
      <c r="A145" s="51"/>
      <c r="B145" s="52"/>
      <c r="C145" s="52"/>
      <c r="D145" s="52"/>
      <c r="E145" s="96"/>
      <c r="F145" s="96"/>
      <c r="G145" s="55"/>
      <c r="H145" s="160" t="s">
        <v>60</v>
      </c>
      <c r="I145" s="161"/>
      <c r="J145" s="85">
        <f>J144-J146</f>
        <v>0</v>
      </c>
      <c r="K145" s="50">
        <f>J145*122</f>
        <v>0</v>
      </c>
      <c r="L145" s="50"/>
      <c r="M145" s="50">
        <f>L145-K145</f>
        <v>0</v>
      </c>
    </row>
    <row r="146" spans="1:14" ht="15.75" thickBot="1">
      <c r="A146" s="51"/>
      <c r="B146" s="52"/>
      <c r="C146" s="52"/>
      <c r="D146" s="71"/>
      <c r="E146" s="119"/>
      <c r="F146" s="96"/>
      <c r="G146" s="55"/>
      <c r="H146" s="160" t="s">
        <v>57</v>
      </c>
      <c r="I146" s="161"/>
      <c r="J146" s="85">
        <f>J138+J139+J140+J141+J142+J143</f>
        <v>6841.1153358827178</v>
      </c>
      <c r="K146" s="130">
        <f>J146*E138</f>
        <v>2113904.6387877599</v>
      </c>
      <c r="L146" s="130">
        <f>(3584550+1082520-648103.88-30466.8)*0.53</f>
        <v>2113904.6396000003</v>
      </c>
      <c r="M146" s="130">
        <f>L146-K146</f>
        <v>8.1224041059613228E-4</v>
      </c>
      <c r="N146" s="131">
        <f>L146/1.302/12/13</f>
        <v>10407.581233998977</v>
      </c>
    </row>
    <row r="147" spans="1:14">
      <c r="A147" s="12" t="s">
        <v>72</v>
      </c>
      <c r="B147" s="13" t="s">
        <v>45</v>
      </c>
      <c r="C147" s="93">
        <v>8.25</v>
      </c>
      <c r="D147" s="7">
        <v>10104.208850000001</v>
      </c>
      <c r="E147" s="94">
        <f>ком.усл!A92</f>
        <v>490</v>
      </c>
      <c r="F147" s="94">
        <v>1973</v>
      </c>
      <c r="G147" s="14">
        <f>C147*F147</f>
        <v>16277.25</v>
      </c>
      <c r="H147" s="14">
        <f>G147/E147</f>
        <v>33.218877551020405</v>
      </c>
      <c r="I147" s="97">
        <f t="shared" ref="I147:I152" si="98">D147*12*1.302/1973</f>
        <v>80.014272211049175</v>
      </c>
      <c r="J147" s="82">
        <f>I147*H147</f>
        <v>2657.9843109128574</v>
      </c>
    </row>
    <row r="148" spans="1:14">
      <c r="A148" s="16"/>
      <c r="B148" s="5" t="s">
        <v>106</v>
      </c>
      <c r="C148" s="94">
        <v>2</v>
      </c>
      <c r="D148" s="7">
        <v>10104.208850000001</v>
      </c>
      <c r="E148" s="94">
        <f>E147</f>
        <v>490</v>
      </c>
      <c r="F148" s="94">
        <v>1973</v>
      </c>
      <c r="G148" s="6">
        <f t="shared" ref="G148:G151" si="99">C148*F148</f>
        <v>3946</v>
      </c>
      <c r="H148" s="6">
        <f t="shared" ref="H148:H149" si="100">G148/E148</f>
        <v>8.0530612244897952</v>
      </c>
      <c r="I148" s="97">
        <f t="shared" si="98"/>
        <v>80.014272211049175</v>
      </c>
      <c r="J148" s="83">
        <f t="shared" ref="J148:J151" si="101">I148*H148</f>
        <v>644.35983294857147</v>
      </c>
    </row>
    <row r="149" spans="1:14">
      <c r="A149" s="16"/>
      <c r="B149" s="5" t="s">
        <v>46</v>
      </c>
      <c r="C149" s="94">
        <v>6</v>
      </c>
      <c r="D149" s="7">
        <v>10104.208850000001</v>
      </c>
      <c r="E149" s="94">
        <f>E147</f>
        <v>490</v>
      </c>
      <c r="F149" s="94">
        <v>1973</v>
      </c>
      <c r="G149" s="6">
        <f t="shared" si="99"/>
        <v>11838</v>
      </c>
      <c r="H149" s="6">
        <f t="shared" si="100"/>
        <v>24.159183673469389</v>
      </c>
      <c r="I149" s="97">
        <f t="shared" si="98"/>
        <v>80.014272211049175</v>
      </c>
      <c r="J149" s="83">
        <f t="shared" si="101"/>
        <v>1933.0794988457146</v>
      </c>
    </row>
    <row r="150" spans="1:14">
      <c r="A150" s="16"/>
      <c r="B150" s="5" t="s">
        <v>88</v>
      </c>
      <c r="C150" s="94">
        <v>2.75</v>
      </c>
      <c r="D150" s="7">
        <v>10104.208850000001</v>
      </c>
      <c r="E150" s="94">
        <f>E147</f>
        <v>490</v>
      </c>
      <c r="F150" s="94">
        <v>1973</v>
      </c>
      <c r="G150" s="6">
        <f t="shared" si="99"/>
        <v>5425.75</v>
      </c>
      <c r="H150" s="6">
        <f>G150/E150</f>
        <v>11.07295918367347</v>
      </c>
      <c r="I150" s="97">
        <f t="shared" si="98"/>
        <v>80.014272211049175</v>
      </c>
      <c r="J150" s="83">
        <f t="shared" si="101"/>
        <v>885.99477030428591</v>
      </c>
    </row>
    <row r="151" spans="1:14">
      <c r="A151" s="16"/>
      <c r="B151" s="5" t="s">
        <v>47</v>
      </c>
      <c r="C151" s="94">
        <v>3.75</v>
      </c>
      <c r="D151" s="7">
        <v>10104.208850000001</v>
      </c>
      <c r="E151" s="94">
        <f>E147</f>
        <v>490</v>
      </c>
      <c r="F151" s="94">
        <v>1973</v>
      </c>
      <c r="G151" s="6">
        <f t="shared" si="99"/>
        <v>7398.75</v>
      </c>
      <c r="H151" s="6">
        <f t="shared" ref="H151" si="102">G151/E151</f>
        <v>15.099489795918368</v>
      </c>
      <c r="I151" s="97">
        <f t="shared" si="98"/>
        <v>80.014272211049175</v>
      </c>
      <c r="J151" s="83">
        <f t="shared" si="101"/>
        <v>1208.1746867785716</v>
      </c>
    </row>
    <row r="152" spans="1:14">
      <c r="A152" s="16"/>
      <c r="B152" s="5"/>
      <c r="C152" s="94"/>
      <c r="D152" s="5"/>
      <c r="E152" s="94">
        <f>E147</f>
        <v>490</v>
      </c>
      <c r="F152" s="94">
        <v>1973</v>
      </c>
      <c r="G152" s="6"/>
      <c r="H152" s="6"/>
      <c r="I152" s="97">
        <f t="shared" si="98"/>
        <v>0</v>
      </c>
      <c r="J152" s="83">
        <f t="shared" ref="J152" si="103">I152*H152</f>
        <v>0</v>
      </c>
    </row>
    <row r="153" spans="1:14" ht="15.75" thickBot="1">
      <c r="A153" s="17"/>
      <c r="B153" s="18"/>
      <c r="C153" s="95">
        <f>SUM(C147:C152)</f>
        <v>22.75</v>
      </c>
      <c r="D153" s="18"/>
      <c r="E153" s="95"/>
      <c r="F153" s="95"/>
      <c r="G153" s="19"/>
      <c r="H153" s="19"/>
      <c r="I153" s="98"/>
      <c r="J153" s="87">
        <f>SUM(J147:J152)</f>
        <v>7329.5930997900014</v>
      </c>
    </row>
    <row r="154" spans="1:14" ht="15.75" thickBot="1">
      <c r="A154" s="51"/>
      <c r="B154" s="52"/>
      <c r="C154" s="52"/>
      <c r="D154" s="52"/>
      <c r="E154" s="96"/>
      <c r="F154" s="96"/>
      <c r="G154" s="55"/>
      <c r="H154" s="160" t="s">
        <v>60</v>
      </c>
      <c r="I154" s="161"/>
      <c r="J154" s="85">
        <f>J153-J155</f>
        <v>0</v>
      </c>
      <c r="K154" s="50">
        <f>J154*122</f>
        <v>0</v>
      </c>
      <c r="L154" s="50"/>
      <c r="M154" s="50">
        <f>L154-K154</f>
        <v>0</v>
      </c>
    </row>
    <row r="155" spans="1:14" ht="15.75" thickBot="1">
      <c r="A155" s="51"/>
      <c r="B155" s="52"/>
      <c r="C155" s="52"/>
      <c r="D155" s="71"/>
      <c r="E155" s="119"/>
      <c r="F155" s="96"/>
      <c r="G155" s="55"/>
      <c r="H155" s="160" t="s">
        <v>57</v>
      </c>
      <c r="I155" s="161"/>
      <c r="J155" s="85">
        <f>J147+J148+J149+J150+J151</f>
        <v>7329.5930997900014</v>
      </c>
      <c r="K155" s="130">
        <f>J155*E147</f>
        <v>3591500.6188971004</v>
      </c>
      <c r="L155" s="130">
        <f>(5667440+1711570+3900-53316.9)*0.49</f>
        <v>3591500.6189999999</v>
      </c>
      <c r="M155" s="130">
        <f>L155-K155</f>
        <v>1.0289950296282768E-4</v>
      </c>
      <c r="N155" s="131">
        <f>L155/1.302/12/22.75</f>
        <v>10104.208850289495</v>
      </c>
    </row>
    <row r="156" spans="1:14">
      <c r="A156" s="12" t="s">
        <v>73</v>
      </c>
      <c r="B156" s="13" t="s">
        <v>45</v>
      </c>
      <c r="C156" s="93">
        <v>3</v>
      </c>
      <c r="D156" s="7">
        <v>8909.6958799999993</v>
      </c>
      <c r="E156" s="94">
        <f>ком.усл!A98</f>
        <v>125</v>
      </c>
      <c r="F156" s="94">
        <v>1973</v>
      </c>
      <c r="G156" s="14">
        <f>C156*F156</f>
        <v>5919</v>
      </c>
      <c r="H156" s="14">
        <f>G156/E156</f>
        <v>47.351999999999997</v>
      </c>
      <c r="I156" s="97">
        <f t="shared" ref="I156:I161" si="104">D156*12*1.302/1973</f>
        <v>70.555037216989348</v>
      </c>
      <c r="J156" s="82">
        <f>I156*H156</f>
        <v>3340.9221222988795</v>
      </c>
    </row>
    <row r="157" spans="1:14">
      <c r="A157" s="16"/>
      <c r="B157" s="5" t="s">
        <v>106</v>
      </c>
      <c r="C157" s="94">
        <v>0.75</v>
      </c>
      <c r="D157" s="7">
        <v>8909.6958799999993</v>
      </c>
      <c r="E157" s="94">
        <f>E156</f>
        <v>125</v>
      </c>
      <c r="F157" s="94">
        <v>1973</v>
      </c>
      <c r="G157" s="6">
        <f t="shared" ref="G157:G160" si="105">C157*F157</f>
        <v>1479.75</v>
      </c>
      <c r="H157" s="6">
        <f t="shared" ref="H157:H158" si="106">G157/E157</f>
        <v>11.837999999999999</v>
      </c>
      <c r="I157" s="97">
        <f t="shared" si="104"/>
        <v>70.555037216989348</v>
      </c>
      <c r="J157" s="83">
        <f t="shared" ref="J157:J160" si="107">I157*H157</f>
        <v>835.23053057471986</v>
      </c>
    </row>
    <row r="158" spans="1:14">
      <c r="A158" s="16"/>
      <c r="B158" s="5" t="s">
        <v>46</v>
      </c>
      <c r="C158" s="94">
        <v>3</v>
      </c>
      <c r="D158" s="7">
        <v>8909.6958799999993</v>
      </c>
      <c r="E158" s="94">
        <f>E156</f>
        <v>125</v>
      </c>
      <c r="F158" s="94">
        <v>1973</v>
      </c>
      <c r="G158" s="6">
        <f t="shared" si="105"/>
        <v>5919</v>
      </c>
      <c r="H158" s="6">
        <f t="shared" si="106"/>
        <v>47.351999999999997</v>
      </c>
      <c r="I158" s="97">
        <f t="shared" si="104"/>
        <v>70.555037216989348</v>
      </c>
      <c r="J158" s="83">
        <f t="shared" si="107"/>
        <v>3340.9221222988795</v>
      </c>
    </row>
    <row r="159" spans="1:14">
      <c r="A159" s="16"/>
      <c r="B159" s="5" t="s">
        <v>88</v>
      </c>
      <c r="C159" s="94">
        <v>0.75</v>
      </c>
      <c r="D159" s="7">
        <v>8909.6958799999993</v>
      </c>
      <c r="E159" s="94">
        <f>E156</f>
        <v>125</v>
      </c>
      <c r="F159" s="94">
        <v>1973</v>
      </c>
      <c r="G159" s="6">
        <f t="shared" si="105"/>
        <v>1479.75</v>
      </c>
      <c r="H159" s="6">
        <f>G159/E159</f>
        <v>11.837999999999999</v>
      </c>
      <c r="I159" s="97">
        <f t="shared" si="104"/>
        <v>70.555037216989348</v>
      </c>
      <c r="J159" s="83">
        <f t="shared" si="107"/>
        <v>835.23053057471986</v>
      </c>
    </row>
    <row r="160" spans="1:14">
      <c r="A160" s="16"/>
      <c r="B160" s="5" t="s">
        <v>47</v>
      </c>
      <c r="C160" s="94">
        <v>0.75</v>
      </c>
      <c r="D160" s="7">
        <v>8909.6958799999993</v>
      </c>
      <c r="E160" s="94">
        <f>E156</f>
        <v>125</v>
      </c>
      <c r="F160" s="94">
        <v>1973</v>
      </c>
      <c r="G160" s="6">
        <f t="shared" si="105"/>
        <v>1479.75</v>
      </c>
      <c r="H160" s="6">
        <f t="shared" ref="H160" si="108">G160/E160</f>
        <v>11.837999999999999</v>
      </c>
      <c r="I160" s="97">
        <f t="shared" si="104"/>
        <v>70.555037216989348</v>
      </c>
      <c r="J160" s="83">
        <f t="shared" si="107"/>
        <v>835.23053057471986</v>
      </c>
    </row>
    <row r="161" spans="1:14">
      <c r="A161" s="16"/>
      <c r="B161" s="5"/>
      <c r="C161" s="94"/>
      <c r="D161" s="5"/>
      <c r="E161" s="94">
        <f>E156</f>
        <v>125</v>
      </c>
      <c r="F161" s="94">
        <v>1973</v>
      </c>
      <c r="G161" s="6"/>
      <c r="H161" s="6"/>
      <c r="I161" s="97">
        <f t="shared" si="104"/>
        <v>0</v>
      </c>
      <c r="J161" s="83">
        <f t="shared" ref="J161" si="109">I161*H161</f>
        <v>0</v>
      </c>
    </row>
    <row r="162" spans="1:14" ht="15.75" thickBot="1">
      <c r="A162" s="17"/>
      <c r="B162" s="18"/>
      <c r="C162" s="98">
        <f>SUM(C156:C161)</f>
        <v>8.25</v>
      </c>
      <c r="D162" s="18"/>
      <c r="E162" s="95"/>
      <c r="F162" s="95"/>
      <c r="G162" s="19"/>
      <c r="H162" s="19"/>
      <c r="I162" s="98"/>
      <c r="J162" s="87">
        <f>SUM(J156:J161)</f>
        <v>9187.5358363219184</v>
      </c>
    </row>
    <row r="163" spans="1:14" ht="15.75" thickBot="1">
      <c r="A163" s="51"/>
      <c r="B163" s="52"/>
      <c r="C163" s="52"/>
      <c r="D163" s="52"/>
      <c r="E163" s="96"/>
      <c r="F163" s="96"/>
      <c r="G163" s="55"/>
      <c r="H163" s="160" t="s">
        <v>60</v>
      </c>
      <c r="I163" s="161"/>
      <c r="J163" s="85">
        <f>J162-J164</f>
        <v>0</v>
      </c>
      <c r="K163" s="50">
        <f>J163*122</f>
        <v>0</v>
      </c>
      <c r="L163" s="50"/>
      <c r="M163" s="50">
        <f>L163-K163</f>
        <v>0</v>
      </c>
    </row>
    <row r="164" spans="1:14" ht="15.75" thickBot="1">
      <c r="A164" s="51"/>
      <c r="B164" s="52"/>
      <c r="C164" s="52"/>
      <c r="D164" s="71"/>
      <c r="E164" s="119"/>
      <c r="F164" s="96"/>
      <c r="G164" s="55"/>
      <c r="H164" s="160" t="s">
        <v>57</v>
      </c>
      <c r="I164" s="161"/>
      <c r="J164" s="85">
        <f>J156+J157+J158+J159+J160</f>
        <v>9187.5358363219184</v>
      </c>
      <c r="K164" s="130">
        <f>J164*E156</f>
        <v>1148441.9795402398</v>
      </c>
      <c r="L164" s="130">
        <f>(2066160+623970-19334.7)*0.43</f>
        <v>1148441.9789999998</v>
      </c>
      <c r="M164" s="130">
        <f>L164-K164</f>
        <v>-5.402399692684412E-4</v>
      </c>
      <c r="N164" s="131">
        <f>L164/1.302/12/8.25</f>
        <v>8909.6958758087785</v>
      </c>
    </row>
    <row r="165" spans="1:14">
      <c r="A165" s="12" t="s">
        <v>74</v>
      </c>
      <c r="B165" s="13" t="s">
        <v>45</v>
      </c>
      <c r="C165" s="93">
        <v>3.75</v>
      </c>
      <c r="D165" s="7">
        <v>10561.249620000001</v>
      </c>
      <c r="E165" s="94">
        <f>ком.усл!A103</f>
        <v>131</v>
      </c>
      <c r="F165" s="94">
        <v>1973</v>
      </c>
      <c r="G165" s="14">
        <f>C165*F165</f>
        <v>7398.75</v>
      </c>
      <c r="H165" s="14">
        <f>G165/E165</f>
        <v>56.479007633587784</v>
      </c>
      <c r="I165" s="97">
        <f t="shared" ref="I165:I170" si="110">D165*12*1.302/1973</f>
        <v>83.633534750572736</v>
      </c>
      <c r="J165" s="82">
        <f>I165*H165</f>
        <v>4723.5390476015264</v>
      </c>
    </row>
    <row r="166" spans="1:14">
      <c r="A166" s="16"/>
      <c r="B166" s="5" t="s">
        <v>107</v>
      </c>
      <c r="C166" s="94"/>
      <c r="D166" s="7">
        <v>10561.249620000001</v>
      </c>
      <c r="E166" s="94">
        <f>E165</f>
        <v>131</v>
      </c>
      <c r="F166" s="94">
        <v>1973</v>
      </c>
      <c r="G166" s="6">
        <f t="shared" ref="G166:G169" si="111">C166*F166</f>
        <v>0</v>
      </c>
      <c r="H166" s="6">
        <f t="shared" ref="H166:H167" si="112">G166/E166</f>
        <v>0</v>
      </c>
      <c r="I166" s="97">
        <f t="shared" si="110"/>
        <v>83.633534750572736</v>
      </c>
      <c r="J166" s="83">
        <f t="shared" ref="J166:J169" si="113">I166*H166</f>
        <v>0</v>
      </c>
    </row>
    <row r="167" spans="1:14">
      <c r="A167" s="16"/>
      <c r="B167" s="5" t="s">
        <v>46</v>
      </c>
      <c r="C167" s="94">
        <v>3</v>
      </c>
      <c r="D167" s="7">
        <v>10561.249620000001</v>
      </c>
      <c r="E167" s="94">
        <f>E165</f>
        <v>131</v>
      </c>
      <c r="F167" s="94">
        <v>1973</v>
      </c>
      <c r="G167" s="6">
        <f t="shared" si="111"/>
        <v>5919</v>
      </c>
      <c r="H167" s="6">
        <f t="shared" si="112"/>
        <v>45.18320610687023</v>
      </c>
      <c r="I167" s="97">
        <f t="shared" si="110"/>
        <v>83.633534750572736</v>
      </c>
      <c r="J167" s="83">
        <f t="shared" si="113"/>
        <v>3778.8312380812217</v>
      </c>
    </row>
    <row r="168" spans="1:14">
      <c r="A168" s="16"/>
      <c r="B168" s="5" t="s">
        <v>88</v>
      </c>
      <c r="C168" s="94">
        <v>0.75</v>
      </c>
      <c r="D168" s="7">
        <v>10561.249620000001</v>
      </c>
      <c r="E168" s="94">
        <f>E165</f>
        <v>131</v>
      </c>
      <c r="F168" s="94">
        <v>1973</v>
      </c>
      <c r="G168" s="6">
        <f t="shared" si="111"/>
        <v>1479.75</v>
      </c>
      <c r="H168" s="6">
        <f>G168/E168</f>
        <v>11.295801526717558</v>
      </c>
      <c r="I168" s="97">
        <f t="shared" si="110"/>
        <v>83.633534750572736</v>
      </c>
      <c r="J168" s="83">
        <f t="shared" si="113"/>
        <v>944.70780952030543</v>
      </c>
    </row>
    <row r="169" spans="1:14">
      <c r="A169" s="16"/>
      <c r="B169" s="5" t="s">
        <v>47</v>
      </c>
      <c r="C169" s="94">
        <v>1</v>
      </c>
      <c r="D169" s="7">
        <v>10561.249620000001</v>
      </c>
      <c r="E169" s="94">
        <f>E165</f>
        <v>131</v>
      </c>
      <c r="F169" s="94">
        <v>1973</v>
      </c>
      <c r="G169" s="6">
        <f t="shared" si="111"/>
        <v>1973</v>
      </c>
      <c r="H169" s="6">
        <f t="shared" ref="H169" si="114">G169/E169</f>
        <v>15.061068702290076</v>
      </c>
      <c r="I169" s="97">
        <f t="shared" si="110"/>
        <v>83.633534750572736</v>
      </c>
      <c r="J169" s="83">
        <f t="shared" si="113"/>
        <v>1259.6104126937405</v>
      </c>
    </row>
    <row r="170" spans="1:14">
      <c r="A170" s="16"/>
      <c r="B170" s="5"/>
      <c r="C170" s="94"/>
      <c r="D170" s="5"/>
      <c r="E170" s="94">
        <f>E165</f>
        <v>131</v>
      </c>
      <c r="F170" s="94">
        <v>1973</v>
      </c>
      <c r="G170" s="6"/>
      <c r="H170" s="6"/>
      <c r="I170" s="97">
        <f t="shared" si="110"/>
        <v>0</v>
      </c>
      <c r="J170" s="83">
        <f t="shared" ref="J170" si="115">I170*H170</f>
        <v>0</v>
      </c>
    </row>
    <row r="171" spans="1:14" ht="15.75" thickBot="1">
      <c r="A171" s="17"/>
      <c r="B171" s="18"/>
      <c r="C171" s="95">
        <f>SUM(C165:C170)</f>
        <v>8.5</v>
      </c>
      <c r="D171" s="18"/>
      <c r="E171" s="95"/>
      <c r="F171" s="95"/>
      <c r="G171" s="19"/>
      <c r="H171" s="19"/>
      <c r="I171" s="98"/>
      <c r="J171" s="87">
        <f>SUM(J165:J170)</f>
        <v>10706.688507896793</v>
      </c>
    </row>
    <row r="172" spans="1:14" ht="15.75" thickBot="1">
      <c r="A172" s="51"/>
      <c r="B172" s="52"/>
      <c r="C172" s="52"/>
      <c r="D172" s="52"/>
      <c r="E172" s="96"/>
      <c r="F172" s="96"/>
      <c r="G172" s="55"/>
      <c r="H172" s="160" t="s">
        <v>60</v>
      </c>
      <c r="I172" s="161"/>
      <c r="J172" s="85">
        <f>J171-J173</f>
        <v>0</v>
      </c>
      <c r="K172" s="50">
        <f>J172*122</f>
        <v>0</v>
      </c>
      <c r="L172" s="50"/>
      <c r="M172" s="50">
        <f>L172-K172</f>
        <v>0</v>
      </c>
    </row>
    <row r="173" spans="1:14" ht="15.75" thickBot="1">
      <c r="A173" s="51"/>
      <c r="B173" s="52"/>
      <c r="C173" s="52"/>
      <c r="D173" s="52"/>
      <c r="E173" s="96"/>
      <c r="F173" s="96"/>
      <c r="G173" s="55"/>
      <c r="H173" s="160" t="s">
        <v>57</v>
      </c>
      <c r="I173" s="161"/>
      <c r="J173" s="85">
        <f>J165+J166+J167+J168+J169</f>
        <v>10706.688507896793</v>
      </c>
      <c r="K173" s="130">
        <f>J173*E165</f>
        <v>1402576.1945344799</v>
      </c>
      <c r="L173" s="130">
        <f>(2127560+642510-19920.6)*0.51</f>
        <v>1402576.1939999999</v>
      </c>
      <c r="M173" s="130">
        <f>L173-K173</f>
        <v>-5.3447997197508812E-4</v>
      </c>
      <c r="N173" s="132">
        <f>L173/1.302/12/8.5</f>
        <v>10561.249615975421</v>
      </c>
    </row>
    <row r="174" spans="1:14">
      <c r="J174" s="72"/>
    </row>
    <row r="175" spans="1:14" ht="18.75">
      <c r="A175" s="54" t="s">
        <v>90</v>
      </c>
      <c r="J175" s="72"/>
    </row>
    <row r="176" spans="1:14" ht="80.650000000000006" customHeight="1">
      <c r="A176" s="4" t="s">
        <v>2</v>
      </c>
      <c r="B176" s="4" t="s">
        <v>4</v>
      </c>
      <c r="C176" s="70" t="s">
        <v>0</v>
      </c>
      <c r="D176" s="70" t="s">
        <v>13</v>
      </c>
      <c r="E176" s="117" t="s">
        <v>3</v>
      </c>
      <c r="F176" s="117" t="s">
        <v>1</v>
      </c>
      <c r="G176" s="70" t="s">
        <v>5</v>
      </c>
      <c r="H176" s="70" t="s">
        <v>7</v>
      </c>
      <c r="I176" s="117" t="s">
        <v>9</v>
      </c>
      <c r="J176" s="73" t="s">
        <v>11</v>
      </c>
      <c r="K176" s="2" t="s">
        <v>33</v>
      </c>
      <c r="L176" s="2" t="s">
        <v>34</v>
      </c>
      <c r="M176" s="2"/>
    </row>
    <row r="177" spans="1:14" ht="15.75" thickBot="1">
      <c r="A177" s="9">
        <v>1</v>
      </c>
      <c r="B177" s="10">
        <v>2</v>
      </c>
      <c r="C177" s="10">
        <v>3</v>
      </c>
      <c r="D177" s="10">
        <v>4</v>
      </c>
      <c r="E177" s="118">
        <v>5</v>
      </c>
      <c r="F177" s="118">
        <v>6</v>
      </c>
      <c r="G177" s="10" t="s">
        <v>6</v>
      </c>
      <c r="H177" s="9" t="s">
        <v>8</v>
      </c>
      <c r="I177" s="118" t="s">
        <v>10</v>
      </c>
      <c r="J177" s="74" t="s">
        <v>12</v>
      </c>
    </row>
    <row r="178" spans="1:14">
      <c r="A178" s="12" t="s">
        <v>64</v>
      </c>
      <c r="B178" s="13" t="s">
        <v>45</v>
      </c>
      <c r="C178" s="93">
        <v>3.25</v>
      </c>
      <c r="D178" s="7">
        <v>2351.1432799999998</v>
      </c>
      <c r="E178" s="94">
        <f>ком.усл!A113</f>
        <v>52</v>
      </c>
      <c r="F178" s="94">
        <v>1973</v>
      </c>
      <c r="G178" s="14">
        <f>C178*F178</f>
        <v>6412.25</v>
      </c>
      <c r="H178" s="14">
        <f>G178/E178</f>
        <v>123.3125</v>
      </c>
      <c r="I178" s="97">
        <f t="shared" ref="I178:I183" si="116">D178*12*1.302/1973</f>
        <v>18.618480794080078</v>
      </c>
      <c r="J178" s="82">
        <f>I178*H178</f>
        <v>2295.8914129199998</v>
      </c>
    </row>
    <row r="179" spans="1:14">
      <c r="A179" s="16"/>
      <c r="B179" s="5" t="s">
        <v>114</v>
      </c>
      <c r="C179" s="94">
        <v>0.125</v>
      </c>
      <c r="D179" s="7">
        <v>2351.1432799999998</v>
      </c>
      <c r="E179" s="94">
        <f>E178</f>
        <v>52</v>
      </c>
      <c r="F179" s="94">
        <v>1973</v>
      </c>
      <c r="G179" s="6">
        <f t="shared" ref="G179:G182" si="117">C179*F179</f>
        <v>246.625</v>
      </c>
      <c r="H179" s="6">
        <f t="shared" ref="H179:H180" si="118">G179/E179</f>
        <v>4.7427884615384617</v>
      </c>
      <c r="I179" s="97">
        <f t="shared" si="116"/>
        <v>18.618480794080078</v>
      </c>
      <c r="J179" s="83">
        <f t="shared" ref="J179:J182" si="119">I179*H179</f>
        <v>88.303515881538445</v>
      </c>
    </row>
    <row r="180" spans="1:14">
      <c r="A180" s="16"/>
      <c r="B180" s="5" t="s">
        <v>46</v>
      </c>
      <c r="C180" s="97">
        <v>3</v>
      </c>
      <c r="D180" s="7">
        <v>2351.1432799999998</v>
      </c>
      <c r="E180" s="94">
        <f>E178</f>
        <v>52</v>
      </c>
      <c r="F180" s="94">
        <v>1973</v>
      </c>
      <c r="G180" s="6">
        <f t="shared" si="117"/>
        <v>5919</v>
      </c>
      <c r="H180" s="6">
        <f t="shared" si="118"/>
        <v>113.82692307692308</v>
      </c>
      <c r="I180" s="97">
        <f t="shared" si="116"/>
        <v>18.618480794080078</v>
      </c>
      <c r="J180" s="83">
        <f t="shared" si="119"/>
        <v>2119.2843811569228</v>
      </c>
    </row>
    <row r="181" spans="1:14">
      <c r="A181" s="16"/>
      <c r="B181" s="5" t="s">
        <v>88</v>
      </c>
      <c r="C181" s="94">
        <v>0.75</v>
      </c>
      <c r="D181" s="7">
        <v>2351.1432799999998</v>
      </c>
      <c r="E181" s="94">
        <f>E178</f>
        <v>52</v>
      </c>
      <c r="F181" s="94">
        <v>1973</v>
      </c>
      <c r="G181" s="6">
        <f t="shared" si="117"/>
        <v>1479.75</v>
      </c>
      <c r="H181" s="6">
        <f>G181/E181</f>
        <v>28.45673076923077</v>
      </c>
      <c r="I181" s="97">
        <f t="shared" si="116"/>
        <v>18.618480794080078</v>
      </c>
      <c r="J181" s="83">
        <f t="shared" si="119"/>
        <v>529.8210952892307</v>
      </c>
    </row>
    <row r="182" spans="1:14">
      <c r="A182" s="16"/>
      <c r="B182" s="5" t="s">
        <v>47</v>
      </c>
      <c r="C182" s="94">
        <v>0.75</v>
      </c>
      <c r="D182" s="7">
        <v>2351.1432799999998</v>
      </c>
      <c r="E182" s="94">
        <f>E178</f>
        <v>52</v>
      </c>
      <c r="F182" s="94">
        <v>1973</v>
      </c>
      <c r="G182" s="6">
        <f t="shared" si="117"/>
        <v>1479.75</v>
      </c>
      <c r="H182" s="6">
        <f t="shared" ref="H182" si="120">G182/E182</f>
        <v>28.45673076923077</v>
      </c>
      <c r="I182" s="97">
        <f t="shared" si="116"/>
        <v>18.618480794080078</v>
      </c>
      <c r="J182" s="83">
        <f t="shared" si="119"/>
        <v>529.8210952892307</v>
      </c>
    </row>
    <row r="183" spans="1:14">
      <c r="A183" s="16"/>
      <c r="B183" s="5" t="s">
        <v>106</v>
      </c>
      <c r="C183" s="94">
        <v>0.75</v>
      </c>
      <c r="D183" s="7">
        <v>2351.1432799999998</v>
      </c>
      <c r="E183" s="94">
        <f>E178</f>
        <v>52</v>
      </c>
      <c r="F183" s="94">
        <v>1973</v>
      </c>
      <c r="G183" s="6">
        <f t="shared" ref="G183" si="121">C183*F183</f>
        <v>1479.75</v>
      </c>
      <c r="H183" s="6">
        <f t="shared" ref="H183" si="122">G183/E183</f>
        <v>28.45673076923077</v>
      </c>
      <c r="I183" s="97">
        <f t="shared" si="116"/>
        <v>18.618480794080078</v>
      </c>
      <c r="J183" s="83">
        <f t="shared" ref="J183" si="123">I183*H183</f>
        <v>529.8210952892307</v>
      </c>
    </row>
    <row r="184" spans="1:14">
      <c r="A184" s="16"/>
      <c r="B184" s="5"/>
      <c r="C184" s="94"/>
      <c r="D184" s="7">
        <v>2351.1432799999998</v>
      </c>
      <c r="E184" s="94"/>
      <c r="F184" s="94"/>
      <c r="G184" s="6"/>
      <c r="H184" s="6"/>
      <c r="I184" s="97"/>
      <c r="J184" s="83">
        <f t="shared" ref="J184" si="124">I184*H184</f>
        <v>0</v>
      </c>
    </row>
    <row r="185" spans="1:14" ht="15.75" thickBot="1">
      <c r="A185" s="17"/>
      <c r="B185" s="18"/>
      <c r="C185" s="95">
        <f>SUM(C178:C184)</f>
        <v>8.625</v>
      </c>
      <c r="D185" s="18"/>
      <c r="E185" s="95"/>
      <c r="F185" s="95"/>
      <c r="G185" s="19"/>
      <c r="H185" s="19"/>
      <c r="I185" s="98"/>
      <c r="J185" s="87">
        <f>SUM(J178:J184)</f>
        <v>6092.9425958261518</v>
      </c>
    </row>
    <row r="186" spans="1:14" ht="15.75" thickBot="1">
      <c r="A186" s="51"/>
      <c r="B186" s="52"/>
      <c r="C186" s="52"/>
      <c r="D186" s="52"/>
      <c r="E186" s="96"/>
      <c r="F186" s="96"/>
      <c r="G186" s="55"/>
      <c r="H186" s="160" t="s">
        <v>60</v>
      </c>
      <c r="I186" s="161"/>
      <c r="J186" s="85">
        <f>J185-J187</f>
        <v>0</v>
      </c>
      <c r="K186" s="50">
        <f>J186*122</f>
        <v>0</v>
      </c>
      <c r="L186" s="50"/>
      <c r="M186" s="50">
        <f>L186-K186</f>
        <v>0</v>
      </c>
    </row>
    <row r="187" spans="1:14" ht="15.75" thickBot="1">
      <c r="A187" s="51"/>
      <c r="B187" s="52"/>
      <c r="C187" s="52"/>
      <c r="D187" s="71"/>
      <c r="E187" s="96"/>
      <c r="F187" s="96"/>
      <c r="G187" s="55"/>
      <c r="H187" s="160" t="s">
        <v>57</v>
      </c>
      <c r="I187" s="161"/>
      <c r="J187" s="85">
        <f>J178+J179+J180+J181+J182+J183</f>
        <v>6092.9425958261518</v>
      </c>
      <c r="K187" s="130">
        <f>J187*E178</f>
        <v>316833.0149829599</v>
      </c>
      <c r="L187" s="130">
        <f>(2538540+766610-644661.33-20213.55)*0.12</f>
        <v>316833.01439999999</v>
      </c>
      <c r="M187" s="3">
        <f>L187-K187</f>
        <v>-5.8295991038903594E-4</v>
      </c>
      <c r="N187" s="90">
        <f>L187/1.302/12/8.625</f>
        <v>2351.143275673991</v>
      </c>
    </row>
    <row r="188" spans="1:14">
      <c r="A188" s="12" t="s">
        <v>67</v>
      </c>
      <c r="B188" s="13" t="s">
        <v>45</v>
      </c>
      <c r="C188" s="93">
        <v>5.75</v>
      </c>
      <c r="D188" s="7">
        <v>1241.5160000000001</v>
      </c>
      <c r="E188" s="94">
        <f>ком.усл!A118</f>
        <v>44</v>
      </c>
      <c r="F188" s="94">
        <v>1973</v>
      </c>
      <c r="G188" s="14">
        <f>C188*F188</f>
        <v>11344.75</v>
      </c>
      <c r="H188" s="14">
        <f>G188/E188</f>
        <v>257.83522727272725</v>
      </c>
      <c r="I188" s="97">
        <f t="shared" ref="I188:I193" si="125">D188*12*1.302/1973</f>
        <v>9.8314475337050187</v>
      </c>
      <c r="J188" s="82">
        <f>I188*H188</f>
        <v>2534.8935092727274</v>
      </c>
    </row>
    <row r="189" spans="1:14">
      <c r="A189" s="16"/>
      <c r="B189" s="5" t="s">
        <v>106</v>
      </c>
      <c r="C189" s="94">
        <v>3</v>
      </c>
      <c r="D189" s="7">
        <v>1241.5160000000001</v>
      </c>
      <c r="E189" s="94">
        <f>E188</f>
        <v>44</v>
      </c>
      <c r="F189" s="94">
        <v>1973</v>
      </c>
      <c r="G189" s="6">
        <f t="shared" ref="G189:G192" si="126">C189*F189</f>
        <v>5919</v>
      </c>
      <c r="H189" s="6">
        <f t="shared" ref="H189:H190" si="127">G189/E189</f>
        <v>134.52272727272728</v>
      </c>
      <c r="I189" s="97">
        <f t="shared" si="125"/>
        <v>9.8314475337050187</v>
      </c>
      <c r="J189" s="83">
        <f t="shared" ref="J189:J192" si="128">I189*H189</f>
        <v>1322.5531352727276</v>
      </c>
    </row>
    <row r="190" spans="1:14">
      <c r="A190" s="16"/>
      <c r="B190" s="5" t="s">
        <v>46</v>
      </c>
      <c r="C190" s="94">
        <v>6</v>
      </c>
      <c r="D190" s="7">
        <v>1241.5160000000001</v>
      </c>
      <c r="E190" s="94">
        <f>E188</f>
        <v>44</v>
      </c>
      <c r="F190" s="94">
        <v>1973</v>
      </c>
      <c r="G190" s="6">
        <f t="shared" si="126"/>
        <v>11838</v>
      </c>
      <c r="H190" s="6">
        <f t="shared" si="127"/>
        <v>269.04545454545456</v>
      </c>
      <c r="I190" s="97">
        <f t="shared" si="125"/>
        <v>9.8314475337050187</v>
      </c>
      <c r="J190" s="83">
        <f t="shared" si="128"/>
        <v>2645.1062705454551</v>
      </c>
    </row>
    <row r="191" spans="1:14">
      <c r="A191" s="16"/>
      <c r="B191" s="5" t="s">
        <v>88</v>
      </c>
      <c r="C191" s="94">
        <v>1.5</v>
      </c>
      <c r="D191" s="7">
        <v>1241.5160000000001</v>
      </c>
      <c r="E191" s="94">
        <f>E188</f>
        <v>44</v>
      </c>
      <c r="F191" s="94">
        <v>1973</v>
      </c>
      <c r="G191" s="6">
        <f t="shared" si="126"/>
        <v>2959.5</v>
      </c>
      <c r="H191" s="6">
        <f>G191/E191</f>
        <v>67.26136363636364</v>
      </c>
      <c r="I191" s="97">
        <f t="shared" si="125"/>
        <v>9.8314475337050187</v>
      </c>
      <c r="J191" s="83">
        <f t="shared" si="128"/>
        <v>661.27656763636378</v>
      </c>
    </row>
    <row r="192" spans="1:14">
      <c r="A192" s="16"/>
      <c r="B192" s="5" t="s">
        <v>47</v>
      </c>
      <c r="C192" s="94">
        <v>1.5</v>
      </c>
      <c r="D192" s="7">
        <v>1241.5160000000001</v>
      </c>
      <c r="E192" s="94">
        <f>E188</f>
        <v>44</v>
      </c>
      <c r="F192" s="94">
        <v>1973</v>
      </c>
      <c r="G192" s="6">
        <f t="shared" si="126"/>
        <v>2959.5</v>
      </c>
      <c r="H192" s="6">
        <f t="shared" ref="H192" si="129">G192/E192</f>
        <v>67.26136363636364</v>
      </c>
      <c r="I192" s="97">
        <f t="shared" si="125"/>
        <v>9.8314475337050187</v>
      </c>
      <c r="J192" s="83">
        <f t="shared" si="128"/>
        <v>661.27656763636378</v>
      </c>
    </row>
    <row r="193" spans="1:14">
      <c r="A193" s="16"/>
      <c r="B193" s="5"/>
      <c r="C193" s="94"/>
      <c r="D193" s="5"/>
      <c r="E193" s="94">
        <f>E188</f>
        <v>44</v>
      </c>
      <c r="F193" s="94">
        <v>1973</v>
      </c>
      <c r="G193" s="6"/>
      <c r="H193" s="6"/>
      <c r="I193" s="97">
        <f t="shared" si="125"/>
        <v>0</v>
      </c>
      <c r="J193" s="83">
        <f t="shared" ref="J193" si="130">I193*H193</f>
        <v>0</v>
      </c>
    </row>
    <row r="194" spans="1:14" ht="15.75" thickBot="1">
      <c r="A194" s="17"/>
      <c r="B194" s="18"/>
      <c r="C194" s="95">
        <f>SUM(C188:C193)</f>
        <v>17.75</v>
      </c>
      <c r="D194" s="18"/>
      <c r="E194" s="95"/>
      <c r="F194" s="95"/>
      <c r="G194" s="19"/>
      <c r="H194" s="19"/>
      <c r="I194" s="98"/>
      <c r="J194" s="87">
        <f>SUM(J188:J193)</f>
        <v>7825.1060503636363</v>
      </c>
    </row>
    <row r="195" spans="1:14" ht="15.75" thickBot="1">
      <c r="A195" s="51"/>
      <c r="B195" s="52"/>
      <c r="C195" s="52"/>
      <c r="D195" s="52"/>
      <c r="E195" s="96"/>
      <c r="F195" s="96"/>
      <c r="G195" s="55"/>
      <c r="H195" s="160" t="s">
        <v>60</v>
      </c>
      <c r="I195" s="161"/>
      <c r="J195" s="85">
        <f>J194-J196</f>
        <v>0</v>
      </c>
      <c r="K195" s="50">
        <f>J195*122</f>
        <v>0</v>
      </c>
      <c r="L195" s="50"/>
      <c r="M195" s="50">
        <f>L195-K195</f>
        <v>0</v>
      </c>
    </row>
    <row r="196" spans="1:14" ht="15.75" thickBot="1">
      <c r="A196" s="51"/>
      <c r="B196" s="52"/>
      <c r="C196" s="52"/>
      <c r="D196" s="71"/>
      <c r="E196" s="96"/>
      <c r="F196" s="96"/>
      <c r="G196" s="55"/>
      <c r="H196" s="160" t="s">
        <v>57</v>
      </c>
      <c r="I196" s="161"/>
      <c r="J196" s="85">
        <f>J188+J189+J190+J191+J192</f>
        <v>7825.1060503636363</v>
      </c>
      <c r="K196" s="130">
        <f>J196*E188</f>
        <v>344304.66621599998</v>
      </c>
      <c r="L196" s="130">
        <f>(4439340+1340670-41598.9)*0.06</f>
        <v>344304.66599999997</v>
      </c>
      <c r="M196" s="130">
        <f>L196-K196</f>
        <v>-2.1600001491606236E-4</v>
      </c>
      <c r="N196" s="131">
        <f>L196/1.302/12/17.75</f>
        <v>1241.5159992211331</v>
      </c>
    </row>
    <row r="197" spans="1:14">
      <c r="A197" s="12" t="s">
        <v>68</v>
      </c>
      <c r="B197" s="13" t="s">
        <v>45</v>
      </c>
      <c r="C197" s="93">
        <f>3.5+4</f>
        <v>7.5</v>
      </c>
      <c r="D197" s="7">
        <v>1243.8716300000001</v>
      </c>
      <c r="E197" s="94">
        <f>ком.усл!A123</f>
        <v>37</v>
      </c>
      <c r="F197" s="94">
        <v>1973</v>
      </c>
      <c r="G197" s="14">
        <f>C197*F197</f>
        <v>14797.5</v>
      </c>
      <c r="H197" s="14">
        <f>G197/E197</f>
        <v>399.93243243243245</v>
      </c>
      <c r="I197" s="97">
        <f t="shared" ref="I197:I202" si="131">D197*12*1.302/1973</f>
        <v>9.8501015444095312</v>
      </c>
      <c r="J197" s="82">
        <f>I197*H197</f>
        <v>3939.3750703621636</v>
      </c>
    </row>
    <row r="198" spans="1:14">
      <c r="A198" s="16"/>
      <c r="B198" s="5" t="s">
        <v>106</v>
      </c>
      <c r="C198" s="94">
        <v>1.75</v>
      </c>
      <c r="D198" s="7">
        <v>1243.8716300000001</v>
      </c>
      <c r="E198" s="94">
        <f>E197</f>
        <v>37</v>
      </c>
      <c r="F198" s="94">
        <v>1973</v>
      </c>
      <c r="G198" s="6">
        <f t="shared" ref="G198:G201" si="132">C198*F198</f>
        <v>3452.75</v>
      </c>
      <c r="H198" s="6">
        <f t="shared" ref="H198:H199" si="133">G198/E198</f>
        <v>93.317567567567565</v>
      </c>
      <c r="I198" s="97">
        <f t="shared" si="131"/>
        <v>9.8501015444095312</v>
      </c>
      <c r="J198" s="83">
        <f t="shared" ref="J198:J201" si="134">I198*H198</f>
        <v>919.18751641783808</v>
      </c>
    </row>
    <row r="199" spans="1:14">
      <c r="A199" s="16"/>
      <c r="B199" s="5" t="s">
        <v>46</v>
      </c>
      <c r="C199" s="94">
        <v>9</v>
      </c>
      <c r="D199" s="7">
        <v>1243.8716300000001</v>
      </c>
      <c r="E199" s="94">
        <f>E197</f>
        <v>37</v>
      </c>
      <c r="F199" s="94">
        <v>1973</v>
      </c>
      <c r="G199" s="6">
        <f t="shared" si="132"/>
        <v>17757</v>
      </c>
      <c r="H199" s="6">
        <f t="shared" si="133"/>
        <v>479.91891891891891</v>
      </c>
      <c r="I199" s="97">
        <f t="shared" si="131"/>
        <v>9.8501015444095312</v>
      </c>
      <c r="J199" s="83">
        <f t="shared" si="134"/>
        <v>4727.2500844345959</v>
      </c>
    </row>
    <row r="200" spans="1:14">
      <c r="A200" s="16"/>
      <c r="B200" s="5" t="s">
        <v>88</v>
      </c>
      <c r="C200" s="94">
        <v>1.5</v>
      </c>
      <c r="D200" s="7">
        <v>1243.8716300000001</v>
      </c>
      <c r="E200" s="94">
        <f>E197</f>
        <v>37</v>
      </c>
      <c r="F200" s="94">
        <v>1973</v>
      </c>
      <c r="G200" s="6">
        <f t="shared" si="132"/>
        <v>2959.5</v>
      </c>
      <c r="H200" s="6">
        <f>G200/E200</f>
        <v>79.986486486486484</v>
      </c>
      <c r="I200" s="97">
        <f t="shared" si="131"/>
        <v>9.8501015444095312</v>
      </c>
      <c r="J200" s="83">
        <f t="shared" si="134"/>
        <v>787.87501407243258</v>
      </c>
    </row>
    <row r="201" spans="1:14">
      <c r="A201" s="16"/>
      <c r="B201" s="5" t="s">
        <v>47</v>
      </c>
      <c r="C201" s="94">
        <f>2.45+1.5</f>
        <v>3.95</v>
      </c>
      <c r="D201" s="7">
        <v>1243.8716300000001</v>
      </c>
      <c r="E201" s="94">
        <f>E197</f>
        <v>37</v>
      </c>
      <c r="F201" s="94">
        <v>1973</v>
      </c>
      <c r="G201" s="6">
        <f t="shared" si="132"/>
        <v>7793.35</v>
      </c>
      <c r="H201" s="6">
        <f t="shared" ref="H201" si="135">G201/E201</f>
        <v>210.63108108108108</v>
      </c>
      <c r="I201" s="97">
        <f t="shared" si="131"/>
        <v>9.8501015444095312</v>
      </c>
      <c r="J201" s="83">
        <f t="shared" si="134"/>
        <v>2074.7375370574059</v>
      </c>
    </row>
    <row r="202" spans="1:14">
      <c r="A202" s="16"/>
      <c r="B202" s="5" t="s">
        <v>117</v>
      </c>
      <c r="C202" s="94">
        <v>1</v>
      </c>
      <c r="D202" s="7">
        <v>1243.8716300000001</v>
      </c>
      <c r="E202" s="94">
        <f>E197</f>
        <v>37</v>
      </c>
      <c r="F202" s="94">
        <v>1973</v>
      </c>
      <c r="G202" s="6">
        <f t="shared" ref="G202" si="136">C202*F202</f>
        <v>1973</v>
      </c>
      <c r="H202" s="6">
        <f t="shared" ref="H202" si="137">G202/E202</f>
        <v>53.324324324324323</v>
      </c>
      <c r="I202" s="97">
        <f t="shared" si="131"/>
        <v>9.8501015444095312</v>
      </c>
      <c r="J202" s="83">
        <f t="shared" ref="J202" si="138">I202*H202</f>
        <v>525.25000938162179</v>
      </c>
    </row>
    <row r="203" spans="1:14" ht="15.75" thickBot="1">
      <c r="A203" s="17"/>
      <c r="B203" s="18"/>
      <c r="C203" s="98">
        <f>SUM(C197:C202)</f>
        <v>24.7</v>
      </c>
      <c r="D203" s="18"/>
      <c r="E203" s="95"/>
      <c r="F203" s="95"/>
      <c r="G203" s="19"/>
      <c r="H203" s="19"/>
      <c r="I203" s="98"/>
      <c r="J203" s="87">
        <f>SUM(J197:J202)</f>
        <v>12973.675231726058</v>
      </c>
    </row>
    <row r="204" spans="1:14" ht="15.75" thickBot="1">
      <c r="A204" s="51"/>
      <c r="B204" s="52"/>
      <c r="C204" s="52"/>
      <c r="D204" s="52"/>
      <c r="E204" s="96"/>
      <c r="F204" s="96"/>
      <c r="G204" s="55"/>
      <c r="H204" s="160" t="s">
        <v>60</v>
      </c>
      <c r="I204" s="161"/>
      <c r="J204" s="85">
        <f>J203-J205</f>
        <v>0</v>
      </c>
      <c r="K204" s="50">
        <f>J204*122</f>
        <v>0</v>
      </c>
      <c r="L204" s="50"/>
      <c r="M204" s="50">
        <f>L204-K204</f>
        <v>0</v>
      </c>
    </row>
    <row r="205" spans="1:14" ht="15.75" thickBot="1">
      <c r="A205" s="51"/>
      <c r="B205" s="52"/>
      <c r="C205" s="52"/>
      <c r="D205" s="71"/>
      <c r="E205" s="119"/>
      <c r="F205" s="96"/>
      <c r="G205" s="55"/>
      <c r="H205" s="160" t="s">
        <v>57</v>
      </c>
      <c r="I205" s="161"/>
      <c r="J205" s="85">
        <f>J197+J198+J199+J200+J201+J202</f>
        <v>12973.675231726058</v>
      </c>
      <c r="K205" s="130">
        <f>J205*E197</f>
        <v>480025.98357386416</v>
      </c>
      <c r="L205" s="130">
        <f>(6186200+3900+1868220-57886.92)*0.06</f>
        <v>480025.98479999998</v>
      </c>
      <c r="M205" s="130">
        <f>L205-K205</f>
        <v>1.2261358206160367E-3</v>
      </c>
      <c r="N205" s="131">
        <f>L205/1.302/12/24.7</f>
        <v>1243.8716331772357</v>
      </c>
    </row>
    <row r="206" spans="1:14">
      <c r="A206" s="12" t="s">
        <v>69</v>
      </c>
      <c r="B206" s="13" t="s">
        <v>45</v>
      </c>
      <c r="C206" s="93">
        <v>6.25</v>
      </c>
      <c r="D206" s="7">
        <v>1594.84746</v>
      </c>
      <c r="E206" s="94">
        <f>ком.усл!A128</f>
        <v>75</v>
      </c>
      <c r="F206" s="94">
        <v>1973</v>
      </c>
      <c r="G206" s="14">
        <f>C206*F206</f>
        <v>12331.25</v>
      </c>
      <c r="H206" s="14">
        <f>G206/E206</f>
        <v>164.41666666666666</v>
      </c>
      <c r="I206" s="97">
        <f t="shared" ref="I206:I211" si="139">D206*12*1.302/1973</f>
        <v>12.629445876857577</v>
      </c>
      <c r="J206" s="82">
        <f>I206*H206</f>
        <v>2076.4913929199997</v>
      </c>
    </row>
    <row r="207" spans="1:14">
      <c r="A207" s="16"/>
      <c r="B207" s="5" t="s">
        <v>106</v>
      </c>
      <c r="C207" s="94">
        <v>0.75</v>
      </c>
      <c r="D207" s="7">
        <v>1594.84746</v>
      </c>
      <c r="E207" s="94">
        <f>E206</f>
        <v>75</v>
      </c>
      <c r="F207" s="94">
        <v>1973</v>
      </c>
      <c r="G207" s="6">
        <f t="shared" ref="G207:G210" si="140">C207*F207</f>
        <v>1479.75</v>
      </c>
      <c r="H207" s="6">
        <f t="shared" ref="H207:H208" si="141">G207/E207</f>
        <v>19.73</v>
      </c>
      <c r="I207" s="97">
        <f t="shared" si="139"/>
        <v>12.629445876857577</v>
      </c>
      <c r="J207" s="83">
        <f t="shared" ref="J207:J210" si="142">I207*H207</f>
        <v>249.17896715040001</v>
      </c>
    </row>
    <row r="208" spans="1:14">
      <c r="A208" s="16"/>
      <c r="B208" s="5" t="s">
        <v>46</v>
      </c>
      <c r="C208" s="94">
        <v>3</v>
      </c>
      <c r="D208" s="7">
        <v>1594.84746</v>
      </c>
      <c r="E208" s="94">
        <f>E206</f>
        <v>75</v>
      </c>
      <c r="F208" s="94">
        <v>1973</v>
      </c>
      <c r="G208" s="6">
        <f t="shared" si="140"/>
        <v>5919</v>
      </c>
      <c r="H208" s="6">
        <f t="shared" si="141"/>
        <v>78.92</v>
      </c>
      <c r="I208" s="97">
        <f t="shared" si="139"/>
        <v>12.629445876857577</v>
      </c>
      <c r="J208" s="83">
        <f t="shared" si="142"/>
        <v>996.71586860160005</v>
      </c>
    </row>
    <row r="209" spans="1:14">
      <c r="A209" s="16"/>
      <c r="B209" s="5" t="s">
        <v>88</v>
      </c>
      <c r="C209" s="94">
        <v>1.5</v>
      </c>
      <c r="D209" s="7">
        <v>1594.84746</v>
      </c>
      <c r="E209" s="94">
        <f>E206</f>
        <v>75</v>
      </c>
      <c r="F209" s="94">
        <v>1973</v>
      </c>
      <c r="G209" s="6">
        <f t="shared" si="140"/>
        <v>2959.5</v>
      </c>
      <c r="H209" s="6">
        <f>G209/E209</f>
        <v>39.46</v>
      </c>
      <c r="I209" s="97">
        <f t="shared" si="139"/>
        <v>12.629445876857577</v>
      </c>
      <c r="J209" s="83">
        <f t="shared" si="142"/>
        <v>498.35793430080003</v>
      </c>
    </row>
    <row r="210" spans="1:14">
      <c r="A210" s="16"/>
      <c r="B210" s="5" t="s">
        <v>47</v>
      </c>
      <c r="C210" s="94">
        <v>3</v>
      </c>
      <c r="D210" s="7">
        <v>1594.84746</v>
      </c>
      <c r="E210" s="94">
        <f>E206</f>
        <v>75</v>
      </c>
      <c r="F210" s="94">
        <v>1973</v>
      </c>
      <c r="G210" s="6">
        <f t="shared" si="140"/>
        <v>5919</v>
      </c>
      <c r="H210" s="6">
        <f t="shared" ref="H210" si="143">G210/E210</f>
        <v>78.92</v>
      </c>
      <c r="I210" s="97">
        <f t="shared" si="139"/>
        <v>12.629445876857577</v>
      </c>
      <c r="J210" s="83">
        <f t="shared" si="142"/>
        <v>996.71586860160005</v>
      </c>
    </row>
    <row r="211" spans="1:14">
      <c r="A211" s="16"/>
      <c r="B211" s="5" t="s">
        <v>114</v>
      </c>
      <c r="C211" s="94">
        <v>0.125</v>
      </c>
      <c r="D211" s="7">
        <v>1594.84746</v>
      </c>
      <c r="E211" s="94">
        <f>E206</f>
        <v>75</v>
      </c>
      <c r="F211" s="94">
        <v>1973</v>
      </c>
      <c r="G211" s="6">
        <f t="shared" ref="G211" si="144">C211*F211</f>
        <v>246.625</v>
      </c>
      <c r="H211" s="6">
        <f t="shared" ref="H211" si="145">G211/E211</f>
        <v>3.2883333333333336</v>
      </c>
      <c r="I211" s="97">
        <f t="shared" si="139"/>
        <v>12.629445876857577</v>
      </c>
      <c r="J211" s="83">
        <f t="shared" ref="J211" si="146">I211*H211</f>
        <v>41.529827858400004</v>
      </c>
    </row>
    <row r="212" spans="1:14" ht="15.75" thickBot="1">
      <c r="A212" s="17"/>
      <c r="B212" s="18"/>
      <c r="C212" s="95">
        <f>SUM(C206:C211)</f>
        <v>14.625</v>
      </c>
      <c r="D212" s="18"/>
      <c r="E212" s="95"/>
      <c r="F212" s="95"/>
      <c r="G212" s="19"/>
      <c r="H212" s="19"/>
      <c r="I212" s="98"/>
      <c r="J212" s="87">
        <f>SUM(J206:J211)</f>
        <v>4858.9898594327988</v>
      </c>
    </row>
    <row r="213" spans="1:14" ht="15.75" thickBot="1">
      <c r="A213" s="51"/>
      <c r="B213" s="52"/>
      <c r="C213" s="52"/>
      <c r="D213" s="52"/>
      <c r="E213" s="96"/>
      <c r="F213" s="96"/>
      <c r="G213" s="55"/>
      <c r="H213" s="160" t="s">
        <v>60</v>
      </c>
      <c r="I213" s="161"/>
      <c r="J213" s="85">
        <f>J212-J214</f>
        <v>0</v>
      </c>
      <c r="K213" s="50">
        <f>J213*122</f>
        <v>0</v>
      </c>
      <c r="L213" s="50"/>
      <c r="M213" s="50">
        <f>L213-K213</f>
        <v>0</v>
      </c>
    </row>
    <row r="214" spans="1:14" ht="15.75" thickBot="1">
      <c r="A214" s="51"/>
      <c r="B214" s="52"/>
      <c r="C214" s="52"/>
      <c r="D214" s="71"/>
      <c r="E214" s="96"/>
      <c r="F214" s="96"/>
      <c r="G214" s="55"/>
      <c r="H214" s="160" t="s">
        <v>57</v>
      </c>
      <c r="I214" s="161"/>
      <c r="J214" s="85">
        <f>J206+J207+J208+J209+J210+J211</f>
        <v>4858.9898594327988</v>
      </c>
      <c r="K214" s="130">
        <f>J214*E206</f>
        <v>364424.23945745989</v>
      </c>
      <c r="L214" s="130">
        <f>(3986060+1203790-600271.87-34275.15)*0.08</f>
        <v>364424.23839999997</v>
      </c>
      <c r="M214" s="130">
        <f>L214-K214</f>
        <v>-1.0574599145911634E-3</v>
      </c>
      <c r="N214" s="131">
        <f>L214/1.302/12/14.625</f>
        <v>1594.8474553721865</v>
      </c>
    </row>
    <row r="215" spans="1:14">
      <c r="A215" s="12" t="s">
        <v>70</v>
      </c>
      <c r="B215" s="13" t="s">
        <v>45</v>
      </c>
      <c r="C215" s="93">
        <v>9</v>
      </c>
      <c r="D215" s="7">
        <v>2052.5523199999998</v>
      </c>
      <c r="E215" s="94">
        <f>ком.усл!A133</f>
        <v>97</v>
      </c>
      <c r="F215" s="94">
        <v>1973</v>
      </c>
      <c r="G215" s="14">
        <f>C215*F215</f>
        <v>17757</v>
      </c>
      <c r="H215" s="14">
        <f>G215/E215</f>
        <v>183.06185567010309</v>
      </c>
      <c r="I215" s="97">
        <f t="shared" ref="I215:I220" si="147">D215*12*1.302/1973</f>
        <v>16.253967282149009</v>
      </c>
      <c r="J215" s="82">
        <f>I215*H215</f>
        <v>2975.4814126713395</v>
      </c>
    </row>
    <row r="216" spans="1:14">
      <c r="A216" s="16"/>
      <c r="B216" s="5" t="s">
        <v>106</v>
      </c>
      <c r="C216" s="94">
        <v>1</v>
      </c>
      <c r="D216" s="7">
        <v>2052.5523199999998</v>
      </c>
      <c r="E216" s="94">
        <f>E215</f>
        <v>97</v>
      </c>
      <c r="F216" s="94">
        <v>1973</v>
      </c>
      <c r="G216" s="6">
        <f t="shared" ref="G216:G219" si="148">C216*F216</f>
        <v>1973</v>
      </c>
      <c r="H216" s="6">
        <f t="shared" ref="H216:H217" si="149">G216/E216</f>
        <v>20.340206185567009</v>
      </c>
      <c r="I216" s="97">
        <f t="shared" si="147"/>
        <v>16.253967282149009</v>
      </c>
      <c r="J216" s="83">
        <f t="shared" ref="J216:J219" si="150">I216*H216</f>
        <v>330.60904585237108</v>
      </c>
    </row>
    <row r="217" spans="1:14">
      <c r="A217" s="16"/>
      <c r="B217" s="5" t="s">
        <v>46</v>
      </c>
      <c r="C217" s="94">
        <v>3</v>
      </c>
      <c r="D217" s="7">
        <v>2052.5523199999998</v>
      </c>
      <c r="E217" s="94">
        <f>E215</f>
        <v>97</v>
      </c>
      <c r="F217" s="94">
        <v>1973</v>
      </c>
      <c r="G217" s="6">
        <f t="shared" si="148"/>
        <v>5919</v>
      </c>
      <c r="H217" s="6">
        <f t="shared" si="149"/>
        <v>61.020618556701031</v>
      </c>
      <c r="I217" s="97">
        <f t="shared" si="147"/>
        <v>16.253967282149009</v>
      </c>
      <c r="J217" s="83">
        <f t="shared" si="150"/>
        <v>991.82713755711325</v>
      </c>
    </row>
    <row r="218" spans="1:14">
      <c r="A218" s="16"/>
      <c r="B218" s="5" t="s">
        <v>88</v>
      </c>
      <c r="C218" s="94">
        <v>1.5</v>
      </c>
      <c r="D218" s="7">
        <v>2052.5523199999998</v>
      </c>
      <c r="E218" s="94">
        <f>E215</f>
        <v>97</v>
      </c>
      <c r="F218" s="94">
        <v>1973</v>
      </c>
      <c r="G218" s="6">
        <f t="shared" si="148"/>
        <v>2959.5</v>
      </c>
      <c r="H218" s="6">
        <f>G218/E218</f>
        <v>30.510309278350515</v>
      </c>
      <c r="I218" s="97">
        <f t="shared" si="147"/>
        <v>16.253967282149009</v>
      </c>
      <c r="J218" s="83">
        <f t="shared" si="150"/>
        <v>495.91356877855662</v>
      </c>
    </row>
    <row r="219" spans="1:14">
      <c r="A219" s="16"/>
      <c r="B219" s="5" t="s">
        <v>47</v>
      </c>
      <c r="C219" s="94">
        <v>1.5</v>
      </c>
      <c r="D219" s="7">
        <v>2052.5523199999998</v>
      </c>
      <c r="E219" s="94">
        <f>E215</f>
        <v>97</v>
      </c>
      <c r="F219" s="94">
        <v>1973</v>
      </c>
      <c r="G219" s="6">
        <f t="shared" si="148"/>
        <v>2959.5</v>
      </c>
      <c r="H219" s="6">
        <f t="shared" ref="H219" si="151">G219/E219</f>
        <v>30.510309278350515</v>
      </c>
      <c r="I219" s="97">
        <f t="shared" si="147"/>
        <v>16.253967282149009</v>
      </c>
      <c r="J219" s="83">
        <f t="shared" si="150"/>
        <v>495.91356877855662</v>
      </c>
    </row>
    <row r="220" spans="1:14">
      <c r="A220" s="16"/>
      <c r="B220" s="5"/>
      <c r="C220" s="94"/>
      <c r="D220" s="5"/>
      <c r="E220" s="94">
        <f>E215</f>
        <v>97</v>
      </c>
      <c r="F220" s="94">
        <v>1973</v>
      </c>
      <c r="G220" s="6"/>
      <c r="H220" s="6"/>
      <c r="I220" s="97">
        <f t="shared" si="147"/>
        <v>0</v>
      </c>
      <c r="J220" s="83">
        <f t="shared" ref="J220" si="152">I220*H220</f>
        <v>0</v>
      </c>
    </row>
    <row r="221" spans="1:14" ht="15.75" thickBot="1">
      <c r="A221" s="17"/>
      <c r="B221" s="18"/>
      <c r="C221" s="98">
        <f>SUM(C215:C220)</f>
        <v>16</v>
      </c>
      <c r="D221" s="18"/>
      <c r="E221" s="95"/>
      <c r="F221" s="95"/>
      <c r="G221" s="19"/>
      <c r="H221" s="19"/>
      <c r="I221" s="98"/>
      <c r="J221" s="87">
        <f>SUM(J215:J220)</f>
        <v>5289.7447336379364</v>
      </c>
    </row>
    <row r="222" spans="1:14" ht="15.75" thickBot="1">
      <c r="A222" s="51"/>
      <c r="B222" s="52"/>
      <c r="C222" s="52"/>
      <c r="D222" s="52"/>
      <c r="E222" s="96"/>
      <c r="F222" s="96"/>
      <c r="G222" s="55"/>
      <c r="H222" s="160" t="s">
        <v>60</v>
      </c>
      <c r="I222" s="161"/>
      <c r="J222" s="85">
        <f>J221-J223</f>
        <v>0</v>
      </c>
      <c r="K222" s="50">
        <f>J222*122</f>
        <v>0</v>
      </c>
      <c r="L222" s="50"/>
      <c r="M222" s="50">
        <f>L222-K222</f>
        <v>0</v>
      </c>
    </row>
    <row r="223" spans="1:14" ht="15.75" thickBot="1">
      <c r="A223" s="51"/>
      <c r="B223" s="52"/>
      <c r="C223" s="52"/>
      <c r="D223" s="71"/>
      <c r="E223" s="119"/>
      <c r="F223" s="96"/>
      <c r="G223" s="55"/>
      <c r="H223" s="160" t="s">
        <v>57</v>
      </c>
      <c r="I223" s="161"/>
      <c r="J223" s="85">
        <f>J215+J216+J217+J218+J219</f>
        <v>5289.7447336379364</v>
      </c>
      <c r="K223" s="130">
        <f>J223*E215</f>
        <v>513105.23916287982</v>
      </c>
      <c r="L223" s="130">
        <f>(3969700+1198850-37497.6)*0.1</f>
        <v>513105.24000000005</v>
      </c>
      <c r="M223" s="130">
        <f>L223-K223</f>
        <v>8.3712022751569748E-4</v>
      </c>
      <c r="N223" s="131">
        <f>L223/1.302/12/16</f>
        <v>2052.5523233486942</v>
      </c>
    </row>
    <row r="224" spans="1:14">
      <c r="A224" s="12" t="s">
        <v>71</v>
      </c>
      <c r="B224" s="13" t="s">
        <v>45</v>
      </c>
      <c r="C224" s="93">
        <v>6.75</v>
      </c>
      <c r="D224" s="7">
        <v>1178.2167400000001</v>
      </c>
      <c r="E224" s="94">
        <f>ком.усл!A138</f>
        <v>36</v>
      </c>
      <c r="F224" s="94">
        <v>1973</v>
      </c>
      <c r="G224" s="14">
        <f>C224*F224</f>
        <v>13317.75</v>
      </c>
      <c r="H224" s="14">
        <f>G224/E224</f>
        <v>369.9375</v>
      </c>
      <c r="I224" s="97">
        <f t="shared" ref="I224:I229" si="153">D224*12*1.302/1973</f>
        <v>9.3301866932387245</v>
      </c>
      <c r="J224" s="82">
        <f>I224*H224</f>
        <v>3451.5859398300008</v>
      </c>
    </row>
    <row r="225" spans="1:14">
      <c r="A225" s="16"/>
      <c r="B225" s="5" t="s">
        <v>114</v>
      </c>
      <c r="C225" s="94">
        <v>0.25</v>
      </c>
      <c r="D225" s="7">
        <v>1178.2167400000001</v>
      </c>
      <c r="E225" s="94">
        <f>E224</f>
        <v>36</v>
      </c>
      <c r="F225" s="94">
        <v>1973</v>
      </c>
      <c r="G225" s="6">
        <f t="shared" ref="G225:G229" si="154">C225*F225</f>
        <v>493.25</v>
      </c>
      <c r="H225" s="6">
        <f t="shared" ref="H225:H226" si="155">G225/E225</f>
        <v>13.701388888888889</v>
      </c>
      <c r="I225" s="97">
        <f t="shared" si="153"/>
        <v>9.3301866932387245</v>
      </c>
      <c r="J225" s="83">
        <f t="shared" ref="J225:J228" si="156">I225*H225</f>
        <v>127.83651629000003</v>
      </c>
    </row>
    <row r="226" spans="1:14">
      <c r="A226" s="16"/>
      <c r="B226" s="5" t="s">
        <v>46</v>
      </c>
      <c r="C226" s="94">
        <v>3</v>
      </c>
      <c r="D226" s="7">
        <v>1178.2167400000001</v>
      </c>
      <c r="E226" s="94">
        <f>E224</f>
        <v>36</v>
      </c>
      <c r="F226" s="94">
        <v>1973</v>
      </c>
      <c r="G226" s="6">
        <f t="shared" si="154"/>
        <v>5919</v>
      </c>
      <c r="H226" s="6">
        <f t="shared" si="155"/>
        <v>164.41666666666666</v>
      </c>
      <c r="I226" s="97">
        <f t="shared" si="153"/>
        <v>9.3301866932387245</v>
      </c>
      <c r="J226" s="83">
        <f t="shared" si="156"/>
        <v>1534.0381954800002</v>
      </c>
    </row>
    <row r="227" spans="1:14">
      <c r="A227" s="16"/>
      <c r="B227" s="5" t="s">
        <v>88</v>
      </c>
      <c r="C227" s="94">
        <v>0.75</v>
      </c>
      <c r="D227" s="7">
        <v>1178.2167400000001</v>
      </c>
      <c r="E227" s="94">
        <f>E224</f>
        <v>36</v>
      </c>
      <c r="F227" s="94">
        <v>1973</v>
      </c>
      <c r="G227" s="6">
        <f t="shared" si="154"/>
        <v>1479.75</v>
      </c>
      <c r="H227" s="6">
        <f>G227/E227</f>
        <v>41.104166666666664</v>
      </c>
      <c r="I227" s="97">
        <f t="shared" si="153"/>
        <v>9.3301866932387245</v>
      </c>
      <c r="J227" s="83">
        <f t="shared" si="156"/>
        <v>383.50954887000006</v>
      </c>
    </row>
    <row r="228" spans="1:14">
      <c r="A228" s="16"/>
      <c r="B228" s="5" t="s">
        <v>47</v>
      </c>
      <c r="C228" s="94">
        <v>1.5</v>
      </c>
      <c r="D228" s="7">
        <v>1178.2167400000001</v>
      </c>
      <c r="E228" s="94">
        <f>E224</f>
        <v>36</v>
      </c>
      <c r="F228" s="94">
        <v>1973</v>
      </c>
      <c r="G228" s="6">
        <f t="shared" si="154"/>
        <v>2959.5</v>
      </c>
      <c r="H228" s="6">
        <f t="shared" ref="H228:H229" si="157">G228/E228</f>
        <v>82.208333333333329</v>
      </c>
      <c r="I228" s="97">
        <f t="shared" si="153"/>
        <v>9.3301866932387245</v>
      </c>
      <c r="J228" s="83">
        <f t="shared" si="156"/>
        <v>767.01909774000012</v>
      </c>
    </row>
    <row r="229" spans="1:14">
      <c r="A229" s="16"/>
      <c r="B229" s="5" t="s">
        <v>106</v>
      </c>
      <c r="C229" s="94">
        <v>0.75</v>
      </c>
      <c r="D229" s="7">
        <v>1178.2167400000001</v>
      </c>
      <c r="E229" s="94">
        <f>E224</f>
        <v>36</v>
      </c>
      <c r="F229" s="94">
        <v>1973</v>
      </c>
      <c r="G229" s="6">
        <f t="shared" si="154"/>
        <v>1479.75</v>
      </c>
      <c r="H229" s="6">
        <f t="shared" si="157"/>
        <v>41.104166666666664</v>
      </c>
      <c r="I229" s="97">
        <f t="shared" si="153"/>
        <v>9.3301866932387245</v>
      </c>
      <c r="J229" s="83">
        <f t="shared" ref="J229" si="158">I229*H229</f>
        <v>383.50954887000006</v>
      </c>
    </row>
    <row r="230" spans="1:14" ht="15.75" thickBot="1">
      <c r="A230" s="17"/>
      <c r="B230" s="18"/>
      <c r="C230" s="98">
        <f>SUM(C224:C229)</f>
        <v>13</v>
      </c>
      <c r="D230" s="18"/>
      <c r="E230" s="95"/>
      <c r="F230" s="95"/>
      <c r="G230" s="19"/>
      <c r="H230" s="19"/>
      <c r="I230" s="98"/>
      <c r="J230" s="87">
        <f>SUM(J224:J229)</f>
        <v>6647.4988470800008</v>
      </c>
    </row>
    <row r="231" spans="1:14" ht="15.75" thickBot="1">
      <c r="A231" s="51"/>
      <c r="B231" s="52"/>
      <c r="C231" s="52"/>
      <c r="D231" s="52"/>
      <c r="E231" s="96"/>
      <c r="F231" s="96"/>
      <c r="G231" s="55"/>
      <c r="H231" s="160" t="s">
        <v>60</v>
      </c>
      <c r="I231" s="161"/>
      <c r="J231" s="85">
        <f>J230-J232</f>
        <v>0</v>
      </c>
      <c r="K231" s="50">
        <f>J231*122</f>
        <v>0</v>
      </c>
      <c r="L231" s="50"/>
      <c r="M231" s="50">
        <f>L231-K231</f>
        <v>0</v>
      </c>
    </row>
    <row r="232" spans="1:14" ht="15.75" thickBot="1">
      <c r="A232" s="51"/>
      <c r="B232" s="52"/>
      <c r="C232" s="52"/>
      <c r="D232" s="71"/>
      <c r="E232" s="119"/>
      <c r="F232" s="96"/>
      <c r="G232" s="55"/>
      <c r="H232" s="160" t="s">
        <v>57</v>
      </c>
      <c r="I232" s="161"/>
      <c r="J232" s="85">
        <f>J224+J225+J226+J227+J228+J229</f>
        <v>6647.4988470800008</v>
      </c>
      <c r="K232" s="130">
        <f>J232*E224</f>
        <v>239309.95849488003</v>
      </c>
      <c r="L232" s="130">
        <f>(3584550+1082520-648103.88-30466.8)*0.06</f>
        <v>239309.95920000001</v>
      </c>
      <c r="M232" s="130">
        <f>L232-K232</f>
        <v>7.0511997910216451E-4</v>
      </c>
      <c r="N232" s="131">
        <f>L232/1.302/12/13</f>
        <v>1178.2167434715823</v>
      </c>
    </row>
    <row r="233" spans="1:14">
      <c r="A233" s="12" t="s">
        <v>72</v>
      </c>
      <c r="B233" s="13" t="s">
        <v>45</v>
      </c>
      <c r="C233" s="93">
        <v>8.25</v>
      </c>
      <c r="D233" s="7">
        <v>2268.29178</v>
      </c>
      <c r="E233" s="94">
        <f>ком.усл!A143</f>
        <v>107</v>
      </c>
      <c r="F233" s="94">
        <v>1973</v>
      </c>
      <c r="G233" s="14">
        <f>C233*F233</f>
        <v>16277.25</v>
      </c>
      <c r="H233" s="14">
        <f>G233/E233</f>
        <v>152.12383177570092</v>
      </c>
      <c r="I233" s="97">
        <f t="shared" ref="I233:I238" si="159">D233*12*1.302/1973</f>
        <v>17.962387618205781</v>
      </c>
      <c r="J233" s="82">
        <f>I233*H233</f>
        <v>2732.5072323218697</v>
      </c>
    </row>
    <row r="234" spans="1:14">
      <c r="A234" s="16"/>
      <c r="B234" s="5" t="s">
        <v>106</v>
      </c>
      <c r="C234" s="94">
        <v>2</v>
      </c>
      <c r="D234" s="7">
        <v>2268.29178</v>
      </c>
      <c r="E234" s="94">
        <f>E233</f>
        <v>107</v>
      </c>
      <c r="F234" s="94">
        <v>1973</v>
      </c>
      <c r="G234" s="6">
        <f t="shared" ref="G234:G237" si="160">C234*F234</f>
        <v>3946</v>
      </c>
      <c r="H234" s="6">
        <f t="shared" ref="H234:H235" si="161">G234/E234</f>
        <v>36.878504672897193</v>
      </c>
      <c r="I234" s="97">
        <f t="shared" si="159"/>
        <v>17.962387618205781</v>
      </c>
      <c r="J234" s="83">
        <f t="shared" ref="J234:J237" si="162">I234*H234</f>
        <v>662.42599571439257</v>
      </c>
    </row>
    <row r="235" spans="1:14">
      <c r="A235" s="16"/>
      <c r="B235" s="5" t="s">
        <v>46</v>
      </c>
      <c r="C235" s="94">
        <v>6</v>
      </c>
      <c r="D235" s="7">
        <v>2268.29178</v>
      </c>
      <c r="E235" s="94">
        <f>E233</f>
        <v>107</v>
      </c>
      <c r="F235" s="94">
        <v>1973</v>
      </c>
      <c r="G235" s="6">
        <f t="shared" si="160"/>
        <v>11838</v>
      </c>
      <c r="H235" s="6">
        <f t="shared" si="161"/>
        <v>110.63551401869159</v>
      </c>
      <c r="I235" s="97">
        <f t="shared" si="159"/>
        <v>17.962387618205781</v>
      </c>
      <c r="J235" s="83">
        <f t="shared" si="162"/>
        <v>1987.2779871431781</v>
      </c>
    </row>
    <row r="236" spans="1:14">
      <c r="A236" s="16"/>
      <c r="B236" s="5" t="s">
        <v>88</v>
      </c>
      <c r="C236" s="94">
        <v>2.75</v>
      </c>
      <c r="D236" s="7">
        <v>2268.29178</v>
      </c>
      <c r="E236" s="94">
        <f>E233</f>
        <v>107</v>
      </c>
      <c r="F236" s="94">
        <v>1973</v>
      </c>
      <c r="G236" s="6">
        <f t="shared" si="160"/>
        <v>5425.75</v>
      </c>
      <c r="H236" s="6">
        <f>G236/E236</f>
        <v>50.707943925233643</v>
      </c>
      <c r="I236" s="97">
        <f t="shared" si="159"/>
        <v>17.962387618205781</v>
      </c>
      <c r="J236" s="83">
        <f t="shared" si="162"/>
        <v>910.83574410728988</v>
      </c>
    </row>
    <row r="237" spans="1:14">
      <c r="A237" s="16"/>
      <c r="B237" s="5" t="s">
        <v>47</v>
      </c>
      <c r="C237" s="94">
        <v>3.75</v>
      </c>
      <c r="D237" s="7">
        <v>2268.29178</v>
      </c>
      <c r="E237" s="94">
        <f>E233</f>
        <v>107</v>
      </c>
      <c r="F237" s="94">
        <v>1973</v>
      </c>
      <c r="G237" s="6">
        <f t="shared" si="160"/>
        <v>7398.75</v>
      </c>
      <c r="H237" s="6">
        <f t="shared" ref="H237" si="163">G237/E237</f>
        <v>69.14719626168224</v>
      </c>
      <c r="I237" s="97">
        <f t="shared" si="159"/>
        <v>17.962387618205781</v>
      </c>
      <c r="J237" s="83">
        <f t="shared" si="162"/>
        <v>1242.0487419644862</v>
      </c>
    </row>
    <row r="238" spans="1:14">
      <c r="A238" s="16"/>
      <c r="B238" s="5"/>
      <c r="C238" s="94"/>
      <c r="D238" s="5"/>
      <c r="E238" s="94">
        <f>E233</f>
        <v>107</v>
      </c>
      <c r="F238" s="94">
        <v>1973</v>
      </c>
      <c r="G238" s="6"/>
      <c r="H238" s="6"/>
      <c r="I238" s="97">
        <f t="shared" si="159"/>
        <v>0</v>
      </c>
      <c r="J238" s="83">
        <f t="shared" ref="J238" si="164">I238*H238</f>
        <v>0</v>
      </c>
    </row>
    <row r="239" spans="1:14" ht="15.75" thickBot="1">
      <c r="A239" s="17"/>
      <c r="B239" s="18"/>
      <c r="C239" s="95">
        <f>SUM(C233:C238)</f>
        <v>22.75</v>
      </c>
      <c r="D239" s="18"/>
      <c r="E239" s="95"/>
      <c r="F239" s="95"/>
      <c r="G239" s="19"/>
      <c r="H239" s="19"/>
      <c r="I239" s="98"/>
      <c r="J239" s="87">
        <f>SUM(J233:J238)</f>
        <v>7535.0957012512163</v>
      </c>
    </row>
    <row r="240" spans="1:14" ht="15.75" thickBot="1">
      <c r="A240" s="51"/>
      <c r="B240" s="52"/>
      <c r="C240" s="52"/>
      <c r="D240" s="52"/>
      <c r="E240" s="96"/>
      <c r="F240" s="96"/>
      <c r="G240" s="55"/>
      <c r="H240" s="160" t="s">
        <v>60</v>
      </c>
      <c r="I240" s="161"/>
      <c r="J240" s="85">
        <f>J239-J241</f>
        <v>0</v>
      </c>
      <c r="K240" s="50">
        <f>J240*122</f>
        <v>0</v>
      </c>
      <c r="L240" s="50"/>
      <c r="M240" s="50">
        <f>L240-K240</f>
        <v>0</v>
      </c>
    </row>
    <row r="241" spans="1:14" ht="15.75" thickBot="1">
      <c r="A241" s="51"/>
      <c r="B241" s="52"/>
      <c r="C241" s="52"/>
      <c r="D241" s="71"/>
      <c r="E241" s="119"/>
      <c r="F241" s="96"/>
      <c r="G241" s="55"/>
      <c r="H241" s="160" t="s">
        <v>57</v>
      </c>
      <c r="I241" s="161"/>
      <c r="J241" s="85">
        <f>J233+J234+J235+J236+J237</f>
        <v>7535.0957012512163</v>
      </c>
      <c r="K241" s="130">
        <f>J241*E233</f>
        <v>806255.24003388011</v>
      </c>
      <c r="L241" s="130">
        <f>(5667440+1711570+3900-53316.9)*0.11</f>
        <v>806255.24099999992</v>
      </c>
      <c r="M241" s="130">
        <f>L241-K241</f>
        <v>9.6611981280148029E-4</v>
      </c>
      <c r="N241" s="131">
        <f>L241/1.302/12/22.75</f>
        <v>2268.2917827180499</v>
      </c>
    </row>
    <row r="242" spans="1:14">
      <c r="A242" s="12" t="s">
        <v>73</v>
      </c>
      <c r="B242" s="13" t="s">
        <v>45</v>
      </c>
      <c r="C242" s="93">
        <v>3</v>
      </c>
      <c r="D242" s="7">
        <v>2279.22453</v>
      </c>
      <c r="E242" s="94">
        <f>ком.усл!A149</f>
        <v>30</v>
      </c>
      <c r="F242" s="94">
        <v>1973</v>
      </c>
      <c r="G242" s="14">
        <f>C242*F242</f>
        <v>5919</v>
      </c>
      <c r="H242" s="14">
        <f>G242/E242</f>
        <v>197.3</v>
      </c>
      <c r="I242" s="97">
        <f t="shared" ref="I242:I247" si="165">D242*12*1.302/1973</f>
        <v>18.048963029254942</v>
      </c>
      <c r="J242" s="82">
        <f>I242*H242</f>
        <v>3561.0604056720003</v>
      </c>
    </row>
    <row r="243" spans="1:14">
      <c r="A243" s="16"/>
      <c r="B243" s="5" t="s">
        <v>106</v>
      </c>
      <c r="C243" s="94">
        <v>0.75</v>
      </c>
      <c r="D243" s="7">
        <v>2279.22453</v>
      </c>
      <c r="E243" s="94">
        <f>E242</f>
        <v>30</v>
      </c>
      <c r="F243" s="94">
        <v>1973</v>
      </c>
      <c r="G243" s="6">
        <f t="shared" ref="G243:G246" si="166">C243*F243</f>
        <v>1479.75</v>
      </c>
      <c r="H243" s="6">
        <f t="shared" ref="H243:H244" si="167">G243/E243</f>
        <v>49.325000000000003</v>
      </c>
      <c r="I243" s="97">
        <f t="shared" si="165"/>
        <v>18.048963029254942</v>
      </c>
      <c r="J243" s="83">
        <f t="shared" ref="J243:J246" si="168">I243*H243</f>
        <v>890.26510141800009</v>
      </c>
    </row>
    <row r="244" spans="1:14">
      <c r="A244" s="16"/>
      <c r="B244" s="5" t="s">
        <v>46</v>
      </c>
      <c r="C244" s="94">
        <v>3</v>
      </c>
      <c r="D244" s="7">
        <v>2279.22453</v>
      </c>
      <c r="E244" s="94">
        <f>E242</f>
        <v>30</v>
      </c>
      <c r="F244" s="94">
        <v>1973</v>
      </c>
      <c r="G244" s="6">
        <f t="shared" si="166"/>
        <v>5919</v>
      </c>
      <c r="H244" s="6">
        <f t="shared" si="167"/>
        <v>197.3</v>
      </c>
      <c r="I244" s="97">
        <f t="shared" si="165"/>
        <v>18.048963029254942</v>
      </c>
      <c r="J244" s="83">
        <f t="shared" si="168"/>
        <v>3561.0604056720003</v>
      </c>
    </row>
    <row r="245" spans="1:14">
      <c r="A245" s="16"/>
      <c r="B245" s="5" t="s">
        <v>88</v>
      </c>
      <c r="C245" s="94">
        <v>0.75</v>
      </c>
      <c r="D245" s="7">
        <v>2279.22453</v>
      </c>
      <c r="E245" s="94">
        <f>E242</f>
        <v>30</v>
      </c>
      <c r="F245" s="94">
        <v>1973</v>
      </c>
      <c r="G245" s="6">
        <f t="shared" si="166"/>
        <v>1479.75</v>
      </c>
      <c r="H245" s="6">
        <f>G245/E245</f>
        <v>49.325000000000003</v>
      </c>
      <c r="I245" s="97">
        <f t="shared" si="165"/>
        <v>18.048963029254942</v>
      </c>
      <c r="J245" s="83">
        <f t="shared" si="168"/>
        <v>890.26510141800009</v>
      </c>
    </row>
    <row r="246" spans="1:14">
      <c r="A246" s="16"/>
      <c r="B246" s="5" t="s">
        <v>47</v>
      </c>
      <c r="C246" s="94">
        <v>0.75</v>
      </c>
      <c r="D246" s="7">
        <v>2279.22453</v>
      </c>
      <c r="E246" s="94">
        <f>E242</f>
        <v>30</v>
      </c>
      <c r="F246" s="94">
        <v>1973</v>
      </c>
      <c r="G246" s="6">
        <f t="shared" si="166"/>
        <v>1479.75</v>
      </c>
      <c r="H246" s="6">
        <f t="shared" ref="H246" si="169">G246/E246</f>
        <v>49.325000000000003</v>
      </c>
      <c r="I246" s="97">
        <f t="shared" si="165"/>
        <v>18.048963029254942</v>
      </c>
      <c r="J246" s="83">
        <f t="shared" si="168"/>
        <v>890.26510141800009</v>
      </c>
    </row>
    <row r="247" spans="1:14">
      <c r="A247" s="16"/>
      <c r="B247" s="5"/>
      <c r="C247" s="94"/>
      <c r="D247" s="5"/>
      <c r="E247" s="94">
        <f>E242</f>
        <v>30</v>
      </c>
      <c r="F247" s="94">
        <v>1973</v>
      </c>
      <c r="G247" s="6"/>
      <c r="H247" s="6"/>
      <c r="I247" s="97">
        <f t="shared" si="165"/>
        <v>0</v>
      </c>
      <c r="J247" s="83">
        <f t="shared" ref="J247" si="170">I247*H247</f>
        <v>0</v>
      </c>
    </row>
    <row r="248" spans="1:14" ht="15.75" thickBot="1">
      <c r="A248" s="17"/>
      <c r="B248" s="18"/>
      <c r="C248" s="98">
        <f>SUM(C242:C247)</f>
        <v>8.25</v>
      </c>
      <c r="D248" s="18"/>
      <c r="E248" s="95"/>
      <c r="F248" s="95"/>
      <c r="G248" s="19"/>
      <c r="H248" s="19"/>
      <c r="I248" s="98"/>
      <c r="J248" s="87">
        <f>SUM(J242:J247)</f>
        <v>9792.916115598</v>
      </c>
    </row>
    <row r="249" spans="1:14" ht="15.75" thickBot="1">
      <c r="A249" s="51"/>
      <c r="B249" s="52"/>
      <c r="C249" s="52"/>
      <c r="D249" s="52"/>
      <c r="E249" s="96"/>
      <c r="F249" s="96"/>
      <c r="G249" s="55"/>
      <c r="H249" s="160" t="s">
        <v>60</v>
      </c>
      <c r="I249" s="161"/>
      <c r="J249" s="85">
        <f>J248-J250</f>
        <v>0</v>
      </c>
      <c r="K249" s="50">
        <f>J249*122</f>
        <v>0</v>
      </c>
      <c r="L249" s="50"/>
      <c r="M249" s="50">
        <f>L249-K249</f>
        <v>0</v>
      </c>
    </row>
    <row r="250" spans="1:14" ht="15.75" thickBot="1">
      <c r="A250" s="51"/>
      <c r="B250" s="52"/>
      <c r="C250" s="52"/>
      <c r="D250" s="52"/>
      <c r="E250" s="96"/>
      <c r="F250" s="96"/>
      <c r="G250" s="55"/>
      <c r="H250" s="160" t="s">
        <v>57</v>
      </c>
      <c r="I250" s="161"/>
      <c r="J250" s="85">
        <f>J242+J243+J244+J245+J246</f>
        <v>9792.916115598</v>
      </c>
      <c r="K250" s="130">
        <f>J250*E242</f>
        <v>293787.48346794001</v>
      </c>
      <c r="L250" s="130">
        <f>(2066160+623970-19334.7)*0.11</f>
        <v>293787.48300000001</v>
      </c>
      <c r="M250" s="130">
        <f>L250-K250</f>
        <v>-4.6794000081717968E-4</v>
      </c>
      <c r="N250" s="131">
        <f>L250/1.302/12/8.25</f>
        <v>2279.2245263696877</v>
      </c>
    </row>
    <row r="251" spans="1:14">
      <c r="A251" s="12" t="s">
        <v>74</v>
      </c>
      <c r="B251" s="13" t="s">
        <v>45</v>
      </c>
      <c r="C251" s="124">
        <v>3.75</v>
      </c>
      <c r="D251" s="15"/>
      <c r="E251" s="93"/>
      <c r="F251" s="94">
        <v>1973</v>
      </c>
      <c r="G251" s="14">
        <f>C251*F251</f>
        <v>7398.75</v>
      </c>
      <c r="H251" s="14" t="e">
        <f>G251/E251</f>
        <v>#DIV/0!</v>
      </c>
      <c r="I251" s="97">
        <f t="shared" ref="I251:I256" si="171">D251*12*1.302/1973</f>
        <v>0</v>
      </c>
      <c r="J251" s="82" t="e">
        <f>I251*H251</f>
        <v>#DIV/0!</v>
      </c>
    </row>
    <row r="252" spans="1:14">
      <c r="A252" s="16"/>
      <c r="B252" s="5" t="s">
        <v>107</v>
      </c>
      <c r="C252" s="97"/>
      <c r="D252" s="5"/>
      <c r="E252" s="94"/>
      <c r="F252" s="94">
        <v>1973</v>
      </c>
      <c r="G252" s="6">
        <f t="shared" ref="G252:G255" si="172">C252*F252</f>
        <v>0</v>
      </c>
      <c r="H252" s="6" t="e">
        <f t="shared" ref="H252:H253" si="173">G252/E252</f>
        <v>#DIV/0!</v>
      </c>
      <c r="I252" s="97">
        <f t="shared" si="171"/>
        <v>0</v>
      </c>
      <c r="J252" s="83" t="e">
        <f t="shared" ref="J252:J255" si="174">I252*H252</f>
        <v>#DIV/0!</v>
      </c>
    </row>
    <row r="253" spans="1:14">
      <c r="A253" s="16"/>
      <c r="B253" s="5" t="s">
        <v>46</v>
      </c>
      <c r="C253" s="97">
        <v>3</v>
      </c>
      <c r="D253" s="5"/>
      <c r="E253" s="94"/>
      <c r="F253" s="94">
        <v>1973</v>
      </c>
      <c r="G253" s="6">
        <f t="shared" si="172"/>
        <v>5919</v>
      </c>
      <c r="H253" s="6" t="e">
        <f t="shared" si="173"/>
        <v>#DIV/0!</v>
      </c>
      <c r="I253" s="97">
        <f t="shared" si="171"/>
        <v>0</v>
      </c>
      <c r="J253" s="83" t="e">
        <f t="shared" si="174"/>
        <v>#DIV/0!</v>
      </c>
    </row>
    <row r="254" spans="1:14">
      <c r="A254" s="16"/>
      <c r="B254" s="5" t="s">
        <v>88</v>
      </c>
      <c r="C254" s="97">
        <v>0.75</v>
      </c>
      <c r="D254" s="5"/>
      <c r="E254" s="94"/>
      <c r="F254" s="94">
        <v>1973</v>
      </c>
      <c r="G254" s="6">
        <f t="shared" si="172"/>
        <v>1479.75</v>
      </c>
      <c r="H254" s="6" t="e">
        <f>G254/E254</f>
        <v>#DIV/0!</v>
      </c>
      <c r="I254" s="97">
        <f t="shared" si="171"/>
        <v>0</v>
      </c>
      <c r="J254" s="83" t="e">
        <f t="shared" si="174"/>
        <v>#DIV/0!</v>
      </c>
    </row>
    <row r="255" spans="1:14">
      <c r="A255" s="16"/>
      <c r="B255" s="5" t="s">
        <v>47</v>
      </c>
      <c r="C255" s="97">
        <v>1</v>
      </c>
      <c r="D255" s="5"/>
      <c r="E255" s="94"/>
      <c r="F255" s="94">
        <v>1973</v>
      </c>
      <c r="G255" s="6">
        <f t="shared" si="172"/>
        <v>1973</v>
      </c>
      <c r="H255" s="6" t="e">
        <f t="shared" ref="H255" si="175">G255/E255</f>
        <v>#DIV/0!</v>
      </c>
      <c r="I255" s="97">
        <f t="shared" si="171"/>
        <v>0</v>
      </c>
      <c r="J255" s="83" t="e">
        <f t="shared" si="174"/>
        <v>#DIV/0!</v>
      </c>
    </row>
    <row r="256" spans="1:14">
      <c r="A256" s="16"/>
      <c r="B256" s="5"/>
      <c r="C256" s="97"/>
      <c r="D256" s="5"/>
      <c r="E256" s="94"/>
      <c r="F256" s="94">
        <v>1973</v>
      </c>
      <c r="G256" s="6"/>
      <c r="H256" s="6"/>
      <c r="I256" s="97">
        <f t="shared" si="171"/>
        <v>0</v>
      </c>
      <c r="J256" s="83">
        <f t="shared" ref="J256" si="176">I256*H256</f>
        <v>0</v>
      </c>
    </row>
    <row r="257" spans="1:13" ht="15.75" thickBot="1">
      <c r="A257" s="17"/>
      <c r="B257" s="18"/>
      <c r="C257" s="98">
        <f>SUM(C251:C256)</f>
        <v>8.5</v>
      </c>
      <c r="D257" s="18"/>
      <c r="E257" s="95"/>
      <c r="F257" s="95"/>
      <c r="G257" s="19"/>
      <c r="H257" s="19"/>
      <c r="I257" s="98"/>
      <c r="J257" s="87" t="e">
        <f>SUM(J251:J256)</f>
        <v>#DIV/0!</v>
      </c>
    </row>
    <row r="258" spans="1:13" ht="15.75" thickBot="1">
      <c r="A258" s="51"/>
      <c r="B258" s="52"/>
      <c r="C258" s="52"/>
      <c r="D258" s="52"/>
      <c r="E258" s="96"/>
      <c r="F258" s="96"/>
      <c r="G258" s="55"/>
      <c r="H258" s="160" t="s">
        <v>60</v>
      </c>
      <c r="I258" s="161"/>
      <c r="J258" s="85" t="e">
        <f>J257-J259</f>
        <v>#DIV/0!</v>
      </c>
      <c r="K258" s="50">
        <v>0</v>
      </c>
      <c r="L258" s="50"/>
      <c r="M258" s="50">
        <f>L258-K258</f>
        <v>0</v>
      </c>
    </row>
    <row r="259" spans="1:13" ht="15.75" thickBot="1">
      <c r="A259" s="51"/>
      <c r="B259" s="52"/>
      <c r="C259" s="52"/>
      <c r="D259" s="52"/>
      <c r="E259" s="96"/>
      <c r="F259" s="96"/>
      <c r="G259" s="55"/>
      <c r="H259" s="160" t="s">
        <v>57</v>
      </c>
      <c r="I259" s="161"/>
      <c r="J259" s="85" t="e">
        <f>J251+J252+J253+J254+J255+#REF!</f>
        <v>#DIV/0!</v>
      </c>
      <c r="K259" s="50">
        <v>0</v>
      </c>
      <c r="L259" s="50"/>
      <c r="M259" s="50">
        <f>L259-K259</f>
        <v>0</v>
      </c>
    </row>
    <row r="261" spans="1:13" ht="18.75">
      <c r="A261" s="54" t="s">
        <v>78</v>
      </c>
    </row>
    <row r="262" spans="1:13" ht="117" customHeight="1">
      <c r="A262" s="4" t="s">
        <v>2</v>
      </c>
      <c r="B262" s="4" t="s">
        <v>4</v>
      </c>
      <c r="C262" s="4" t="s">
        <v>0</v>
      </c>
      <c r="D262" s="4" t="s">
        <v>13</v>
      </c>
      <c r="E262" s="122" t="s">
        <v>102</v>
      </c>
      <c r="F262" s="122" t="s">
        <v>1</v>
      </c>
      <c r="G262" s="4" t="s">
        <v>5</v>
      </c>
      <c r="H262" s="4" t="s">
        <v>7</v>
      </c>
      <c r="I262" s="122" t="s">
        <v>9</v>
      </c>
      <c r="J262" s="4" t="s">
        <v>11</v>
      </c>
      <c r="K262" s="129" t="s">
        <v>33</v>
      </c>
      <c r="L262" s="129" t="s">
        <v>34</v>
      </c>
      <c r="M262" s="2"/>
    </row>
    <row r="263" spans="1:13" ht="15.75" thickBot="1">
      <c r="A263" s="9">
        <v>1</v>
      </c>
      <c r="B263" s="10">
        <v>2</v>
      </c>
      <c r="C263" s="10">
        <v>3</v>
      </c>
      <c r="D263" s="10">
        <v>4</v>
      </c>
      <c r="E263" s="118">
        <v>5</v>
      </c>
      <c r="F263" s="118">
        <v>6</v>
      </c>
      <c r="G263" s="10" t="s">
        <v>6</v>
      </c>
      <c r="H263" s="9" t="s">
        <v>8</v>
      </c>
      <c r="I263" s="118" t="s">
        <v>10</v>
      </c>
      <c r="J263" s="10" t="s">
        <v>12</v>
      </c>
      <c r="K263" s="121"/>
      <c r="L263" s="121"/>
    </row>
    <row r="264" spans="1:13">
      <c r="A264" s="12" t="s">
        <v>64</v>
      </c>
      <c r="B264" s="13" t="s">
        <v>45</v>
      </c>
      <c r="C264" s="93">
        <v>3.25</v>
      </c>
      <c r="D264" s="13">
        <v>150</v>
      </c>
      <c r="E264" s="119">
        <f>ком.усл!A163</f>
        <v>43248</v>
      </c>
      <c r="F264" s="94">
        <v>1973</v>
      </c>
      <c r="G264" s="14">
        <f>C264*F264</f>
        <v>6412.25</v>
      </c>
      <c r="H264" s="14">
        <f>G264/E264</f>
        <v>0.14826697188309285</v>
      </c>
      <c r="I264" s="97">
        <f t="shared" ref="I264:I269" si="177">D264*12*1.302/1973</f>
        <v>1.1878357830714648</v>
      </c>
      <c r="J264" s="82">
        <f>I264*H264</f>
        <v>0.17611681465038845</v>
      </c>
      <c r="K264" s="121"/>
      <c r="L264" s="121"/>
    </row>
    <row r="265" spans="1:13">
      <c r="A265" s="16"/>
      <c r="B265" s="5" t="s">
        <v>114</v>
      </c>
      <c r="C265" s="94">
        <v>0.125</v>
      </c>
      <c r="D265" s="5">
        <v>150</v>
      </c>
      <c r="E265" s="94">
        <f>E264</f>
        <v>43248</v>
      </c>
      <c r="F265" s="94">
        <f>F264</f>
        <v>1973</v>
      </c>
      <c r="G265" s="6">
        <f t="shared" ref="G265:G268" si="178">C265*F265</f>
        <v>246.625</v>
      </c>
      <c r="H265" s="6">
        <f t="shared" ref="H265:H266" si="179">G265/E265</f>
        <v>5.7025758416574179E-3</v>
      </c>
      <c r="I265" s="97">
        <f t="shared" si="177"/>
        <v>1.1878357830714648</v>
      </c>
      <c r="J265" s="83">
        <f t="shared" ref="J265:J268" si="180">I265*H265</f>
        <v>6.773723640399556E-3</v>
      </c>
      <c r="K265" s="121"/>
      <c r="L265" s="121"/>
    </row>
    <row r="266" spans="1:13">
      <c r="A266" s="16"/>
      <c r="B266" s="5" t="s">
        <v>46</v>
      </c>
      <c r="C266" s="97">
        <v>3</v>
      </c>
      <c r="D266" s="5">
        <v>150</v>
      </c>
      <c r="E266" s="94">
        <f>E265</f>
        <v>43248</v>
      </c>
      <c r="F266" s="94">
        <f t="shared" ref="F266:F269" si="181">F265</f>
        <v>1973</v>
      </c>
      <c r="G266" s="6">
        <f t="shared" si="178"/>
        <v>5919</v>
      </c>
      <c r="H266" s="6">
        <f t="shared" si="179"/>
        <v>0.13686182019977802</v>
      </c>
      <c r="I266" s="97">
        <f t="shared" si="177"/>
        <v>1.1878357830714648</v>
      </c>
      <c r="J266" s="83">
        <f t="shared" si="180"/>
        <v>0.16256936736958935</v>
      </c>
      <c r="K266" s="121"/>
      <c r="L266" s="121"/>
    </row>
    <row r="267" spans="1:13">
      <c r="A267" s="16"/>
      <c r="B267" s="5" t="s">
        <v>88</v>
      </c>
      <c r="C267" s="94">
        <v>0.75</v>
      </c>
      <c r="D267" s="5">
        <v>150</v>
      </c>
      <c r="E267" s="94">
        <f>E265</f>
        <v>43248</v>
      </c>
      <c r="F267" s="94">
        <f t="shared" si="181"/>
        <v>1973</v>
      </c>
      <c r="G267" s="6">
        <f t="shared" si="178"/>
        <v>1479.75</v>
      </c>
      <c r="H267" s="6">
        <f>G267/E267</f>
        <v>3.4215455049944506E-2</v>
      </c>
      <c r="I267" s="97">
        <f t="shared" si="177"/>
        <v>1.1878357830714648</v>
      </c>
      <c r="J267" s="83">
        <f t="shared" si="180"/>
        <v>4.0642341842397338E-2</v>
      </c>
      <c r="K267" s="121"/>
      <c r="L267" s="121"/>
    </row>
    <row r="268" spans="1:13">
      <c r="A268" s="16"/>
      <c r="B268" s="5" t="s">
        <v>47</v>
      </c>
      <c r="C268" s="94">
        <v>0.75</v>
      </c>
      <c r="D268" s="5">
        <v>150</v>
      </c>
      <c r="E268" s="94">
        <f>E264</f>
        <v>43248</v>
      </c>
      <c r="F268" s="94">
        <f t="shared" si="181"/>
        <v>1973</v>
      </c>
      <c r="G268" s="6">
        <f t="shared" si="178"/>
        <v>1479.75</v>
      </c>
      <c r="H268" s="6">
        <f t="shared" ref="H268" si="182">G268/E268</f>
        <v>3.4215455049944506E-2</v>
      </c>
      <c r="I268" s="97">
        <f t="shared" si="177"/>
        <v>1.1878357830714648</v>
      </c>
      <c r="J268" s="83">
        <f t="shared" si="180"/>
        <v>4.0642341842397338E-2</v>
      </c>
      <c r="K268" s="121"/>
      <c r="L268" s="121"/>
    </row>
    <row r="269" spans="1:13">
      <c r="A269" s="16"/>
      <c r="B269" s="5" t="s">
        <v>106</v>
      </c>
      <c r="C269" s="94">
        <v>0.75</v>
      </c>
      <c r="D269" s="5">
        <v>150</v>
      </c>
      <c r="E269" s="94">
        <f>E264</f>
        <v>43248</v>
      </c>
      <c r="F269" s="94">
        <f t="shared" si="181"/>
        <v>1973</v>
      </c>
      <c r="G269" s="6">
        <f t="shared" ref="G269" si="183">C269*F269</f>
        <v>1479.75</v>
      </c>
      <c r="H269" s="6">
        <f t="shared" ref="H269" si="184">G269/E269</f>
        <v>3.4215455049944506E-2</v>
      </c>
      <c r="I269" s="97">
        <f t="shared" si="177"/>
        <v>1.1878357830714648</v>
      </c>
      <c r="J269" s="83">
        <f t="shared" ref="J269" si="185">I269*H269</f>
        <v>4.0642341842397338E-2</v>
      </c>
      <c r="K269" s="121"/>
      <c r="L269" s="121"/>
    </row>
    <row r="270" spans="1:13">
      <c r="A270" s="16"/>
      <c r="B270" s="5"/>
      <c r="C270" s="94"/>
      <c r="D270" s="5"/>
      <c r="E270" s="94"/>
      <c r="F270" s="94"/>
      <c r="G270" s="6"/>
      <c r="H270" s="6"/>
      <c r="I270" s="97"/>
      <c r="J270" s="83">
        <f t="shared" ref="J270" si="186">I270*H270</f>
        <v>0</v>
      </c>
      <c r="K270" s="121"/>
      <c r="L270" s="121"/>
    </row>
    <row r="271" spans="1:13" ht="15.75" thickBot="1">
      <c r="A271" s="17"/>
      <c r="B271" s="18"/>
      <c r="C271" s="95">
        <f>SUM(C264:C270)</f>
        <v>8.625</v>
      </c>
      <c r="D271" s="18"/>
      <c r="E271" s="95"/>
      <c r="F271" s="95"/>
      <c r="G271" s="19"/>
      <c r="H271" s="19"/>
      <c r="I271" s="98"/>
      <c r="J271" s="87">
        <f>SUM(J264:J270)</f>
        <v>0.46738693118756935</v>
      </c>
      <c r="K271" s="121"/>
      <c r="L271" s="121"/>
    </row>
    <row r="272" spans="1:13" ht="15.75" thickBot="1">
      <c r="A272" s="51"/>
      <c r="B272" s="52"/>
      <c r="C272" s="52"/>
      <c r="D272" s="52"/>
      <c r="E272" s="96"/>
      <c r="F272" s="96"/>
      <c r="G272" s="55"/>
      <c r="H272" s="160" t="s">
        <v>60</v>
      </c>
      <c r="I272" s="161"/>
      <c r="J272" s="85">
        <f>J271-J273</f>
        <v>0</v>
      </c>
      <c r="K272" s="130">
        <f>J272*122</f>
        <v>0</v>
      </c>
      <c r="L272" s="130"/>
      <c r="M272" s="3">
        <f>L272-K272</f>
        <v>0</v>
      </c>
    </row>
    <row r="273" spans="1:13" ht="15.75" thickBot="1">
      <c r="A273" s="51"/>
      <c r="B273" s="52"/>
      <c r="C273" s="52"/>
      <c r="D273" s="52"/>
      <c r="E273" s="119"/>
      <c r="F273" s="96"/>
      <c r="G273" s="55"/>
      <c r="H273" s="160" t="s">
        <v>57</v>
      </c>
      <c r="I273" s="161"/>
      <c r="J273" s="85">
        <f>J264+J265+J266+J267+J268+J269</f>
        <v>0.46738693118756935</v>
      </c>
      <c r="K273" s="130">
        <f>J273*E264</f>
        <v>20213.55</v>
      </c>
      <c r="L273" s="130">
        <v>20213.55</v>
      </c>
      <c r="M273" s="3">
        <f>L273-K273</f>
        <v>0</v>
      </c>
    </row>
    <row r="274" spans="1:13">
      <c r="A274" s="12" t="s">
        <v>67</v>
      </c>
      <c r="B274" s="13" t="s">
        <v>45</v>
      </c>
      <c r="C274" s="93">
        <v>5.75</v>
      </c>
      <c r="D274" s="13">
        <v>150</v>
      </c>
      <c r="E274" s="119">
        <f>ком.усл!A168</f>
        <v>59430</v>
      </c>
      <c r="F274" s="94">
        <v>1973</v>
      </c>
      <c r="G274" s="14">
        <f>C274*F274</f>
        <v>11344.75</v>
      </c>
      <c r="H274" s="14">
        <f>G274/E274</f>
        <v>0.19089264681137472</v>
      </c>
      <c r="I274" s="97">
        <f t="shared" ref="I274:I279" si="187">D274*12*1.302/1973</f>
        <v>1.1878357830714648</v>
      </c>
      <c r="J274" s="82">
        <f>I274*H274</f>
        <v>0.22674911660777383</v>
      </c>
      <c r="K274" s="130"/>
      <c r="L274" s="130"/>
      <c r="M274" s="3"/>
    </row>
    <row r="275" spans="1:13">
      <c r="A275" s="16"/>
      <c r="B275" s="5" t="s">
        <v>106</v>
      </c>
      <c r="C275" s="94">
        <v>3</v>
      </c>
      <c r="D275" s="5">
        <v>150</v>
      </c>
      <c r="E275" s="94">
        <f>E274</f>
        <v>59430</v>
      </c>
      <c r="F275" s="94">
        <f>F274</f>
        <v>1973</v>
      </c>
      <c r="G275" s="6">
        <f t="shared" ref="G275:G278" si="188">C275*F275</f>
        <v>5919</v>
      </c>
      <c r="H275" s="6">
        <f t="shared" ref="H275:H276" si="189">G275/E275</f>
        <v>9.9596163553760733E-2</v>
      </c>
      <c r="I275" s="97">
        <f t="shared" si="187"/>
        <v>1.1878357830714648</v>
      </c>
      <c r="J275" s="83">
        <f t="shared" ref="J275:J278" si="190">I275*H275</f>
        <v>0.11830388692579506</v>
      </c>
      <c r="K275" s="130"/>
      <c r="L275" s="130"/>
      <c r="M275" s="3"/>
    </row>
    <row r="276" spans="1:13">
      <c r="A276" s="16"/>
      <c r="B276" s="5" t="s">
        <v>46</v>
      </c>
      <c r="C276" s="94">
        <v>6</v>
      </c>
      <c r="D276" s="5">
        <v>150</v>
      </c>
      <c r="E276" s="94">
        <f>E275</f>
        <v>59430</v>
      </c>
      <c r="F276" s="94">
        <f t="shared" ref="F276:F278" si="191">F275</f>
        <v>1973</v>
      </c>
      <c r="G276" s="6">
        <f t="shared" si="188"/>
        <v>11838</v>
      </c>
      <c r="H276" s="6">
        <f t="shared" si="189"/>
        <v>0.19919232710752147</v>
      </c>
      <c r="I276" s="97">
        <f t="shared" si="187"/>
        <v>1.1878357830714648</v>
      </c>
      <c r="J276" s="83">
        <f t="shared" si="190"/>
        <v>0.23660777385159013</v>
      </c>
      <c r="K276" s="130"/>
      <c r="L276" s="130"/>
      <c r="M276" s="3"/>
    </row>
    <row r="277" spans="1:13">
      <c r="A277" s="16"/>
      <c r="B277" s="5" t="s">
        <v>88</v>
      </c>
      <c r="C277" s="94">
        <v>1.5</v>
      </c>
      <c r="D277" s="5">
        <v>150</v>
      </c>
      <c r="E277" s="94">
        <f>E275</f>
        <v>59430</v>
      </c>
      <c r="F277" s="94">
        <f t="shared" si="191"/>
        <v>1973</v>
      </c>
      <c r="G277" s="6">
        <f t="shared" si="188"/>
        <v>2959.5</v>
      </c>
      <c r="H277" s="6">
        <f>G277/E277</f>
        <v>4.9798081776880367E-2</v>
      </c>
      <c r="I277" s="97">
        <f t="shared" si="187"/>
        <v>1.1878357830714648</v>
      </c>
      <c r="J277" s="83">
        <f t="shared" si="190"/>
        <v>5.9151943462897531E-2</v>
      </c>
      <c r="K277" s="130"/>
      <c r="L277" s="130"/>
      <c r="M277" s="3"/>
    </row>
    <row r="278" spans="1:13">
      <c r="A278" s="16"/>
      <c r="B278" s="5" t="s">
        <v>47</v>
      </c>
      <c r="C278" s="94">
        <v>1.5</v>
      </c>
      <c r="D278" s="5">
        <v>150</v>
      </c>
      <c r="E278" s="94">
        <f>E274</f>
        <v>59430</v>
      </c>
      <c r="F278" s="94">
        <f t="shared" si="191"/>
        <v>1973</v>
      </c>
      <c r="G278" s="6">
        <f t="shared" si="188"/>
        <v>2959.5</v>
      </c>
      <c r="H278" s="6">
        <f t="shared" ref="H278" si="192">G278/E278</f>
        <v>4.9798081776880367E-2</v>
      </c>
      <c r="I278" s="97">
        <f t="shared" si="187"/>
        <v>1.1878357830714648</v>
      </c>
      <c r="J278" s="83">
        <f t="shared" si="190"/>
        <v>5.9151943462897531E-2</v>
      </c>
      <c r="K278" s="130"/>
      <c r="L278" s="130"/>
      <c r="M278" s="3"/>
    </row>
    <row r="279" spans="1:13">
      <c r="A279" s="16"/>
      <c r="B279" s="5"/>
      <c r="C279" s="94"/>
      <c r="D279" s="5"/>
      <c r="E279" s="94">
        <f>E274</f>
        <v>59430</v>
      </c>
      <c r="F279" s="94"/>
      <c r="G279" s="6"/>
      <c r="H279" s="6"/>
      <c r="I279" s="97">
        <f t="shared" si="187"/>
        <v>0</v>
      </c>
      <c r="J279" s="83">
        <f t="shared" ref="J279" si="193">I279*H279</f>
        <v>0</v>
      </c>
      <c r="K279" s="130"/>
      <c r="L279" s="130"/>
      <c r="M279" s="3"/>
    </row>
    <row r="280" spans="1:13" ht="15.75" thickBot="1">
      <c r="A280" s="17"/>
      <c r="B280" s="18"/>
      <c r="C280" s="95">
        <f>SUM(C274:C279)</f>
        <v>17.75</v>
      </c>
      <c r="D280" s="18"/>
      <c r="E280" s="95"/>
      <c r="F280" s="95"/>
      <c r="G280" s="19"/>
      <c r="H280" s="19"/>
      <c r="I280" s="98"/>
      <c r="J280" s="87">
        <f>SUM(J274:J279)</f>
        <v>0.69996466431095405</v>
      </c>
      <c r="K280" s="130"/>
      <c r="L280" s="130"/>
      <c r="M280" s="3"/>
    </row>
    <row r="281" spans="1:13" ht="15.75" thickBot="1">
      <c r="A281" s="51"/>
      <c r="B281" s="52"/>
      <c r="C281" s="52"/>
      <c r="D281" s="52"/>
      <c r="E281" s="96"/>
      <c r="F281" s="96"/>
      <c r="G281" s="55"/>
      <c r="H281" s="160" t="s">
        <v>60</v>
      </c>
      <c r="I281" s="161"/>
      <c r="J281" s="85">
        <f>J280-J282</f>
        <v>0</v>
      </c>
      <c r="K281" s="130">
        <f>J281*122</f>
        <v>0</v>
      </c>
      <c r="L281" s="130"/>
      <c r="M281" s="3">
        <f>L281-K281</f>
        <v>0</v>
      </c>
    </row>
    <row r="282" spans="1:13" ht="15.75" thickBot="1">
      <c r="A282" s="51"/>
      <c r="B282" s="52"/>
      <c r="C282" s="52"/>
      <c r="D282" s="52"/>
      <c r="E282" s="119"/>
      <c r="F282" s="96"/>
      <c r="G282" s="55"/>
      <c r="H282" s="160" t="s">
        <v>57</v>
      </c>
      <c r="I282" s="161"/>
      <c r="J282" s="85">
        <f>J274+J275+J276+J277+J278</f>
        <v>0.69996466431095405</v>
      </c>
      <c r="K282" s="130">
        <f>J282*E274</f>
        <v>41598.9</v>
      </c>
      <c r="L282" s="130">
        <v>41598.9</v>
      </c>
      <c r="M282" s="3">
        <f>L282-K282</f>
        <v>0</v>
      </c>
    </row>
    <row r="283" spans="1:13">
      <c r="A283" s="12" t="s">
        <v>68</v>
      </c>
      <c r="B283" s="13" t="s">
        <v>45</v>
      </c>
      <c r="C283" s="93">
        <f>3.5+4</f>
        <v>7.5</v>
      </c>
      <c r="D283" s="13">
        <v>150</v>
      </c>
      <c r="E283" s="119">
        <f>ком.усл!A173</f>
        <v>69473</v>
      </c>
      <c r="F283" s="94">
        <v>1973</v>
      </c>
      <c r="G283" s="14">
        <f>C283*F283</f>
        <v>14797.5</v>
      </c>
      <c r="H283" s="14">
        <f>G283/E283</f>
        <v>0.2129964158737927</v>
      </c>
      <c r="I283" s="97">
        <f t="shared" ref="I283:I288" si="194">D283*12*1.302/1973</f>
        <v>1.1878357830714648</v>
      </c>
      <c r="J283" s="82">
        <f>I283*H283</f>
        <v>0.2530047644408619</v>
      </c>
      <c r="K283" s="130"/>
      <c r="L283" s="130"/>
      <c r="M283" s="3"/>
    </row>
    <row r="284" spans="1:13">
      <c r="A284" s="16"/>
      <c r="B284" s="5" t="s">
        <v>106</v>
      </c>
      <c r="C284" s="94">
        <v>1.75</v>
      </c>
      <c r="D284" s="5">
        <v>150</v>
      </c>
      <c r="E284" s="94">
        <f>E283</f>
        <v>69473</v>
      </c>
      <c r="F284" s="94">
        <f>F283</f>
        <v>1973</v>
      </c>
      <c r="G284" s="6">
        <f t="shared" ref="G284:G287" si="195">C284*F284</f>
        <v>3452.75</v>
      </c>
      <c r="H284" s="6">
        <f t="shared" ref="H284:H285" si="196">G284/E284</f>
        <v>4.9699163703884962E-2</v>
      </c>
      <c r="I284" s="97">
        <f t="shared" si="194"/>
        <v>1.1878357830714648</v>
      </c>
      <c r="J284" s="83">
        <f t="shared" ref="J284:J287" si="197">I284*H284</f>
        <v>5.9034445036201109E-2</v>
      </c>
      <c r="K284" s="130"/>
      <c r="L284" s="130"/>
      <c r="M284" s="3"/>
    </row>
    <row r="285" spans="1:13">
      <c r="A285" s="16"/>
      <c r="B285" s="5" t="s">
        <v>46</v>
      </c>
      <c r="C285" s="94">
        <v>9</v>
      </c>
      <c r="D285" s="5">
        <v>150</v>
      </c>
      <c r="E285" s="94">
        <f>E284</f>
        <v>69473</v>
      </c>
      <c r="F285" s="94">
        <f t="shared" ref="F285:F288" si="198">F284</f>
        <v>1973</v>
      </c>
      <c r="G285" s="6">
        <f t="shared" si="195"/>
        <v>17757</v>
      </c>
      <c r="H285" s="6">
        <f t="shared" si="196"/>
        <v>0.25559569904855123</v>
      </c>
      <c r="I285" s="97">
        <f t="shared" si="194"/>
        <v>1.1878357830714648</v>
      </c>
      <c r="J285" s="83">
        <f t="shared" si="197"/>
        <v>0.3036057173290343</v>
      </c>
      <c r="K285" s="130"/>
      <c r="L285" s="130"/>
      <c r="M285" s="3"/>
    </row>
    <row r="286" spans="1:13">
      <c r="A286" s="16"/>
      <c r="B286" s="5" t="s">
        <v>88</v>
      </c>
      <c r="C286" s="94">
        <v>1.5</v>
      </c>
      <c r="D286" s="5">
        <v>150</v>
      </c>
      <c r="E286" s="94">
        <f>E284</f>
        <v>69473</v>
      </c>
      <c r="F286" s="94">
        <f t="shared" si="198"/>
        <v>1973</v>
      </c>
      <c r="G286" s="6">
        <f t="shared" si="195"/>
        <v>2959.5</v>
      </c>
      <c r="H286" s="6">
        <f>G286/E286</f>
        <v>4.2599283174758543E-2</v>
      </c>
      <c r="I286" s="97">
        <f t="shared" si="194"/>
        <v>1.1878357830714648</v>
      </c>
      <c r="J286" s="83">
        <f t="shared" si="197"/>
        <v>5.0600952888172387E-2</v>
      </c>
      <c r="K286" s="130"/>
      <c r="L286" s="130"/>
      <c r="M286" s="3"/>
    </row>
    <row r="287" spans="1:13">
      <c r="A287" s="16"/>
      <c r="B287" s="5" t="s">
        <v>47</v>
      </c>
      <c r="C287" s="94">
        <f>2.45+1.5</f>
        <v>3.95</v>
      </c>
      <c r="D287" s="5">
        <v>150</v>
      </c>
      <c r="E287" s="94">
        <f>E283</f>
        <v>69473</v>
      </c>
      <c r="F287" s="94">
        <f t="shared" si="198"/>
        <v>1973</v>
      </c>
      <c r="G287" s="6">
        <f t="shared" si="195"/>
        <v>7793.35</v>
      </c>
      <c r="H287" s="6">
        <f t="shared" ref="H287" si="199">G287/E287</f>
        <v>0.11217811236019749</v>
      </c>
      <c r="I287" s="97">
        <f t="shared" si="194"/>
        <v>1.1878357830714648</v>
      </c>
      <c r="J287" s="83">
        <f t="shared" si="197"/>
        <v>0.13324917593885394</v>
      </c>
      <c r="K287" s="130"/>
      <c r="L287" s="130"/>
      <c r="M287" s="3"/>
    </row>
    <row r="288" spans="1:13">
      <c r="A288" s="16"/>
      <c r="B288" s="5" t="s">
        <v>116</v>
      </c>
      <c r="C288" s="94">
        <v>1</v>
      </c>
      <c r="D288" s="5">
        <v>150</v>
      </c>
      <c r="E288" s="94">
        <f>E283</f>
        <v>69473</v>
      </c>
      <c r="F288" s="94">
        <f t="shared" si="198"/>
        <v>1973</v>
      </c>
      <c r="G288" s="6">
        <f t="shared" ref="G288" si="200">C288*F288</f>
        <v>1973</v>
      </c>
      <c r="H288" s="6">
        <f t="shared" ref="H288" si="201">G288/E288</f>
        <v>2.8399522116505694E-2</v>
      </c>
      <c r="I288" s="97">
        <f t="shared" si="194"/>
        <v>1.1878357830714648</v>
      </c>
      <c r="J288" s="83">
        <f t="shared" ref="J288" si="202">I288*H288</f>
        <v>3.3733968592114923E-2</v>
      </c>
      <c r="K288" s="130"/>
      <c r="L288" s="130"/>
      <c r="M288" s="3"/>
    </row>
    <row r="289" spans="1:13" ht="15.75" thickBot="1">
      <c r="A289" s="17"/>
      <c r="B289" s="18"/>
      <c r="C289" s="98">
        <f>SUM(C283:C288)</f>
        <v>24.7</v>
      </c>
      <c r="D289" s="18"/>
      <c r="E289" s="95"/>
      <c r="F289" s="95"/>
      <c r="G289" s="19"/>
      <c r="H289" s="19"/>
      <c r="I289" s="98"/>
      <c r="J289" s="87">
        <f>SUM(J283:J288)</f>
        <v>0.83322902422523848</v>
      </c>
      <c r="K289" s="130"/>
      <c r="L289" s="130"/>
      <c r="M289" s="3"/>
    </row>
    <row r="290" spans="1:13" ht="15.75" thickBot="1">
      <c r="A290" s="51"/>
      <c r="B290" s="52"/>
      <c r="C290" s="52"/>
      <c r="D290" s="52"/>
      <c r="E290" s="96"/>
      <c r="F290" s="96"/>
      <c r="G290" s="55"/>
      <c r="H290" s="160" t="s">
        <v>60</v>
      </c>
      <c r="I290" s="161"/>
      <c r="J290" s="85">
        <f>J289-J291</f>
        <v>0</v>
      </c>
      <c r="K290" s="130">
        <f>J290*122</f>
        <v>0</v>
      </c>
      <c r="L290" s="130"/>
      <c r="M290" s="3">
        <f>L290-K290</f>
        <v>0</v>
      </c>
    </row>
    <row r="291" spans="1:13" ht="15.75" thickBot="1">
      <c r="A291" s="51"/>
      <c r="B291" s="52"/>
      <c r="C291" s="52"/>
      <c r="D291" s="52"/>
      <c r="E291" s="119"/>
      <c r="F291" s="96"/>
      <c r="G291" s="55"/>
      <c r="H291" s="160" t="s">
        <v>57</v>
      </c>
      <c r="I291" s="161"/>
      <c r="J291" s="85">
        <f>J283+J284+J285+J286+J287+J288</f>
        <v>0.83322902422523848</v>
      </c>
      <c r="K291" s="130">
        <f>J291*E283</f>
        <v>57886.919999999991</v>
      </c>
      <c r="L291" s="130">
        <v>57886.92</v>
      </c>
      <c r="M291" s="3">
        <f>L291-K291</f>
        <v>0</v>
      </c>
    </row>
    <row r="292" spans="1:13">
      <c r="A292" s="12" t="s">
        <v>69</v>
      </c>
      <c r="B292" s="13" t="s">
        <v>45</v>
      </c>
      <c r="C292" s="93">
        <v>6.25</v>
      </c>
      <c r="D292" s="13">
        <v>150</v>
      </c>
      <c r="E292" s="119">
        <f>ком.усл!A178</f>
        <v>30430</v>
      </c>
      <c r="F292" s="94">
        <v>1973</v>
      </c>
      <c r="G292" s="14">
        <f>C292*F292</f>
        <v>12331.25</v>
      </c>
      <c r="H292" s="14">
        <f>G292/E292</f>
        <v>0.40523332237923104</v>
      </c>
      <c r="I292" s="97">
        <f t="shared" ref="I292:I297" si="203">D292*12*1.302/1973</f>
        <v>1.1878357830714648</v>
      </c>
      <c r="J292" s="82">
        <f>I292*H292</f>
        <v>0.48135064081498524</v>
      </c>
      <c r="K292" s="130"/>
      <c r="L292" s="130"/>
      <c r="M292" s="3"/>
    </row>
    <row r="293" spans="1:13">
      <c r="A293" s="16"/>
      <c r="B293" s="5" t="s">
        <v>106</v>
      </c>
      <c r="C293" s="94">
        <v>0.75</v>
      </c>
      <c r="D293" s="5">
        <v>150</v>
      </c>
      <c r="E293" s="94">
        <f>E292</f>
        <v>30430</v>
      </c>
      <c r="F293" s="94">
        <f>F292</f>
        <v>1973</v>
      </c>
      <c r="G293" s="6">
        <f t="shared" ref="G293:G297" si="204">C293*F293</f>
        <v>1479.75</v>
      </c>
      <c r="H293" s="6">
        <f t="shared" ref="H293:H294" si="205">G293/E293</f>
        <v>4.8627998685507726E-2</v>
      </c>
      <c r="I293" s="97">
        <f t="shared" si="203"/>
        <v>1.1878357830714648</v>
      </c>
      <c r="J293" s="83">
        <f t="shared" ref="J293:J296" si="206">I293*H293</f>
        <v>5.7762076897798227E-2</v>
      </c>
      <c r="K293" s="130"/>
      <c r="L293" s="130"/>
      <c r="M293" s="3"/>
    </row>
    <row r="294" spans="1:13">
      <c r="A294" s="16"/>
      <c r="B294" s="5" t="s">
        <v>46</v>
      </c>
      <c r="C294" s="94">
        <v>3</v>
      </c>
      <c r="D294" s="5">
        <v>150</v>
      </c>
      <c r="E294" s="94">
        <f>E293</f>
        <v>30430</v>
      </c>
      <c r="F294" s="94">
        <f t="shared" ref="F294:F297" si="207">F293</f>
        <v>1973</v>
      </c>
      <c r="G294" s="6">
        <f t="shared" si="204"/>
        <v>5919</v>
      </c>
      <c r="H294" s="6">
        <f t="shared" si="205"/>
        <v>0.1945119947420309</v>
      </c>
      <c r="I294" s="97">
        <f t="shared" si="203"/>
        <v>1.1878357830714648</v>
      </c>
      <c r="J294" s="83">
        <f t="shared" si="206"/>
        <v>0.23104830759119291</v>
      </c>
      <c r="K294" s="130"/>
      <c r="L294" s="130"/>
      <c r="M294" s="3"/>
    </row>
    <row r="295" spans="1:13">
      <c r="A295" s="16"/>
      <c r="B295" s="5" t="s">
        <v>88</v>
      </c>
      <c r="C295" s="94">
        <v>1.5</v>
      </c>
      <c r="D295" s="5">
        <v>150</v>
      </c>
      <c r="E295" s="94">
        <f>E293</f>
        <v>30430</v>
      </c>
      <c r="F295" s="94">
        <f t="shared" si="207"/>
        <v>1973</v>
      </c>
      <c r="G295" s="6">
        <f t="shared" si="204"/>
        <v>2959.5</v>
      </c>
      <c r="H295" s="6">
        <f>G295/E295</f>
        <v>9.7255997371015451E-2</v>
      </c>
      <c r="I295" s="97">
        <f t="shared" si="203"/>
        <v>1.1878357830714648</v>
      </c>
      <c r="J295" s="83">
        <f t="shared" si="206"/>
        <v>0.11552415379559645</v>
      </c>
      <c r="K295" s="130"/>
      <c r="L295" s="130"/>
      <c r="M295" s="3"/>
    </row>
    <row r="296" spans="1:13">
      <c r="A296" s="16"/>
      <c r="B296" s="5" t="s">
        <v>47</v>
      </c>
      <c r="C296" s="94">
        <v>3</v>
      </c>
      <c r="D296" s="5">
        <v>150</v>
      </c>
      <c r="E296" s="94">
        <f>E292</f>
        <v>30430</v>
      </c>
      <c r="F296" s="94">
        <f t="shared" si="207"/>
        <v>1973</v>
      </c>
      <c r="G296" s="6">
        <f t="shared" si="204"/>
        <v>5919</v>
      </c>
      <c r="H296" s="6">
        <f t="shared" ref="H296:H297" si="208">G296/E296</f>
        <v>0.1945119947420309</v>
      </c>
      <c r="I296" s="97">
        <f t="shared" si="203"/>
        <v>1.1878357830714648</v>
      </c>
      <c r="J296" s="83">
        <f t="shared" si="206"/>
        <v>0.23104830759119291</v>
      </c>
      <c r="K296" s="130"/>
      <c r="L296" s="130"/>
      <c r="M296" s="3"/>
    </row>
    <row r="297" spans="1:13">
      <c r="A297" s="16"/>
      <c r="B297" s="5" t="s">
        <v>114</v>
      </c>
      <c r="C297" s="94">
        <v>0.125</v>
      </c>
      <c r="D297" s="5">
        <v>150</v>
      </c>
      <c r="E297" s="94">
        <f>E292</f>
        <v>30430</v>
      </c>
      <c r="F297" s="94">
        <f t="shared" si="207"/>
        <v>1973</v>
      </c>
      <c r="G297" s="6">
        <f t="shared" si="204"/>
        <v>246.625</v>
      </c>
      <c r="H297" s="6">
        <f t="shared" si="208"/>
        <v>8.1046664475846204E-3</v>
      </c>
      <c r="I297" s="97">
        <f t="shared" si="203"/>
        <v>1.1878357830714648</v>
      </c>
      <c r="J297" s="83">
        <f t="shared" ref="J297" si="209">I297*H297</f>
        <v>9.6270128162997039E-3</v>
      </c>
      <c r="K297" s="130"/>
      <c r="L297" s="130"/>
      <c r="M297" s="3"/>
    </row>
    <row r="298" spans="1:13" ht="15.75" thickBot="1">
      <c r="A298" s="17"/>
      <c r="B298" s="18"/>
      <c r="C298" s="95">
        <f>SUM(C292:C297)</f>
        <v>14.625</v>
      </c>
      <c r="D298" s="18"/>
      <c r="E298" s="95"/>
      <c r="F298" s="95"/>
      <c r="G298" s="19"/>
      <c r="H298" s="19"/>
      <c r="I298" s="98"/>
      <c r="J298" s="87">
        <f>SUM(J292:J297)</f>
        <v>1.1263604995070653</v>
      </c>
      <c r="K298" s="130"/>
      <c r="L298" s="130"/>
      <c r="M298" s="3"/>
    </row>
    <row r="299" spans="1:13" ht="15.75" thickBot="1">
      <c r="A299" s="51"/>
      <c r="B299" s="52"/>
      <c r="C299" s="52"/>
      <c r="D299" s="52"/>
      <c r="E299" s="96"/>
      <c r="F299" s="96"/>
      <c r="G299" s="55"/>
      <c r="H299" s="160" t="s">
        <v>60</v>
      </c>
      <c r="I299" s="161"/>
      <c r="J299" s="85">
        <f>J298-J300</f>
        <v>0</v>
      </c>
      <c r="K299" s="130">
        <f>J299*122</f>
        <v>0</v>
      </c>
      <c r="L299" s="130"/>
      <c r="M299" s="3">
        <f>L299-K299</f>
        <v>0</v>
      </c>
    </row>
    <row r="300" spans="1:13" ht="15.75" thickBot="1">
      <c r="A300" s="51"/>
      <c r="B300" s="52"/>
      <c r="C300" s="52"/>
      <c r="D300" s="52"/>
      <c r="E300" s="119"/>
      <c r="F300" s="119"/>
      <c r="G300" s="55"/>
      <c r="H300" s="160" t="s">
        <v>57</v>
      </c>
      <c r="I300" s="162"/>
      <c r="J300" s="85">
        <f>J292+J293+J294+J295+J296+J297</f>
        <v>1.1263604995070653</v>
      </c>
      <c r="K300" s="130">
        <f>J300*E292</f>
        <v>34275.149999999994</v>
      </c>
      <c r="L300" s="130">
        <v>34275.15</v>
      </c>
      <c r="M300" s="3">
        <f>L300-K300</f>
        <v>0</v>
      </c>
    </row>
    <row r="301" spans="1:13">
      <c r="A301" s="12" t="s">
        <v>70</v>
      </c>
      <c r="B301" s="13" t="s">
        <v>45</v>
      </c>
      <c r="C301" s="93">
        <v>9</v>
      </c>
      <c r="D301" s="15">
        <v>150</v>
      </c>
      <c r="E301" s="119">
        <f>ком.усл!A183</f>
        <v>62208</v>
      </c>
      <c r="F301" s="94">
        <v>1973</v>
      </c>
      <c r="G301" s="14">
        <f>C301*F301</f>
        <v>17757</v>
      </c>
      <c r="H301" s="14">
        <f>G301/E301</f>
        <v>0.28544560185185186</v>
      </c>
      <c r="I301" s="97">
        <f t="shared" ref="I301:I306" si="210">D301*12*1.302/1973</f>
        <v>1.1878357830714648</v>
      </c>
      <c r="J301" s="82">
        <f>I301*H301</f>
        <v>0.33906249999999999</v>
      </c>
      <c r="K301" s="130"/>
      <c r="L301" s="130"/>
      <c r="M301" s="3"/>
    </row>
    <row r="302" spans="1:13">
      <c r="A302" s="16"/>
      <c r="B302" s="5" t="s">
        <v>106</v>
      </c>
      <c r="C302" s="94">
        <v>1</v>
      </c>
      <c r="D302" s="5">
        <v>150</v>
      </c>
      <c r="E302" s="94">
        <f>E301</f>
        <v>62208</v>
      </c>
      <c r="F302" s="94">
        <f>F301</f>
        <v>1973</v>
      </c>
      <c r="G302" s="6">
        <f t="shared" ref="G302:G305" si="211">C302*F302</f>
        <v>1973</v>
      </c>
      <c r="H302" s="6">
        <f t="shared" ref="H302:H303" si="212">G302/E302</f>
        <v>3.1716177983539096E-2</v>
      </c>
      <c r="I302" s="97">
        <f t="shared" si="210"/>
        <v>1.1878357830714648</v>
      </c>
      <c r="J302" s="83">
        <f t="shared" ref="J302:J305" si="213">I302*H302</f>
        <v>3.7673611111111109E-2</v>
      </c>
      <c r="K302" s="130"/>
      <c r="L302" s="130"/>
      <c r="M302" s="3"/>
    </row>
    <row r="303" spans="1:13">
      <c r="A303" s="16"/>
      <c r="B303" s="5" t="s">
        <v>46</v>
      </c>
      <c r="C303" s="94">
        <v>3</v>
      </c>
      <c r="D303" s="5">
        <v>150</v>
      </c>
      <c r="E303" s="94">
        <f>E302</f>
        <v>62208</v>
      </c>
      <c r="F303" s="94">
        <f t="shared" ref="F303:F305" si="214">F302</f>
        <v>1973</v>
      </c>
      <c r="G303" s="6">
        <f t="shared" si="211"/>
        <v>5919</v>
      </c>
      <c r="H303" s="6">
        <f t="shared" si="212"/>
        <v>9.5148533950617287E-2</v>
      </c>
      <c r="I303" s="97">
        <f t="shared" si="210"/>
        <v>1.1878357830714648</v>
      </c>
      <c r="J303" s="83">
        <f t="shared" si="213"/>
        <v>0.11302083333333333</v>
      </c>
      <c r="K303" s="130"/>
      <c r="L303" s="130"/>
      <c r="M303" s="3"/>
    </row>
    <row r="304" spans="1:13">
      <c r="A304" s="16"/>
      <c r="B304" s="5" t="s">
        <v>88</v>
      </c>
      <c r="C304" s="94">
        <v>1.5</v>
      </c>
      <c r="D304" s="5">
        <v>150</v>
      </c>
      <c r="E304" s="94">
        <f>E302</f>
        <v>62208</v>
      </c>
      <c r="F304" s="94">
        <f t="shared" si="214"/>
        <v>1973</v>
      </c>
      <c r="G304" s="6">
        <f t="shared" si="211"/>
        <v>2959.5</v>
      </c>
      <c r="H304" s="6">
        <f>G304/E304</f>
        <v>4.7574266975308643E-2</v>
      </c>
      <c r="I304" s="97">
        <f t="shared" si="210"/>
        <v>1.1878357830714648</v>
      </c>
      <c r="J304" s="83">
        <f t="shared" si="213"/>
        <v>5.6510416666666667E-2</v>
      </c>
      <c r="K304" s="130"/>
      <c r="L304" s="130"/>
      <c r="M304" s="3"/>
    </row>
    <row r="305" spans="1:13">
      <c r="A305" s="16"/>
      <c r="B305" s="5" t="s">
        <v>47</v>
      </c>
      <c r="C305" s="94">
        <v>1.5</v>
      </c>
      <c r="D305" s="5">
        <v>150</v>
      </c>
      <c r="E305" s="94">
        <f>E301</f>
        <v>62208</v>
      </c>
      <c r="F305" s="94">
        <f t="shared" si="214"/>
        <v>1973</v>
      </c>
      <c r="G305" s="6">
        <f t="shared" si="211"/>
        <v>2959.5</v>
      </c>
      <c r="H305" s="6">
        <f t="shared" ref="H305" si="215">G305/E305</f>
        <v>4.7574266975308643E-2</v>
      </c>
      <c r="I305" s="97">
        <f t="shared" si="210"/>
        <v>1.1878357830714648</v>
      </c>
      <c r="J305" s="83">
        <f t="shared" si="213"/>
        <v>5.6510416666666667E-2</v>
      </c>
      <c r="K305" s="130"/>
      <c r="L305" s="130"/>
      <c r="M305" s="3"/>
    </row>
    <row r="306" spans="1:13">
      <c r="A306" s="16"/>
      <c r="B306" s="5"/>
      <c r="C306" s="94"/>
      <c r="D306" s="5"/>
      <c r="E306" s="94">
        <f>E301</f>
        <v>62208</v>
      </c>
      <c r="F306" s="94"/>
      <c r="G306" s="6"/>
      <c r="H306" s="6"/>
      <c r="I306" s="97">
        <f t="shared" si="210"/>
        <v>0</v>
      </c>
      <c r="J306" s="83">
        <f t="shared" ref="J306" si="216">I306*H306</f>
        <v>0</v>
      </c>
      <c r="K306" s="130"/>
      <c r="L306" s="130"/>
      <c r="M306" s="3"/>
    </row>
    <row r="307" spans="1:13" ht="15.75" thickBot="1">
      <c r="A307" s="17"/>
      <c r="B307" s="18"/>
      <c r="C307" s="98">
        <f>SUM(C301:C306)</f>
        <v>16</v>
      </c>
      <c r="D307" s="18"/>
      <c r="E307" s="95"/>
      <c r="F307" s="95"/>
      <c r="G307" s="19"/>
      <c r="H307" s="19"/>
      <c r="I307" s="98"/>
      <c r="J307" s="87">
        <f>SUM(J301:J306)</f>
        <v>0.60277777777777775</v>
      </c>
      <c r="K307" s="130"/>
      <c r="L307" s="130"/>
      <c r="M307" s="3"/>
    </row>
    <row r="308" spans="1:13" ht="15.75" thickBot="1">
      <c r="A308" s="51"/>
      <c r="B308" s="52"/>
      <c r="C308" s="52"/>
      <c r="D308" s="52"/>
      <c r="E308" s="96"/>
      <c r="F308" s="96"/>
      <c r="G308" s="55"/>
      <c r="H308" s="160" t="s">
        <v>60</v>
      </c>
      <c r="I308" s="161"/>
      <c r="J308" s="85">
        <f>J307-J309</f>
        <v>0</v>
      </c>
      <c r="K308" s="130">
        <f>J308*122</f>
        <v>0</v>
      </c>
      <c r="L308" s="130"/>
      <c r="M308" s="3">
        <f>L308-K308</f>
        <v>0</v>
      </c>
    </row>
    <row r="309" spans="1:13" ht="15.75" thickBot="1">
      <c r="A309" s="51"/>
      <c r="B309" s="52"/>
      <c r="C309" s="52"/>
      <c r="D309" s="52"/>
      <c r="E309" s="119"/>
      <c r="F309" s="96"/>
      <c r="G309" s="55"/>
      <c r="H309" s="160" t="s">
        <v>57</v>
      </c>
      <c r="I309" s="161"/>
      <c r="J309" s="85">
        <f>J301+J302+J303+J304+J305</f>
        <v>0.60277777777777775</v>
      </c>
      <c r="K309" s="130">
        <f>J309*E301</f>
        <v>37497.599999999999</v>
      </c>
      <c r="L309" s="130">
        <v>37497.599999999999</v>
      </c>
      <c r="M309" s="3">
        <f>L309-K309</f>
        <v>0</v>
      </c>
    </row>
    <row r="310" spans="1:13">
      <c r="A310" s="12" t="s">
        <v>71</v>
      </c>
      <c r="B310" s="13" t="s">
        <v>45</v>
      </c>
      <c r="C310" s="93">
        <v>6.75</v>
      </c>
      <c r="D310" s="13">
        <v>150</v>
      </c>
      <c r="E310" s="119">
        <f>ком.усл!A188</f>
        <v>60078</v>
      </c>
      <c r="F310" s="94">
        <v>1973</v>
      </c>
      <c r="G310" s="14">
        <f>C310*F310</f>
        <v>13317.75</v>
      </c>
      <c r="H310" s="14">
        <f>G310/E310</f>
        <v>0.22167432337960652</v>
      </c>
      <c r="I310" s="97">
        <f t="shared" ref="I310:I315" si="217">D310*12*1.302/1973</f>
        <v>1.1878357830714648</v>
      </c>
      <c r="J310" s="82">
        <f>I310*H310</f>
        <v>0.26331269349845204</v>
      </c>
      <c r="K310" s="130"/>
      <c r="L310" s="130"/>
      <c r="M310" s="3"/>
    </row>
    <row r="311" spans="1:13">
      <c r="A311" s="16"/>
      <c r="B311" s="5" t="s">
        <v>114</v>
      </c>
      <c r="C311" s="94">
        <v>0.25</v>
      </c>
      <c r="D311" s="5">
        <v>150</v>
      </c>
      <c r="E311" s="94">
        <f>E310</f>
        <v>60078</v>
      </c>
      <c r="F311" s="94">
        <f>F310</f>
        <v>1973</v>
      </c>
      <c r="G311" s="6">
        <f t="shared" ref="G311:G315" si="218">C311*F311</f>
        <v>493.25</v>
      </c>
      <c r="H311" s="6">
        <f t="shared" ref="H311:H312" si="219">G311/E311</f>
        <v>8.2101601251706111E-3</v>
      </c>
      <c r="I311" s="97">
        <f t="shared" si="217"/>
        <v>1.1878357830714648</v>
      </c>
      <c r="J311" s="83">
        <f t="shared" ref="J311:J314" si="220">I311*H311</f>
        <v>9.7523219814241481E-3</v>
      </c>
      <c r="K311" s="130"/>
      <c r="L311" s="130"/>
      <c r="M311" s="3"/>
    </row>
    <row r="312" spans="1:13">
      <c r="A312" s="16"/>
      <c r="B312" s="5" t="s">
        <v>46</v>
      </c>
      <c r="C312" s="94">
        <v>3</v>
      </c>
      <c r="D312" s="5">
        <v>150</v>
      </c>
      <c r="E312" s="94">
        <f>E311</f>
        <v>60078</v>
      </c>
      <c r="F312" s="94">
        <f t="shared" ref="F312:F315" si="221">F311</f>
        <v>1973</v>
      </c>
      <c r="G312" s="6">
        <f t="shared" si="218"/>
        <v>5919</v>
      </c>
      <c r="H312" s="6">
        <f t="shared" si="219"/>
        <v>9.8521921502047333E-2</v>
      </c>
      <c r="I312" s="97">
        <f t="shared" si="217"/>
        <v>1.1878357830714648</v>
      </c>
      <c r="J312" s="83">
        <f t="shared" si="220"/>
        <v>0.11702786377708978</v>
      </c>
      <c r="K312" s="130"/>
      <c r="L312" s="130"/>
      <c r="M312" s="3"/>
    </row>
    <row r="313" spans="1:13">
      <c r="A313" s="16"/>
      <c r="B313" s="5" t="s">
        <v>88</v>
      </c>
      <c r="C313" s="94">
        <v>0.75</v>
      </c>
      <c r="D313" s="5">
        <v>150</v>
      </c>
      <c r="E313" s="94">
        <f>E311</f>
        <v>60078</v>
      </c>
      <c r="F313" s="94">
        <f t="shared" si="221"/>
        <v>1973</v>
      </c>
      <c r="G313" s="6">
        <f t="shared" si="218"/>
        <v>1479.75</v>
      </c>
      <c r="H313" s="6">
        <f>G313/E313</f>
        <v>2.4630480375511833E-2</v>
      </c>
      <c r="I313" s="97">
        <f t="shared" si="217"/>
        <v>1.1878357830714648</v>
      </c>
      <c r="J313" s="83">
        <f t="shared" si="220"/>
        <v>2.9256965944272444E-2</v>
      </c>
      <c r="K313" s="130"/>
      <c r="L313" s="130"/>
      <c r="M313" s="3"/>
    </row>
    <row r="314" spans="1:13">
      <c r="A314" s="16"/>
      <c r="B314" s="5" t="s">
        <v>47</v>
      </c>
      <c r="C314" s="94">
        <v>1.5</v>
      </c>
      <c r="D314" s="5">
        <v>150</v>
      </c>
      <c r="E314" s="94">
        <f>E310</f>
        <v>60078</v>
      </c>
      <c r="F314" s="94">
        <f t="shared" si="221"/>
        <v>1973</v>
      </c>
      <c r="G314" s="6">
        <f t="shared" si="218"/>
        <v>2959.5</v>
      </c>
      <c r="H314" s="6">
        <f t="shared" ref="H314:H315" si="222">G314/E314</f>
        <v>4.9260960751023666E-2</v>
      </c>
      <c r="I314" s="97">
        <f t="shared" si="217"/>
        <v>1.1878357830714648</v>
      </c>
      <c r="J314" s="83">
        <f t="shared" si="220"/>
        <v>5.8513931888544889E-2</v>
      </c>
      <c r="K314" s="130"/>
      <c r="L314" s="130"/>
      <c r="M314" s="3"/>
    </row>
    <row r="315" spans="1:13">
      <c r="A315" s="16"/>
      <c r="B315" s="5" t="s">
        <v>106</v>
      </c>
      <c r="C315" s="94">
        <v>0.75</v>
      </c>
      <c r="D315" s="5">
        <v>150</v>
      </c>
      <c r="E315" s="94">
        <f>E310</f>
        <v>60078</v>
      </c>
      <c r="F315" s="94">
        <f t="shared" si="221"/>
        <v>1973</v>
      </c>
      <c r="G315" s="6">
        <f t="shared" si="218"/>
        <v>1479.75</v>
      </c>
      <c r="H315" s="6">
        <f t="shared" si="222"/>
        <v>2.4630480375511833E-2</v>
      </c>
      <c r="I315" s="97">
        <f t="shared" si="217"/>
        <v>1.1878357830714648</v>
      </c>
      <c r="J315" s="83">
        <f t="shared" ref="J315" si="223">I315*H315</f>
        <v>2.9256965944272444E-2</v>
      </c>
      <c r="K315" s="130"/>
      <c r="L315" s="130"/>
      <c r="M315" s="3"/>
    </row>
    <row r="316" spans="1:13" ht="15.75" thickBot="1">
      <c r="A316" s="17"/>
      <c r="B316" s="18"/>
      <c r="C316" s="98">
        <f>SUM(C310:C315)</f>
        <v>13</v>
      </c>
      <c r="D316" s="18"/>
      <c r="E316" s="95"/>
      <c r="F316" s="95"/>
      <c r="G316" s="19"/>
      <c r="H316" s="19"/>
      <c r="I316" s="98"/>
      <c r="J316" s="87">
        <f>SUM(J310:J315)</f>
        <v>0.50712074303405574</v>
      </c>
      <c r="K316" s="130"/>
      <c r="L316" s="130"/>
      <c r="M316" s="3"/>
    </row>
    <row r="317" spans="1:13" ht="15.75" thickBot="1">
      <c r="A317" s="51"/>
      <c r="B317" s="52"/>
      <c r="C317" s="52"/>
      <c r="D317" s="52"/>
      <c r="E317" s="96"/>
      <c r="F317" s="96"/>
      <c r="G317" s="55"/>
      <c r="H317" s="160" t="s">
        <v>60</v>
      </c>
      <c r="I317" s="161"/>
      <c r="J317" s="85">
        <f>J316-J318</f>
        <v>0</v>
      </c>
      <c r="K317" s="130">
        <f>J317*122</f>
        <v>0</v>
      </c>
      <c r="L317" s="130"/>
      <c r="M317" s="3">
        <f>L317-K317</f>
        <v>0</v>
      </c>
    </row>
    <row r="318" spans="1:13" ht="15.75" thickBot="1">
      <c r="A318" s="51"/>
      <c r="B318" s="52"/>
      <c r="C318" s="52"/>
      <c r="D318" s="52"/>
      <c r="E318" s="119"/>
      <c r="F318" s="96"/>
      <c r="G318" s="55"/>
      <c r="H318" s="160" t="s">
        <v>57</v>
      </c>
      <c r="I318" s="161"/>
      <c r="J318" s="85">
        <f>J310+J311+J312+J313+J314+J315</f>
        <v>0.50712074303405574</v>
      </c>
      <c r="K318" s="130">
        <f>J318*E310</f>
        <v>30466.799999999999</v>
      </c>
      <c r="L318" s="130">
        <v>30466.799999999999</v>
      </c>
      <c r="M318" s="3">
        <f>L318-K318</f>
        <v>0</v>
      </c>
    </row>
    <row r="319" spans="1:13">
      <c r="A319" s="12" t="s">
        <v>72</v>
      </c>
      <c r="B319" s="13" t="s">
        <v>45</v>
      </c>
      <c r="C319" s="93">
        <v>8.25</v>
      </c>
      <c r="D319" s="13">
        <v>150</v>
      </c>
      <c r="E319" s="119">
        <f>ком.усл!A193</f>
        <v>58548</v>
      </c>
      <c r="F319" s="94">
        <v>1973</v>
      </c>
      <c r="G319" s="14">
        <f>C319*F319</f>
        <v>16277.25</v>
      </c>
      <c r="H319" s="14">
        <f>G319/E319</f>
        <v>0.27801547448247593</v>
      </c>
      <c r="I319" s="97">
        <f t="shared" ref="I319:I324" si="224">D319*12*1.302/1973</f>
        <v>1.1878357830714648</v>
      </c>
      <c r="J319" s="82">
        <f>I319*H319</f>
        <v>0.33023672883787664</v>
      </c>
      <c r="K319" s="130"/>
      <c r="L319" s="130"/>
      <c r="M319" s="3"/>
    </row>
    <row r="320" spans="1:13">
      <c r="A320" s="16"/>
      <c r="B320" s="5" t="s">
        <v>106</v>
      </c>
      <c r="C320" s="94">
        <v>2</v>
      </c>
      <c r="D320" s="5">
        <v>150</v>
      </c>
      <c r="E320" s="94">
        <f>E319</f>
        <v>58548</v>
      </c>
      <c r="F320" s="94">
        <f>F319</f>
        <v>1973</v>
      </c>
      <c r="G320" s="6">
        <f t="shared" ref="G320:G323" si="225">C320*F320</f>
        <v>3946</v>
      </c>
      <c r="H320" s="6">
        <f t="shared" ref="H320:H321" si="226">G320/E320</f>
        <v>6.7397690783630532E-2</v>
      </c>
      <c r="I320" s="97">
        <f t="shared" si="224"/>
        <v>1.1878357830714648</v>
      </c>
      <c r="J320" s="83">
        <f t="shared" ref="J320:J323" si="227">I320*H320</f>
        <v>8.0057388809182214E-2</v>
      </c>
      <c r="K320" s="130"/>
      <c r="L320" s="130"/>
      <c r="M320" s="3"/>
    </row>
    <row r="321" spans="1:13">
      <c r="A321" s="16"/>
      <c r="B321" s="5" t="s">
        <v>46</v>
      </c>
      <c r="C321" s="94">
        <v>6</v>
      </c>
      <c r="D321" s="5">
        <v>150</v>
      </c>
      <c r="E321" s="94">
        <f>E320</f>
        <v>58548</v>
      </c>
      <c r="F321" s="94">
        <f t="shared" ref="F321:F323" si="228">F320</f>
        <v>1973</v>
      </c>
      <c r="G321" s="6">
        <f t="shared" si="225"/>
        <v>11838</v>
      </c>
      <c r="H321" s="6">
        <f t="shared" si="226"/>
        <v>0.20219307235089157</v>
      </c>
      <c r="I321" s="97">
        <f t="shared" si="224"/>
        <v>1.1878357830714648</v>
      </c>
      <c r="J321" s="83">
        <f t="shared" si="227"/>
        <v>0.2401721664275466</v>
      </c>
      <c r="K321" s="130"/>
      <c r="L321" s="130"/>
      <c r="M321" s="3"/>
    </row>
    <row r="322" spans="1:13">
      <c r="A322" s="16"/>
      <c r="B322" s="5" t="s">
        <v>88</v>
      </c>
      <c r="C322" s="94">
        <v>2.75</v>
      </c>
      <c r="D322" s="5">
        <v>150</v>
      </c>
      <c r="E322" s="94">
        <f>E320</f>
        <v>58548</v>
      </c>
      <c r="F322" s="94">
        <f t="shared" si="228"/>
        <v>1973</v>
      </c>
      <c r="G322" s="6">
        <f t="shared" si="225"/>
        <v>5425.75</v>
      </c>
      <c r="H322" s="6">
        <f>G322/E322</f>
        <v>9.2671824827491978E-2</v>
      </c>
      <c r="I322" s="97">
        <f t="shared" si="224"/>
        <v>1.1878357830714648</v>
      </c>
      <c r="J322" s="83">
        <f t="shared" si="227"/>
        <v>0.11007890961262554</v>
      </c>
      <c r="K322" s="130"/>
      <c r="L322" s="130"/>
      <c r="M322" s="3"/>
    </row>
    <row r="323" spans="1:13">
      <c r="A323" s="16"/>
      <c r="B323" s="5" t="s">
        <v>47</v>
      </c>
      <c r="C323" s="94">
        <v>3.75</v>
      </c>
      <c r="D323" s="5">
        <v>150</v>
      </c>
      <c r="E323" s="94">
        <f>E319</f>
        <v>58548</v>
      </c>
      <c r="F323" s="94">
        <f t="shared" si="228"/>
        <v>1973</v>
      </c>
      <c r="G323" s="6">
        <f t="shared" si="225"/>
        <v>7398.75</v>
      </c>
      <c r="H323" s="6">
        <f t="shared" ref="H323" si="229">G323/E323</f>
        <v>0.12637067021930723</v>
      </c>
      <c r="I323" s="97">
        <f t="shared" si="224"/>
        <v>1.1878357830714648</v>
      </c>
      <c r="J323" s="83">
        <f t="shared" si="227"/>
        <v>0.15010760401721662</v>
      </c>
      <c r="K323" s="130"/>
      <c r="L323" s="130"/>
      <c r="M323" s="3"/>
    </row>
    <row r="324" spans="1:13">
      <c r="A324" s="16"/>
      <c r="B324" s="5"/>
      <c r="C324" s="94"/>
      <c r="D324" s="5"/>
      <c r="E324" s="94">
        <f>E319</f>
        <v>58548</v>
      </c>
      <c r="F324" s="94"/>
      <c r="G324" s="6"/>
      <c r="H324" s="6"/>
      <c r="I324" s="97">
        <f t="shared" si="224"/>
        <v>0</v>
      </c>
      <c r="J324" s="83">
        <f t="shared" ref="J324" si="230">I324*H324</f>
        <v>0</v>
      </c>
      <c r="K324" s="130"/>
      <c r="L324" s="130"/>
      <c r="M324" s="3"/>
    </row>
    <row r="325" spans="1:13" ht="15.75" thickBot="1">
      <c r="A325" s="17"/>
      <c r="B325" s="18"/>
      <c r="C325" s="95">
        <f>SUM(C319:C324)</f>
        <v>22.75</v>
      </c>
      <c r="D325" s="18"/>
      <c r="E325" s="95"/>
      <c r="F325" s="95"/>
      <c r="G325" s="19"/>
      <c r="H325" s="19"/>
      <c r="I325" s="98"/>
      <c r="J325" s="87">
        <f>SUM(J319:J324)</f>
        <v>0.91065279770444763</v>
      </c>
      <c r="K325" s="130"/>
      <c r="L325" s="130"/>
      <c r="M325" s="3"/>
    </row>
    <row r="326" spans="1:13" ht="15.75" thickBot="1">
      <c r="A326" s="51"/>
      <c r="B326" s="52"/>
      <c r="C326" s="52"/>
      <c r="D326" s="52"/>
      <c r="E326" s="96"/>
      <c r="F326" s="96"/>
      <c r="G326" s="55"/>
      <c r="H326" s="160" t="s">
        <v>60</v>
      </c>
      <c r="I326" s="161"/>
      <c r="J326" s="85">
        <f>J325-J327</f>
        <v>0</v>
      </c>
      <c r="K326" s="130">
        <f>J326*122</f>
        <v>0</v>
      </c>
      <c r="L326" s="130"/>
      <c r="M326" s="3">
        <f>L326-K326</f>
        <v>0</v>
      </c>
    </row>
    <row r="327" spans="1:13" ht="15.75" thickBot="1">
      <c r="A327" s="51"/>
      <c r="B327" s="52"/>
      <c r="C327" s="52"/>
      <c r="D327" s="52"/>
      <c r="E327" s="119"/>
      <c r="F327" s="96"/>
      <c r="G327" s="55"/>
      <c r="H327" s="160" t="s">
        <v>57</v>
      </c>
      <c r="I327" s="161"/>
      <c r="J327" s="85">
        <f>J319+J320+J321+J322+J323</f>
        <v>0.91065279770444763</v>
      </c>
      <c r="K327" s="130">
        <f>J327*E319</f>
        <v>53316.9</v>
      </c>
      <c r="L327" s="130">
        <v>53316.9</v>
      </c>
      <c r="M327" s="3">
        <f>L327-K327</f>
        <v>0</v>
      </c>
    </row>
    <row r="328" spans="1:13">
      <c r="A328" s="12" t="s">
        <v>73</v>
      </c>
      <c r="B328" s="13" t="s">
        <v>45</v>
      </c>
      <c r="C328" s="93">
        <v>3</v>
      </c>
      <c r="D328" s="15">
        <v>150</v>
      </c>
      <c r="E328" s="119">
        <f>ком.усл!A199</f>
        <v>44982</v>
      </c>
      <c r="F328" s="94">
        <v>1973</v>
      </c>
      <c r="G328" s="14">
        <f>C328*F328</f>
        <v>5919</v>
      </c>
      <c r="H328" s="14">
        <f>G328/E328</f>
        <v>0.1315859677204215</v>
      </c>
      <c r="I328" s="97">
        <f t="shared" ref="I328:I333" si="231">D328*12*1.302/1973</f>
        <v>1.1878357830714648</v>
      </c>
      <c r="J328" s="82">
        <f>I328*H328</f>
        <v>0.15630252100840336</v>
      </c>
      <c r="K328" s="130"/>
      <c r="L328" s="130"/>
      <c r="M328" s="3"/>
    </row>
    <row r="329" spans="1:13">
      <c r="A329" s="16"/>
      <c r="B329" s="5" t="s">
        <v>106</v>
      </c>
      <c r="C329" s="94">
        <v>0.75</v>
      </c>
      <c r="D329" s="5">
        <v>150</v>
      </c>
      <c r="E329" s="94">
        <f>E328</f>
        <v>44982</v>
      </c>
      <c r="F329" s="94">
        <f>F328</f>
        <v>1973</v>
      </c>
      <c r="G329" s="6">
        <f t="shared" ref="G329:G332" si="232">C329*F329</f>
        <v>1479.75</v>
      </c>
      <c r="H329" s="6">
        <f t="shared" ref="H329:H330" si="233">G329/E329</f>
        <v>3.2896491930105375E-2</v>
      </c>
      <c r="I329" s="97">
        <f t="shared" si="231"/>
        <v>1.1878357830714648</v>
      </c>
      <c r="J329" s="83">
        <f t="shared" ref="J329:J332" si="234">I329*H329</f>
        <v>3.907563025210084E-2</v>
      </c>
      <c r="K329" s="130"/>
      <c r="L329" s="130"/>
      <c r="M329" s="3"/>
    </row>
    <row r="330" spans="1:13">
      <c r="A330" s="16"/>
      <c r="B330" s="5" t="s">
        <v>46</v>
      </c>
      <c r="C330" s="94">
        <v>3</v>
      </c>
      <c r="D330" s="5">
        <v>150</v>
      </c>
      <c r="E330" s="94">
        <f>E329</f>
        <v>44982</v>
      </c>
      <c r="F330" s="94">
        <f t="shared" ref="F330:F332" si="235">F329</f>
        <v>1973</v>
      </c>
      <c r="G330" s="6">
        <f t="shared" si="232"/>
        <v>5919</v>
      </c>
      <c r="H330" s="6">
        <f t="shared" si="233"/>
        <v>0.1315859677204215</v>
      </c>
      <c r="I330" s="97">
        <f t="shared" si="231"/>
        <v>1.1878357830714648</v>
      </c>
      <c r="J330" s="83">
        <f t="shared" si="234"/>
        <v>0.15630252100840336</v>
      </c>
      <c r="K330" s="130"/>
      <c r="L330" s="130"/>
      <c r="M330" s="3"/>
    </row>
    <row r="331" spans="1:13">
      <c r="A331" s="16"/>
      <c r="B331" s="5" t="s">
        <v>88</v>
      </c>
      <c r="C331" s="94">
        <v>0.75</v>
      </c>
      <c r="D331" s="5">
        <v>150</v>
      </c>
      <c r="E331" s="94">
        <f>E329</f>
        <v>44982</v>
      </c>
      <c r="F331" s="94">
        <f t="shared" si="235"/>
        <v>1973</v>
      </c>
      <c r="G331" s="6">
        <f t="shared" si="232"/>
        <v>1479.75</v>
      </c>
      <c r="H331" s="6">
        <f>G331/E331</f>
        <v>3.2896491930105375E-2</v>
      </c>
      <c r="I331" s="97">
        <f t="shared" si="231"/>
        <v>1.1878357830714648</v>
      </c>
      <c r="J331" s="83">
        <f t="shared" si="234"/>
        <v>3.907563025210084E-2</v>
      </c>
      <c r="K331" s="130"/>
      <c r="L331" s="130"/>
      <c r="M331" s="3"/>
    </row>
    <row r="332" spans="1:13">
      <c r="A332" s="16"/>
      <c r="B332" s="5" t="s">
        <v>47</v>
      </c>
      <c r="C332" s="94">
        <v>0.75</v>
      </c>
      <c r="D332" s="5">
        <v>150</v>
      </c>
      <c r="E332" s="94">
        <f>E328</f>
        <v>44982</v>
      </c>
      <c r="F332" s="94">
        <f t="shared" si="235"/>
        <v>1973</v>
      </c>
      <c r="G332" s="6">
        <f t="shared" si="232"/>
        <v>1479.75</v>
      </c>
      <c r="H332" s="6">
        <f t="shared" ref="H332" si="236">G332/E332</f>
        <v>3.2896491930105375E-2</v>
      </c>
      <c r="I332" s="97">
        <f t="shared" si="231"/>
        <v>1.1878357830714648</v>
      </c>
      <c r="J332" s="83">
        <f t="shared" si="234"/>
        <v>3.907563025210084E-2</v>
      </c>
      <c r="K332" s="130"/>
      <c r="L332" s="130"/>
      <c r="M332" s="3"/>
    </row>
    <row r="333" spans="1:13">
      <c r="A333" s="16"/>
      <c r="B333" s="5"/>
      <c r="C333" s="94"/>
      <c r="D333" s="5"/>
      <c r="E333" s="94">
        <f>E328</f>
        <v>44982</v>
      </c>
      <c r="F333" s="94"/>
      <c r="G333" s="6"/>
      <c r="H333" s="6"/>
      <c r="I333" s="97">
        <f t="shared" si="231"/>
        <v>0</v>
      </c>
      <c r="J333" s="83">
        <f t="shared" ref="J333" si="237">I333*H333</f>
        <v>0</v>
      </c>
      <c r="K333" s="130"/>
      <c r="L333" s="130"/>
      <c r="M333" s="3"/>
    </row>
    <row r="334" spans="1:13" ht="15.75" thickBot="1">
      <c r="A334" s="17"/>
      <c r="B334" s="18"/>
      <c r="C334" s="98">
        <f>SUM(C328:C333)</f>
        <v>8.25</v>
      </c>
      <c r="D334" s="18"/>
      <c r="E334" s="95"/>
      <c r="F334" s="95"/>
      <c r="G334" s="19"/>
      <c r="H334" s="19"/>
      <c r="I334" s="98"/>
      <c r="J334" s="87">
        <f>SUM(J328:J333)</f>
        <v>0.42983193277310916</v>
      </c>
      <c r="K334" s="130"/>
      <c r="L334" s="130"/>
      <c r="M334" s="3"/>
    </row>
    <row r="335" spans="1:13" ht="15.75" thickBot="1">
      <c r="A335" s="51"/>
      <c r="B335" s="52"/>
      <c r="C335" s="52"/>
      <c r="D335" s="52"/>
      <c r="E335" s="96"/>
      <c r="F335" s="96"/>
      <c r="G335" s="55"/>
      <c r="H335" s="160" t="s">
        <v>60</v>
      </c>
      <c r="I335" s="161"/>
      <c r="J335" s="85">
        <f>J334-J336</f>
        <v>0</v>
      </c>
      <c r="K335" s="130">
        <f>J335*122</f>
        <v>0</v>
      </c>
      <c r="L335" s="130"/>
      <c r="M335" s="3">
        <f>L335-K335</f>
        <v>0</v>
      </c>
    </row>
    <row r="336" spans="1:13" ht="15.75" thickBot="1">
      <c r="A336" s="51"/>
      <c r="B336" s="52"/>
      <c r="C336" s="52"/>
      <c r="D336" s="52"/>
      <c r="E336" s="96"/>
      <c r="F336" s="96"/>
      <c r="G336" s="55"/>
      <c r="H336" s="160" t="s">
        <v>57</v>
      </c>
      <c r="I336" s="161"/>
      <c r="J336" s="85">
        <f>J328+J329+J330+J331+J332</f>
        <v>0.42983193277310916</v>
      </c>
      <c r="K336" s="130">
        <f>J336*E328</f>
        <v>19334.699999999997</v>
      </c>
      <c r="L336" s="130">
        <v>19334.7</v>
      </c>
      <c r="M336" s="3">
        <f>L336-K336</f>
        <v>0</v>
      </c>
    </row>
    <row r="337" spans="1:13">
      <c r="A337" s="12" t="s">
        <v>74</v>
      </c>
      <c r="B337" s="13" t="s">
        <v>45</v>
      </c>
      <c r="C337" s="124">
        <v>3.75</v>
      </c>
      <c r="D337" s="15">
        <v>150</v>
      </c>
      <c r="E337" s="119">
        <f>ком.усл!A204</f>
        <v>47600</v>
      </c>
      <c r="F337" s="94">
        <v>1973</v>
      </c>
      <c r="G337" s="14">
        <f>C337*F337</f>
        <v>7398.75</v>
      </c>
      <c r="H337" s="14">
        <f>G337/E337</f>
        <v>0.1554359243697479</v>
      </c>
      <c r="I337" s="97">
        <f t="shared" ref="I337:I342" si="238">D337*12*1.302/1973</f>
        <v>1.1878357830714648</v>
      </c>
      <c r="J337" s="82">
        <f>I337*H337</f>
        <v>0.18463235294117647</v>
      </c>
      <c r="K337" s="130"/>
      <c r="L337" s="130"/>
      <c r="M337" s="3"/>
    </row>
    <row r="338" spans="1:13">
      <c r="A338" s="16"/>
      <c r="B338" s="5" t="s">
        <v>107</v>
      </c>
      <c r="C338" s="97"/>
      <c r="D338" s="5">
        <v>150</v>
      </c>
      <c r="E338" s="94">
        <f>E337</f>
        <v>47600</v>
      </c>
      <c r="F338" s="94">
        <f>F337</f>
        <v>1973</v>
      </c>
      <c r="G338" s="6">
        <f t="shared" ref="G338:G341" si="239">C338*F338</f>
        <v>0</v>
      </c>
      <c r="H338" s="6">
        <f t="shared" ref="H338:H339" si="240">G338/E338</f>
        <v>0</v>
      </c>
      <c r="I338" s="97">
        <f t="shared" si="238"/>
        <v>1.1878357830714648</v>
      </c>
      <c r="J338" s="83">
        <f t="shared" ref="J338:J341" si="241">I338*H338</f>
        <v>0</v>
      </c>
      <c r="K338" s="130"/>
      <c r="L338" s="130"/>
      <c r="M338" s="3"/>
    </row>
    <row r="339" spans="1:13">
      <c r="A339" s="16"/>
      <c r="B339" s="5" t="s">
        <v>46</v>
      </c>
      <c r="C339" s="97">
        <v>3</v>
      </c>
      <c r="D339" s="5">
        <v>150</v>
      </c>
      <c r="E339" s="94">
        <f>E338</f>
        <v>47600</v>
      </c>
      <c r="F339" s="94">
        <f t="shared" ref="F339:F341" si="242">F338</f>
        <v>1973</v>
      </c>
      <c r="G339" s="6">
        <f t="shared" si="239"/>
        <v>5919</v>
      </c>
      <c r="H339" s="6">
        <f t="shared" si="240"/>
        <v>0.12434873949579832</v>
      </c>
      <c r="I339" s="97">
        <f t="shared" si="238"/>
        <v>1.1878357830714648</v>
      </c>
      <c r="J339" s="83">
        <f t="shared" si="241"/>
        <v>0.14770588235294119</v>
      </c>
      <c r="K339" s="130"/>
      <c r="L339" s="130"/>
      <c r="M339" s="3"/>
    </row>
    <row r="340" spans="1:13">
      <c r="A340" s="16"/>
      <c r="B340" s="5" t="s">
        <v>88</v>
      </c>
      <c r="C340" s="97">
        <v>0.75</v>
      </c>
      <c r="D340" s="5">
        <v>150</v>
      </c>
      <c r="E340" s="94">
        <f>E338</f>
        <v>47600</v>
      </c>
      <c r="F340" s="94">
        <f t="shared" si="242"/>
        <v>1973</v>
      </c>
      <c r="G340" s="6">
        <f t="shared" si="239"/>
        <v>1479.75</v>
      </c>
      <c r="H340" s="6">
        <f>G340/E340</f>
        <v>3.108718487394958E-2</v>
      </c>
      <c r="I340" s="97">
        <f t="shared" si="238"/>
        <v>1.1878357830714648</v>
      </c>
      <c r="J340" s="83">
        <f t="shared" si="241"/>
        <v>3.6926470588235297E-2</v>
      </c>
      <c r="K340" s="130"/>
      <c r="L340" s="130"/>
      <c r="M340" s="3"/>
    </row>
    <row r="341" spans="1:13">
      <c r="A341" s="16"/>
      <c r="B341" s="5" t="s">
        <v>47</v>
      </c>
      <c r="C341" s="97">
        <v>1</v>
      </c>
      <c r="D341" s="5">
        <v>150</v>
      </c>
      <c r="E341" s="94">
        <f>E337</f>
        <v>47600</v>
      </c>
      <c r="F341" s="94">
        <f t="shared" si="242"/>
        <v>1973</v>
      </c>
      <c r="G341" s="6">
        <f t="shared" si="239"/>
        <v>1973</v>
      </c>
      <c r="H341" s="6">
        <f t="shared" ref="H341" si="243">G341/E341</f>
        <v>4.1449579831932773E-2</v>
      </c>
      <c r="I341" s="97">
        <f t="shared" si="238"/>
        <v>1.1878357830714648</v>
      </c>
      <c r="J341" s="83">
        <f t="shared" si="241"/>
        <v>4.9235294117647058E-2</v>
      </c>
      <c r="K341" s="130"/>
      <c r="L341" s="130"/>
      <c r="M341" s="3"/>
    </row>
    <row r="342" spans="1:13">
      <c r="A342" s="16"/>
      <c r="B342" s="5"/>
      <c r="C342" s="97"/>
      <c r="D342" s="5"/>
      <c r="E342" s="94">
        <f>E337</f>
        <v>47600</v>
      </c>
      <c r="F342" s="94"/>
      <c r="G342" s="6"/>
      <c r="H342" s="6"/>
      <c r="I342" s="97">
        <f t="shared" si="238"/>
        <v>0</v>
      </c>
      <c r="J342" s="83">
        <f t="shared" ref="J342" si="244">I342*H342</f>
        <v>0</v>
      </c>
      <c r="K342" s="130"/>
      <c r="L342" s="130"/>
      <c r="M342" s="3"/>
    </row>
    <row r="343" spans="1:13" ht="15.75" thickBot="1">
      <c r="A343" s="17"/>
      <c r="B343" s="18"/>
      <c r="C343" s="98">
        <f>SUM(C337:C342)</f>
        <v>8.5</v>
      </c>
      <c r="D343" s="18"/>
      <c r="E343" s="95"/>
      <c r="F343" s="95"/>
      <c r="G343" s="19"/>
      <c r="H343" s="19"/>
      <c r="I343" s="98"/>
      <c r="J343" s="87">
        <f>SUM(J337:J342)</f>
        <v>0.41849999999999998</v>
      </c>
      <c r="K343" s="130"/>
      <c r="L343" s="130"/>
      <c r="M343" s="3"/>
    </row>
    <row r="344" spans="1:13" ht="15.75" thickBot="1">
      <c r="A344" s="51"/>
      <c r="B344" s="52"/>
      <c r="C344" s="52"/>
      <c r="D344" s="52"/>
      <c r="E344" s="96"/>
      <c r="F344" s="96"/>
      <c r="G344" s="55"/>
      <c r="H344" s="160" t="s">
        <v>60</v>
      </c>
      <c r="I344" s="161"/>
      <c r="J344" s="85">
        <f>J343-J345</f>
        <v>0</v>
      </c>
      <c r="K344" s="130">
        <f>J344*122</f>
        <v>0</v>
      </c>
      <c r="L344" s="130"/>
      <c r="M344" s="3">
        <f>L344-K344</f>
        <v>0</v>
      </c>
    </row>
    <row r="345" spans="1:13" ht="15.75" thickBot="1">
      <c r="A345" s="51"/>
      <c r="B345" s="52"/>
      <c r="C345" s="52"/>
      <c r="D345" s="52"/>
      <c r="E345" s="96"/>
      <c r="F345" s="96"/>
      <c r="G345" s="55"/>
      <c r="H345" s="160" t="s">
        <v>57</v>
      </c>
      <c r="I345" s="161"/>
      <c r="J345" s="85">
        <f>J337+J338+J339+J340+J341</f>
        <v>0.41849999999999998</v>
      </c>
      <c r="K345" s="130">
        <f>J345*E337</f>
        <v>19920.599999999999</v>
      </c>
      <c r="L345" s="130">
        <v>19920.599999999999</v>
      </c>
      <c r="M345" s="3">
        <f>L345-K345</f>
        <v>0</v>
      </c>
    </row>
    <row r="346" spans="1:13">
      <c r="A346" s="39"/>
      <c r="B346" s="40"/>
      <c r="C346" s="40"/>
      <c r="D346" s="40"/>
      <c r="E346" s="123"/>
      <c r="F346" s="123"/>
      <c r="G346" s="68"/>
      <c r="H346" s="69"/>
      <c r="I346" s="128"/>
      <c r="J346" s="43"/>
      <c r="K346" s="50"/>
      <c r="L346" s="50"/>
      <c r="M346" s="50"/>
    </row>
    <row r="347" spans="1:13" ht="18.75">
      <c r="A347" s="54" t="s">
        <v>97</v>
      </c>
    </row>
    <row r="348" spans="1:13" ht="79.150000000000006" customHeight="1">
      <c r="A348" s="4" t="s">
        <v>2</v>
      </c>
      <c r="B348" s="4" t="s">
        <v>4</v>
      </c>
      <c r="C348" s="70" t="s">
        <v>0</v>
      </c>
      <c r="D348" s="70" t="s">
        <v>13</v>
      </c>
      <c r="E348" s="117" t="s">
        <v>101</v>
      </c>
      <c r="F348" s="117" t="s">
        <v>1</v>
      </c>
      <c r="G348" s="70" t="s">
        <v>5</v>
      </c>
      <c r="H348" s="70" t="s">
        <v>7</v>
      </c>
      <c r="I348" s="117" t="s">
        <v>9</v>
      </c>
      <c r="J348" s="70" t="s">
        <v>11</v>
      </c>
      <c r="K348" s="2" t="s">
        <v>33</v>
      </c>
      <c r="L348" s="2" t="s">
        <v>34</v>
      </c>
      <c r="M348" s="2"/>
    </row>
    <row r="349" spans="1:13" ht="15.75" thickBot="1">
      <c r="A349" s="9">
        <v>1</v>
      </c>
      <c r="B349" s="23">
        <v>2</v>
      </c>
      <c r="C349" s="10">
        <v>3</v>
      </c>
      <c r="D349" s="10">
        <v>4</v>
      </c>
      <c r="E349" s="118">
        <v>5</v>
      </c>
      <c r="F349" s="118">
        <v>6</v>
      </c>
      <c r="G349" s="10" t="s">
        <v>6</v>
      </c>
      <c r="H349" s="9" t="s">
        <v>8</v>
      </c>
      <c r="I349" s="118" t="s">
        <v>10</v>
      </c>
      <c r="J349" s="10" t="s">
        <v>12</v>
      </c>
    </row>
    <row r="350" spans="1:13">
      <c r="A350" s="12" t="s">
        <v>64</v>
      </c>
      <c r="B350" s="11" t="s">
        <v>89</v>
      </c>
      <c r="C350" s="93">
        <v>1</v>
      </c>
      <c r="D350" s="15">
        <f>31690.45*1.302</f>
        <v>41260.965900000003</v>
      </c>
      <c r="E350" s="93">
        <v>1176</v>
      </c>
      <c r="F350" s="93">
        <v>1973</v>
      </c>
      <c r="G350" s="14">
        <f>C350*F350</f>
        <v>1973</v>
      </c>
      <c r="H350" s="14">
        <f>G350/E350</f>
        <v>1.6777210884353742</v>
      </c>
      <c r="I350" s="124">
        <f>D350*12*1.302/1973</f>
        <v>326.74167826741007</v>
      </c>
      <c r="J350" s="82">
        <f>I350*H350</f>
        <v>548.18140410000001</v>
      </c>
    </row>
    <row r="351" spans="1:13">
      <c r="A351" s="16"/>
      <c r="B351" s="5"/>
      <c r="C351" s="94"/>
      <c r="D351" s="5"/>
      <c r="E351" s="94"/>
      <c r="F351" s="94"/>
      <c r="G351" s="6"/>
      <c r="H351" s="6"/>
      <c r="I351" s="97"/>
      <c r="J351" s="83">
        <f t="shared" ref="J351" si="245">I351*H351</f>
        <v>0</v>
      </c>
    </row>
    <row r="352" spans="1:13" ht="15.75" thickBot="1">
      <c r="A352" s="17"/>
      <c r="B352" s="18"/>
      <c r="C352" s="95">
        <f>SUM(C350:C351)</f>
        <v>1</v>
      </c>
      <c r="D352" s="18"/>
      <c r="E352" s="95"/>
      <c r="F352" s="95"/>
      <c r="G352" s="19"/>
      <c r="H352" s="19"/>
      <c r="I352" s="98"/>
      <c r="J352" s="87">
        <f>SUM(J350:J351)</f>
        <v>548.18140410000001</v>
      </c>
    </row>
    <row r="353" spans="1:14" ht="15.75" thickBot="1">
      <c r="A353" s="51"/>
      <c r="B353" s="52"/>
      <c r="C353" s="96"/>
      <c r="D353" s="52"/>
      <c r="E353" s="96"/>
      <c r="F353" s="96"/>
      <c r="G353" s="55"/>
      <c r="H353" s="160" t="s">
        <v>57</v>
      </c>
      <c r="I353" s="161"/>
      <c r="J353" s="85">
        <f>J350</f>
        <v>548.18140410000001</v>
      </c>
      <c r="K353" s="130">
        <f>J353*E350</f>
        <v>644661.33122160006</v>
      </c>
      <c r="L353" s="130">
        <v>644661.32999999996</v>
      </c>
      <c r="M353" s="50">
        <f>L353-K353</f>
        <v>-1.2216001050546765E-3</v>
      </c>
      <c r="N353" s="67">
        <f>L353/12/1.302/1</f>
        <v>41260.965821812591</v>
      </c>
    </row>
    <row r="354" spans="1:14">
      <c r="A354" s="12" t="s">
        <v>69</v>
      </c>
      <c r="B354" s="11" t="s">
        <v>89</v>
      </c>
      <c r="C354" s="93">
        <v>1</v>
      </c>
      <c r="D354" s="15">
        <f>29508.34*1.302</f>
        <v>38419.858680000005</v>
      </c>
      <c r="E354" s="93">
        <v>1280</v>
      </c>
      <c r="F354" s="93">
        <v>1973</v>
      </c>
      <c r="G354" s="14">
        <f>C354*F354</f>
        <v>1973</v>
      </c>
      <c r="H354" s="14">
        <f>G354/E354</f>
        <v>1.5414062500000001</v>
      </c>
      <c r="I354" s="124">
        <f>D354*12*1.302/1973</f>
        <v>304.24321947101879</v>
      </c>
      <c r="J354" s="82">
        <f>I354*H354</f>
        <v>468.96240001275009</v>
      </c>
      <c r="K354" s="130"/>
      <c r="L354" s="130"/>
    </row>
    <row r="355" spans="1:14">
      <c r="A355" s="16"/>
      <c r="B355" s="5"/>
      <c r="C355" s="94"/>
      <c r="D355" s="5"/>
      <c r="E355" s="94"/>
      <c r="F355" s="94"/>
      <c r="G355" s="6"/>
      <c r="H355" s="6"/>
      <c r="I355" s="97"/>
      <c r="J355" s="83">
        <f t="shared" ref="J355" si="246">I355*H355</f>
        <v>0</v>
      </c>
      <c r="K355" s="130"/>
      <c r="L355" s="130"/>
    </row>
    <row r="356" spans="1:14" ht="15.75" thickBot="1">
      <c r="A356" s="17"/>
      <c r="B356" s="18"/>
      <c r="C356" s="95">
        <f>SUM(C354:C355)</f>
        <v>1</v>
      </c>
      <c r="D356" s="18"/>
      <c r="E356" s="95"/>
      <c r="F356" s="95"/>
      <c r="G356" s="19"/>
      <c r="H356" s="19"/>
      <c r="I356" s="98"/>
      <c r="J356" s="87">
        <f>SUM(J354:J355)</f>
        <v>468.96240001275009</v>
      </c>
      <c r="K356" s="130"/>
      <c r="L356" s="130"/>
    </row>
    <row r="357" spans="1:14" ht="15.75" thickBot="1">
      <c r="A357" s="51"/>
      <c r="B357" s="52"/>
      <c r="C357" s="96"/>
      <c r="D357" s="52"/>
      <c r="E357" s="96"/>
      <c r="F357" s="96"/>
      <c r="G357" s="55"/>
      <c r="H357" s="160" t="s">
        <v>57</v>
      </c>
      <c r="I357" s="161"/>
      <c r="J357" s="85">
        <f>J354</f>
        <v>468.96240001275009</v>
      </c>
      <c r="K357" s="130">
        <f>J357*E354</f>
        <v>600271.87201632012</v>
      </c>
      <c r="L357" s="130">
        <v>600271.87</v>
      </c>
      <c r="M357" s="50">
        <f>L357-K357</f>
        <v>-2.0163201261311769E-3</v>
      </c>
      <c r="N357" s="67">
        <f>L357/12/1.302/1</f>
        <v>38419.858550947254</v>
      </c>
    </row>
    <row r="358" spans="1:14">
      <c r="A358" s="12" t="s">
        <v>71</v>
      </c>
      <c r="B358" s="11" t="s">
        <v>89</v>
      </c>
      <c r="C358" s="93">
        <v>1</v>
      </c>
      <c r="D358" s="15">
        <f>31859.68*1.302</f>
        <v>41481.303360000005</v>
      </c>
      <c r="E358" s="93">
        <v>370</v>
      </c>
      <c r="F358" s="93">
        <v>1973</v>
      </c>
      <c r="G358" s="14">
        <f>C358*F358</f>
        <v>1973</v>
      </c>
      <c r="H358" s="14">
        <f>G358/E358</f>
        <v>5.3324324324324328</v>
      </c>
      <c r="I358" s="124">
        <f>D358*12*1.302/1973</f>
        <v>328.48650972967062</v>
      </c>
      <c r="J358" s="82">
        <f>I358*H358</f>
        <v>1751.6321180990276</v>
      </c>
      <c r="K358" s="130"/>
      <c r="L358" s="130"/>
    </row>
    <row r="359" spans="1:14">
      <c r="A359" s="16"/>
      <c r="B359" s="5"/>
      <c r="C359" s="94"/>
      <c r="D359" s="5"/>
      <c r="E359" s="94"/>
      <c r="F359" s="94"/>
      <c r="G359" s="6"/>
      <c r="H359" s="6"/>
      <c r="I359" s="97"/>
      <c r="J359" s="83">
        <f t="shared" ref="J359" si="247">I359*H359</f>
        <v>0</v>
      </c>
      <c r="K359" s="130"/>
      <c r="L359" s="130"/>
    </row>
    <row r="360" spans="1:14" ht="15.75" thickBot="1">
      <c r="A360" s="17"/>
      <c r="B360" s="18"/>
      <c r="C360" s="95">
        <f>SUM(C358:C359)</f>
        <v>1</v>
      </c>
      <c r="D360" s="18"/>
      <c r="E360" s="95"/>
      <c r="F360" s="95"/>
      <c r="G360" s="19"/>
      <c r="H360" s="19"/>
      <c r="I360" s="98"/>
      <c r="J360" s="87">
        <f>SUM(J358:J359)</f>
        <v>1751.6321180990276</v>
      </c>
      <c r="K360" s="130"/>
      <c r="L360" s="130"/>
    </row>
    <row r="361" spans="1:14" ht="15.75" thickBot="1">
      <c r="A361" s="51"/>
      <c r="B361" s="52"/>
      <c r="C361" s="52"/>
      <c r="D361" s="52"/>
      <c r="E361" s="96"/>
      <c r="F361" s="96"/>
      <c r="G361" s="55"/>
      <c r="H361" s="160" t="s">
        <v>57</v>
      </c>
      <c r="I361" s="161"/>
      <c r="J361" s="85">
        <f>J358</f>
        <v>1751.6321180990276</v>
      </c>
      <c r="K361" s="130">
        <f>J361*E358</f>
        <v>648103.88369664026</v>
      </c>
      <c r="L361" s="130">
        <v>648103.88</v>
      </c>
      <c r="M361" s="50">
        <f>L361-K361</f>
        <v>-3.6966402549296618E-3</v>
      </c>
      <c r="N361" s="67">
        <f>L361/12/1.302/1</f>
        <v>41481.303123399899</v>
      </c>
    </row>
    <row r="362" spans="1:14">
      <c r="A362" s="39"/>
      <c r="B362" s="40"/>
      <c r="C362" s="40"/>
      <c r="D362" s="40"/>
      <c r="E362" s="123">
        <f>SUM(E350:E359)</f>
        <v>2826</v>
      </c>
      <c r="F362" s="123"/>
      <c r="G362" s="68"/>
      <c r="H362" s="69"/>
      <c r="I362" s="128"/>
      <c r="J362" s="43"/>
      <c r="K362" s="127"/>
      <c r="L362" s="127"/>
      <c r="M362" s="50"/>
    </row>
    <row r="363" spans="1:14">
      <c r="A363" s="39"/>
      <c r="B363" s="40"/>
      <c r="C363" s="40"/>
      <c r="D363" s="40"/>
      <c r="E363" s="123"/>
      <c r="F363" s="123"/>
      <c r="G363" s="68"/>
      <c r="H363" s="69"/>
      <c r="I363" s="128"/>
      <c r="J363" s="43"/>
      <c r="K363" s="50"/>
      <c r="L363" s="50"/>
      <c r="M363" s="50"/>
    </row>
    <row r="364" spans="1:14">
      <c r="J364" s="1">
        <v>1</v>
      </c>
      <c r="K364" s="130">
        <f>K15+K101++K187+K353+K273</f>
        <v>3305150.0024860799</v>
      </c>
      <c r="L364" s="126">
        <f>2538540+766610</f>
        <v>3305150</v>
      </c>
      <c r="M364" s="130">
        <f>L364-K364</f>
        <v>-2.4860799312591553E-3</v>
      </c>
    </row>
    <row r="365" spans="1:14">
      <c r="J365" s="1">
        <v>2</v>
      </c>
      <c r="K365" s="130">
        <f>K282+K196+K110+K24</f>
        <v>5780009.9999023192</v>
      </c>
      <c r="L365" s="126">
        <f>4439340+1340670</f>
        <v>5780010</v>
      </c>
      <c r="M365" s="130">
        <f t="shared" ref="M365:M372" si="248">L365-K365</f>
        <v>9.7680836915969849E-5</v>
      </c>
    </row>
    <row r="366" spans="1:14">
      <c r="J366" s="1">
        <v>3</v>
      </c>
      <c r="K366" s="130">
        <f>K291+K205+K119+K33</f>
        <v>8058319.9975736644</v>
      </c>
      <c r="L366" s="126">
        <f>6186200+3900+1868220</f>
        <v>8058320</v>
      </c>
      <c r="M366" s="130">
        <f t="shared" si="248"/>
        <v>2.4263355880975723E-3</v>
      </c>
    </row>
    <row r="367" spans="1:14">
      <c r="J367" s="1">
        <v>7</v>
      </c>
      <c r="K367" s="130">
        <f>K300+K214+K128+K42+K357</f>
        <v>5189850.00380952</v>
      </c>
      <c r="L367" s="126">
        <f>3986060+1203790</f>
        <v>5189850</v>
      </c>
      <c r="M367" s="130">
        <f t="shared" si="248"/>
        <v>-3.8095200434327126E-3</v>
      </c>
    </row>
    <row r="368" spans="1:14">
      <c r="J368" s="1">
        <v>9</v>
      </c>
      <c r="K368" s="130">
        <f>K223+K137+K51+K309</f>
        <v>5168549.9991283193</v>
      </c>
      <c r="L368" s="126">
        <f>3969700+1198850</f>
        <v>5168550</v>
      </c>
      <c r="M368" s="130">
        <f t="shared" si="248"/>
        <v>8.7168067693710327E-4</v>
      </c>
    </row>
    <row r="369" spans="10:13">
      <c r="J369" s="1">
        <v>14</v>
      </c>
      <c r="K369" s="130">
        <f>K318+K232+K146+K60+K361</f>
        <v>4667070.0027772803</v>
      </c>
      <c r="L369" s="126">
        <f>3584550+1082520</f>
        <v>4667070</v>
      </c>
      <c r="M369" s="130">
        <f t="shared" si="248"/>
        <v>-2.7772802859544754E-3</v>
      </c>
    </row>
    <row r="370" spans="10:13">
      <c r="J370" s="1">
        <v>8</v>
      </c>
      <c r="K370" s="130">
        <f>K327+K241+K155+K69</f>
        <v>7382910.0005879402</v>
      </c>
      <c r="L370" s="126">
        <f>5667440+3900+1711570</f>
        <v>7382910</v>
      </c>
      <c r="M370" s="130">
        <f t="shared" si="248"/>
        <v>-5.8794021606445313E-4</v>
      </c>
    </row>
    <row r="371" spans="10:13">
      <c r="J371" s="1">
        <v>4</v>
      </c>
      <c r="K371" s="130">
        <f>K336+K250+K164+K78</f>
        <v>2690130.0003870595</v>
      </c>
      <c r="L371" s="126">
        <f>2066160+623970</f>
        <v>2690130</v>
      </c>
      <c r="M371" s="130">
        <f t="shared" si="248"/>
        <v>-3.870595246553421E-4</v>
      </c>
    </row>
    <row r="372" spans="10:13">
      <c r="J372" s="1">
        <v>11</v>
      </c>
      <c r="K372" s="130">
        <f>K345+K259+K173+K87</f>
        <v>2770069.9999543205</v>
      </c>
      <c r="L372" s="126">
        <f>2127560+642510</f>
        <v>2770070</v>
      </c>
      <c r="M372" s="130">
        <f t="shared" si="248"/>
        <v>4.567950963973999E-5</v>
      </c>
    </row>
  </sheetData>
  <mergeCells count="76">
    <mergeCell ref="H353:I353"/>
    <mergeCell ref="H357:I357"/>
    <mergeCell ref="H361:I361"/>
    <mergeCell ref="H308:I308"/>
    <mergeCell ref="H309:I309"/>
    <mergeCell ref="H335:I335"/>
    <mergeCell ref="H344:I344"/>
    <mergeCell ref="H345:I345"/>
    <mergeCell ref="H317:I317"/>
    <mergeCell ref="H318:I318"/>
    <mergeCell ref="H326:I326"/>
    <mergeCell ref="H327:I327"/>
    <mergeCell ref="H336:I336"/>
    <mergeCell ref="H282:I282"/>
    <mergeCell ref="H290:I290"/>
    <mergeCell ref="H291:I291"/>
    <mergeCell ref="H299:I299"/>
    <mergeCell ref="H300:I300"/>
    <mergeCell ref="H241:I241"/>
    <mergeCell ref="H249:I249"/>
    <mergeCell ref="H250:I250"/>
    <mergeCell ref="H259:I259"/>
    <mergeCell ref="H281:I281"/>
    <mergeCell ref="H258:I258"/>
    <mergeCell ref="H14:I14"/>
    <mergeCell ref="H15:I15"/>
    <mergeCell ref="H23:I23"/>
    <mergeCell ref="H24:I24"/>
    <mergeCell ref="H32:I32"/>
    <mergeCell ref="H33:I33"/>
    <mergeCell ref="H60:I60"/>
    <mergeCell ref="H68:I68"/>
    <mergeCell ref="H69:I69"/>
    <mergeCell ref="H77:I77"/>
    <mergeCell ref="H41:I41"/>
    <mergeCell ref="H42:I42"/>
    <mergeCell ref="H50:I50"/>
    <mergeCell ref="H51:I51"/>
    <mergeCell ref="H59:I59"/>
    <mergeCell ref="H78:I78"/>
    <mergeCell ref="H86:I86"/>
    <mergeCell ref="H87:I87"/>
    <mergeCell ref="H100:I100"/>
    <mergeCell ref="H101:I101"/>
    <mergeCell ref="H109:I109"/>
    <mergeCell ref="H110:I110"/>
    <mergeCell ref="H118:I118"/>
    <mergeCell ref="H119:I119"/>
    <mergeCell ref="H127:I127"/>
    <mergeCell ref="H136:I136"/>
    <mergeCell ref="H137:I137"/>
    <mergeCell ref="H145:I145"/>
    <mergeCell ref="H146:I146"/>
    <mergeCell ref="H163:I163"/>
    <mergeCell ref="H195:I195"/>
    <mergeCell ref="H164:I164"/>
    <mergeCell ref="H172:I172"/>
    <mergeCell ref="H173:I173"/>
    <mergeCell ref="H186:I186"/>
    <mergeCell ref="H187:I187"/>
    <mergeCell ref="A3:J3"/>
    <mergeCell ref="H272:I272"/>
    <mergeCell ref="H273:I273"/>
    <mergeCell ref="H222:I222"/>
    <mergeCell ref="H223:I223"/>
    <mergeCell ref="H231:I231"/>
    <mergeCell ref="H232:I232"/>
    <mergeCell ref="H240:I240"/>
    <mergeCell ref="H196:I196"/>
    <mergeCell ref="H204:I204"/>
    <mergeCell ref="H205:I205"/>
    <mergeCell ref="H213:I213"/>
    <mergeCell ref="H214:I214"/>
    <mergeCell ref="H128:I128"/>
    <mergeCell ref="H154:I154"/>
    <mergeCell ref="H155:I155"/>
  </mergeCells>
  <pageMargins left="0.11811023622047245" right="0" top="0.35433070866141736" bottom="0" header="0.31496062992125984" footer="0.31496062992125984"/>
  <pageSetup paperSize="9" scale="84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T180"/>
  <sheetViews>
    <sheetView workbookViewId="0">
      <pane xSplit="1" ySplit="6" topLeftCell="B162" activePane="bottomRight" state="frozen"/>
      <selection pane="topRight" activeCell="B1" sqref="B1"/>
      <selection pane="bottomLeft" activeCell="A7" sqref="A7"/>
      <selection pane="bottomRight" activeCell="I179" sqref="I179:L180"/>
    </sheetView>
  </sheetViews>
  <sheetFormatPr defaultRowHeight="15"/>
  <cols>
    <col min="1" max="1" width="12.28515625" style="101" customWidth="1"/>
    <col min="2" max="2" width="37.5703125" style="1" customWidth="1"/>
    <col min="3" max="3" width="10.85546875" style="1" customWidth="1"/>
    <col min="4" max="4" width="8.28515625" style="1" customWidth="1"/>
    <col min="5" max="5" width="12.5703125" style="121" customWidth="1"/>
    <col min="6" max="6" width="10.7109375" style="1" customWidth="1"/>
    <col min="7" max="7" width="14.5703125" customWidth="1"/>
    <col min="8" max="8" width="10.85546875" style="1" customWidth="1"/>
    <col min="9" max="9" width="12.140625" style="1" customWidth="1"/>
    <col min="10" max="10" width="14.5703125" style="1" customWidth="1"/>
    <col min="11" max="11" width="10.42578125" style="1" bestFit="1" customWidth="1"/>
    <col min="12" max="12" width="4.28515625" style="1" customWidth="1"/>
    <col min="13" max="13" width="5.7109375" style="1" customWidth="1"/>
    <col min="14" max="18" width="9.140625" style="1"/>
  </cols>
  <sheetData>
    <row r="1" spans="1:20" ht="18.75">
      <c r="A1" s="158" t="s">
        <v>91</v>
      </c>
      <c r="B1" s="158"/>
      <c r="C1" s="158"/>
      <c r="D1" s="158"/>
      <c r="E1" s="158"/>
      <c r="F1" s="158"/>
      <c r="G1" s="158"/>
      <c r="H1" s="158"/>
    </row>
    <row r="2" spans="1:20" ht="13.7" customHeight="1">
      <c r="A2" s="125" t="s">
        <v>57</v>
      </c>
      <c r="B2" s="65"/>
      <c r="C2" s="65"/>
      <c r="D2" s="65"/>
      <c r="E2" s="110"/>
      <c r="F2" s="65"/>
      <c r="G2" s="65"/>
      <c r="H2" s="65"/>
    </row>
    <row r="3" spans="1:20" ht="11.25" customHeight="1">
      <c r="A3" s="110"/>
      <c r="B3" s="65"/>
      <c r="C3" s="65"/>
      <c r="D3" s="65"/>
      <c r="E3" s="110"/>
      <c r="F3" s="65"/>
      <c r="G3" s="65"/>
      <c r="H3" s="65"/>
    </row>
    <row r="4" spans="1:20" ht="19.5" thickBot="1">
      <c r="A4" s="100" t="s">
        <v>75</v>
      </c>
      <c r="H4"/>
      <c r="S4" s="1"/>
      <c r="T4" s="1"/>
    </row>
    <row r="5" spans="1:20" ht="79.5" customHeight="1">
      <c r="A5" s="102" t="s">
        <v>2</v>
      </c>
      <c r="B5" s="21" t="s">
        <v>48</v>
      </c>
      <c r="C5" s="21" t="s">
        <v>14</v>
      </c>
      <c r="D5" s="21" t="s">
        <v>16</v>
      </c>
      <c r="E5" s="153" t="s">
        <v>27</v>
      </c>
      <c r="F5" s="21" t="s">
        <v>28</v>
      </c>
      <c r="G5" s="21" t="s">
        <v>49</v>
      </c>
      <c r="H5" s="21" t="s">
        <v>51</v>
      </c>
      <c r="I5" s="21" t="s">
        <v>11</v>
      </c>
      <c r="J5" s="2" t="s">
        <v>34</v>
      </c>
      <c r="K5" s="2" t="s">
        <v>33</v>
      </c>
    </row>
    <row r="6" spans="1:20" ht="15.75" thickBot="1">
      <c r="A6" s="111">
        <v>1</v>
      </c>
      <c r="B6" s="23">
        <v>2</v>
      </c>
      <c r="C6" s="23">
        <v>3</v>
      </c>
      <c r="D6" s="10">
        <v>4</v>
      </c>
      <c r="E6" s="118">
        <v>5</v>
      </c>
      <c r="F6" s="10">
        <v>6</v>
      </c>
      <c r="G6" s="10" t="s">
        <v>31</v>
      </c>
      <c r="H6" s="9">
        <v>8</v>
      </c>
      <c r="I6" s="34" t="s">
        <v>32</v>
      </c>
    </row>
    <row r="7" spans="1:20">
      <c r="A7" s="104" t="s">
        <v>64</v>
      </c>
      <c r="B7" s="11" t="s">
        <v>62</v>
      </c>
      <c r="C7" s="11" t="s">
        <v>17</v>
      </c>
      <c r="D7" s="13">
        <v>1</v>
      </c>
      <c r="E7" s="124">
        <f>247*8*(A8/1973)</f>
        <v>173.2630511910796</v>
      </c>
      <c r="F7" s="25">
        <f>E7/A8</f>
        <v>1.001520527116067</v>
      </c>
      <c r="G7" s="36">
        <f t="shared" ref="G7:G10" si="0">D7/E7*F7</f>
        <v>5.7803468208092483E-3</v>
      </c>
      <c r="H7" s="154">
        <f>(36201+12650)*0.38</f>
        <v>18563.38</v>
      </c>
      <c r="I7" s="82">
        <f>H7*G7</f>
        <v>107.30277456647399</v>
      </c>
      <c r="J7" s="3"/>
      <c r="L7" s="3">
        <f>J7-K7</f>
        <v>0</v>
      </c>
    </row>
    <row r="8" spans="1:20" s="1" customFormat="1" ht="33" customHeight="1">
      <c r="A8" s="113">
        <f>ком.усл!A11</f>
        <v>173</v>
      </c>
      <c r="B8" s="31" t="s">
        <v>50</v>
      </c>
      <c r="C8" s="5" t="s">
        <v>17</v>
      </c>
      <c r="D8" s="5">
        <v>1</v>
      </c>
      <c r="E8" s="97">
        <f>247*8*(A8/1973)</f>
        <v>173.2630511910796</v>
      </c>
      <c r="F8" s="26">
        <f>E8/A8</f>
        <v>1.001520527116067</v>
      </c>
      <c r="G8" s="35">
        <f t="shared" si="0"/>
        <v>5.7803468208092483E-3</v>
      </c>
      <c r="H8" s="145">
        <f>5000*0.38</f>
        <v>1900</v>
      </c>
      <c r="I8" s="83">
        <f t="shared" ref="I8:I9" si="1">H8*G8</f>
        <v>10.982658959537572</v>
      </c>
      <c r="L8" s="3">
        <f t="shared" ref="L8:L70" si="2">J8-K8</f>
        <v>0</v>
      </c>
    </row>
    <row r="9" spans="1:20" s="1" customFormat="1">
      <c r="A9" s="113"/>
      <c r="B9" s="5" t="s">
        <v>119</v>
      </c>
      <c r="C9" s="5" t="s">
        <v>17</v>
      </c>
      <c r="D9" s="5">
        <v>1</v>
      </c>
      <c r="E9" s="97">
        <f>247*8*(A8/1973)</f>
        <v>173.2630511910796</v>
      </c>
      <c r="F9" s="26">
        <f>E9/A8</f>
        <v>1.001520527116067</v>
      </c>
      <c r="G9" s="35">
        <f t="shared" si="0"/>
        <v>5.7803468208092483E-3</v>
      </c>
      <c r="H9" s="145">
        <f>(27000)*0.38</f>
        <v>10260</v>
      </c>
      <c r="I9" s="83">
        <f t="shared" si="1"/>
        <v>59.306358381502889</v>
      </c>
      <c r="L9" s="3">
        <f t="shared" si="2"/>
        <v>0</v>
      </c>
    </row>
    <row r="10" spans="1:20" s="1" customFormat="1">
      <c r="A10" s="113"/>
      <c r="B10" s="5" t="s">
        <v>61</v>
      </c>
      <c r="C10" s="5" t="s">
        <v>17</v>
      </c>
      <c r="D10" s="5">
        <v>1</v>
      </c>
      <c r="E10" s="97">
        <f>247*8*(A8/1973)</f>
        <v>173.2630511910796</v>
      </c>
      <c r="F10" s="26">
        <f>E10/A8</f>
        <v>1.001520527116067</v>
      </c>
      <c r="G10" s="35">
        <f t="shared" si="0"/>
        <v>5.7803468208092483E-3</v>
      </c>
      <c r="H10" s="145">
        <f>4950*0.38</f>
        <v>1881</v>
      </c>
      <c r="I10" s="83">
        <f t="shared" ref="I10" si="3">H10*G10</f>
        <v>10.872832369942197</v>
      </c>
      <c r="L10" s="3">
        <f t="shared" si="2"/>
        <v>0</v>
      </c>
    </row>
    <row r="11" spans="1:20" s="1" customFormat="1" ht="15.75" thickBot="1">
      <c r="A11" s="108"/>
      <c r="B11" s="18"/>
      <c r="C11" s="18"/>
      <c r="D11" s="18"/>
      <c r="E11" s="95"/>
      <c r="F11" s="18"/>
      <c r="G11" s="20"/>
      <c r="H11" s="37"/>
      <c r="I11" s="87">
        <f>SUM(I7:I10)</f>
        <v>188.46462427745664</v>
      </c>
      <c r="J11" s="130">
        <f>(36201+4950+12650+5000+27000)*0.38</f>
        <v>32604.38</v>
      </c>
      <c r="K11" s="121">
        <f>I11*A8</f>
        <v>32604.379999999997</v>
      </c>
      <c r="L11" s="3">
        <f t="shared" si="2"/>
        <v>0</v>
      </c>
    </row>
    <row r="12" spans="1:20">
      <c r="A12" s="104" t="s">
        <v>67</v>
      </c>
      <c r="B12" s="11" t="s">
        <v>62</v>
      </c>
      <c r="C12" s="11" t="s">
        <v>17</v>
      </c>
      <c r="D12" s="13">
        <v>1</v>
      </c>
      <c r="E12" s="124">
        <f>247*8*(A13/1973)</f>
        <v>306.46528129751647</v>
      </c>
      <c r="F12" s="25">
        <f>E12/A13</f>
        <v>1.001520527116067</v>
      </c>
      <c r="G12" s="36">
        <f t="shared" ref="G12:G15" si="4">D12/E12*F12</f>
        <v>3.2679738562091509E-3</v>
      </c>
      <c r="H12" s="154">
        <f>(80921.13+11500)*0.45</f>
        <v>41589.508500000004</v>
      </c>
      <c r="I12" s="82">
        <f>H12*G12</f>
        <v>135.91342647058826</v>
      </c>
      <c r="J12" s="3"/>
      <c r="L12" s="3">
        <f t="shared" si="2"/>
        <v>0</v>
      </c>
    </row>
    <row r="13" spans="1:20" s="1" customFormat="1" ht="33" customHeight="1">
      <c r="A13" s="113">
        <f>ком.усл!A16</f>
        <v>306</v>
      </c>
      <c r="B13" s="31" t="s">
        <v>50</v>
      </c>
      <c r="C13" s="5" t="s">
        <v>17</v>
      </c>
      <c r="D13" s="5">
        <v>1</v>
      </c>
      <c r="E13" s="97">
        <f>247*8*(A13/1973)</f>
        <v>306.46528129751647</v>
      </c>
      <c r="F13" s="26">
        <f>E13/A13</f>
        <v>1.001520527116067</v>
      </c>
      <c r="G13" s="35">
        <f t="shared" si="4"/>
        <v>3.2679738562091509E-3</v>
      </c>
      <c r="H13" s="145">
        <f>5000*0.45</f>
        <v>2250</v>
      </c>
      <c r="I13" s="83">
        <f t="shared" ref="I13:I15" si="5">H13*G13</f>
        <v>7.3529411764705896</v>
      </c>
      <c r="L13" s="3">
        <f t="shared" si="2"/>
        <v>0</v>
      </c>
    </row>
    <row r="14" spans="1:20" s="1" customFormat="1">
      <c r="A14" s="113"/>
      <c r="B14" s="5" t="s">
        <v>119</v>
      </c>
      <c r="C14" s="5" t="s">
        <v>17</v>
      </c>
      <c r="D14" s="5">
        <v>1</v>
      </c>
      <c r="E14" s="97">
        <f>247*8*(A13/1973)</f>
        <v>306.46528129751647</v>
      </c>
      <c r="F14" s="26">
        <f>E14/A13</f>
        <v>1.001520527116067</v>
      </c>
      <c r="G14" s="35">
        <f t="shared" si="4"/>
        <v>3.2679738562091509E-3</v>
      </c>
      <c r="H14" s="145">
        <f>20000*0.45</f>
        <v>9000</v>
      </c>
      <c r="I14" s="83">
        <f t="shared" si="5"/>
        <v>29.411764705882359</v>
      </c>
      <c r="L14" s="3">
        <f t="shared" si="2"/>
        <v>0</v>
      </c>
    </row>
    <row r="15" spans="1:20" s="1" customFormat="1">
      <c r="A15" s="113"/>
      <c r="B15" s="5" t="s">
        <v>61</v>
      </c>
      <c r="C15" s="5" t="s">
        <v>17</v>
      </c>
      <c r="D15" s="5">
        <v>1</v>
      </c>
      <c r="E15" s="97">
        <f>247*8*(A13/1973)</f>
        <v>306.46528129751647</v>
      </c>
      <c r="F15" s="26">
        <f>E15/A13</f>
        <v>1.001520527116067</v>
      </c>
      <c r="G15" s="35">
        <f t="shared" si="4"/>
        <v>3.2679738562091509E-3</v>
      </c>
      <c r="H15" s="145">
        <f>5850*0.45</f>
        <v>2632.5</v>
      </c>
      <c r="I15" s="83">
        <f t="shared" si="5"/>
        <v>8.6029411764705888</v>
      </c>
      <c r="L15" s="3">
        <f t="shared" si="2"/>
        <v>0</v>
      </c>
    </row>
    <row r="16" spans="1:20" s="1" customFormat="1" ht="15.75" thickBot="1">
      <c r="A16" s="108"/>
      <c r="B16" s="18"/>
      <c r="C16" s="18"/>
      <c r="D16" s="18"/>
      <c r="E16" s="95"/>
      <c r="F16" s="18"/>
      <c r="G16" s="20"/>
      <c r="H16" s="37"/>
      <c r="I16" s="87">
        <f>SUM(I12:I15)</f>
        <v>181.28107352941177</v>
      </c>
      <c r="J16" s="130">
        <f>(80921.13+5850+11500+5000+20000)*0.45</f>
        <v>55472.008500000004</v>
      </c>
      <c r="K16" s="121">
        <f>I16*A13</f>
        <v>55472.008500000004</v>
      </c>
      <c r="L16" s="3">
        <f t="shared" si="2"/>
        <v>0</v>
      </c>
    </row>
    <row r="17" spans="1:13">
      <c r="A17" s="104" t="s">
        <v>68</v>
      </c>
      <c r="B17" s="11" t="s">
        <v>62</v>
      </c>
      <c r="C17" s="11" t="s">
        <v>17</v>
      </c>
      <c r="D17" s="13">
        <v>1</v>
      </c>
      <c r="E17" s="124">
        <f>247*8*(A18/1973)</f>
        <v>293.44551444500757</v>
      </c>
      <c r="F17" s="25">
        <f>E17/A18</f>
        <v>1.0015205271160668</v>
      </c>
      <c r="G17" s="36">
        <f t="shared" ref="G17:G20" si="6">D17/E17*F17</f>
        <v>3.4129692832764501E-3</v>
      </c>
      <c r="H17" s="154">
        <f>(112512.84+18400)*0.49</f>
        <v>64147.291599999997</v>
      </c>
      <c r="I17" s="82">
        <f>H17*G17</f>
        <v>218.93273583617744</v>
      </c>
      <c r="J17" s="3"/>
      <c r="L17" s="3">
        <f t="shared" si="2"/>
        <v>0</v>
      </c>
      <c r="M17" s="1">
        <f>J17/A18/G17</f>
        <v>0</v>
      </c>
    </row>
    <row r="18" spans="1:13" s="1" customFormat="1" ht="33" customHeight="1">
      <c r="A18" s="113">
        <f>ком.усл!A21</f>
        <v>293</v>
      </c>
      <c r="B18" s="31" t="s">
        <v>50</v>
      </c>
      <c r="C18" s="5" t="s">
        <v>17</v>
      </c>
      <c r="D18" s="5">
        <v>1</v>
      </c>
      <c r="E18" s="97">
        <f>247*8*(A18/1973)</f>
        <v>293.44551444500757</v>
      </c>
      <c r="F18" s="26">
        <f>E18/A18</f>
        <v>1.0015205271160668</v>
      </c>
      <c r="G18" s="35">
        <f t="shared" si="6"/>
        <v>3.4129692832764501E-3</v>
      </c>
      <c r="H18" s="145">
        <f>10000*0.49</f>
        <v>4900</v>
      </c>
      <c r="I18" s="83">
        <f t="shared" ref="I18:I20" si="7">H18*G18</f>
        <v>16.723549488054605</v>
      </c>
      <c r="L18" s="3">
        <f t="shared" si="2"/>
        <v>0</v>
      </c>
    </row>
    <row r="19" spans="1:13" s="1" customFormat="1">
      <c r="A19" s="113"/>
      <c r="B19" s="5" t="s">
        <v>119</v>
      </c>
      <c r="C19" s="5" t="s">
        <v>17</v>
      </c>
      <c r="D19" s="5">
        <v>1</v>
      </c>
      <c r="E19" s="97">
        <f>247*8*(A18/1973)</f>
        <v>293.44551444500757</v>
      </c>
      <c r="F19" s="26">
        <f>E19/A18</f>
        <v>1.0015205271160668</v>
      </c>
      <c r="G19" s="35">
        <f t="shared" si="6"/>
        <v>3.4129692832764501E-3</v>
      </c>
      <c r="H19" s="145">
        <f>(21000+54900)*0.49</f>
        <v>37191</v>
      </c>
      <c r="I19" s="83">
        <f t="shared" si="7"/>
        <v>126.93174061433446</v>
      </c>
      <c r="L19" s="3">
        <f t="shared" si="2"/>
        <v>0</v>
      </c>
    </row>
    <row r="20" spans="1:13" s="1" customFormat="1">
      <c r="A20" s="113"/>
      <c r="B20" s="5" t="s">
        <v>61</v>
      </c>
      <c r="C20" s="5" t="s">
        <v>17</v>
      </c>
      <c r="D20" s="5">
        <v>1</v>
      </c>
      <c r="E20" s="97">
        <f>247*8*(A18/1973)</f>
        <v>293.44551444500757</v>
      </c>
      <c r="F20" s="26">
        <f>E20/A18</f>
        <v>1.0015205271160668</v>
      </c>
      <c r="G20" s="35">
        <f t="shared" si="6"/>
        <v>3.4129692832764501E-3</v>
      </c>
      <c r="H20" s="145">
        <f>12600*0.49</f>
        <v>6174</v>
      </c>
      <c r="I20" s="83">
        <f t="shared" si="7"/>
        <v>21.071672354948802</v>
      </c>
      <c r="L20" s="3">
        <f t="shared" si="2"/>
        <v>0</v>
      </c>
    </row>
    <row r="21" spans="1:13" s="1" customFormat="1" ht="15.75" thickBot="1">
      <c r="A21" s="108"/>
      <c r="B21" s="18"/>
      <c r="C21" s="18"/>
      <c r="D21" s="18"/>
      <c r="E21" s="95"/>
      <c r="F21" s="18"/>
      <c r="G21" s="20"/>
      <c r="H21" s="37"/>
      <c r="I21" s="87">
        <f>SUM(I17:I20)</f>
        <v>383.65969829351531</v>
      </c>
      <c r="J21" s="130">
        <f>(112512.84+12600+18400+10000+21000+54900)*0.49</f>
        <v>112412.2916</v>
      </c>
      <c r="K21" s="121">
        <f>I21*A18</f>
        <v>112412.29159999998</v>
      </c>
      <c r="L21" s="130">
        <f t="shared" si="2"/>
        <v>0</v>
      </c>
    </row>
    <row r="22" spans="1:13">
      <c r="A22" s="104" t="s">
        <v>69</v>
      </c>
      <c r="B22" s="11" t="s">
        <v>62</v>
      </c>
      <c r="C22" s="11" t="s">
        <v>17</v>
      </c>
      <c r="D22" s="13">
        <v>1</v>
      </c>
      <c r="E22" s="124">
        <f>247*8*(A23/1973)</f>
        <v>430.65382665990876</v>
      </c>
      <c r="F22" s="25">
        <f>E22/A23</f>
        <v>1.001520527116067</v>
      </c>
      <c r="G22" s="36">
        <f t="shared" ref="G22:G25" si="8">D22/E22*F22</f>
        <v>2.3255813953488372E-3</v>
      </c>
      <c r="H22" s="154">
        <f>(48970+11150)*0.45</f>
        <v>27054</v>
      </c>
      <c r="I22" s="82">
        <f>H22*G22</f>
        <v>62.916279069767441</v>
      </c>
      <c r="J22" s="3"/>
      <c r="L22" s="3">
        <f t="shared" si="2"/>
        <v>0</v>
      </c>
    </row>
    <row r="23" spans="1:13" s="1" customFormat="1" ht="33" customHeight="1">
      <c r="A23" s="113">
        <f>ком.усл!A26</f>
        <v>430</v>
      </c>
      <c r="B23" s="31" t="s">
        <v>50</v>
      </c>
      <c r="C23" s="5" t="s">
        <v>17</v>
      </c>
      <c r="D23" s="5">
        <v>1</v>
      </c>
      <c r="E23" s="97">
        <f>247*8*(A23/1973)</f>
        <v>430.65382665990876</v>
      </c>
      <c r="F23" s="26">
        <f>E23/A23</f>
        <v>1.001520527116067</v>
      </c>
      <c r="G23" s="35">
        <f t="shared" si="8"/>
        <v>2.3255813953488372E-3</v>
      </c>
      <c r="H23" s="145">
        <f>5000*0.45</f>
        <v>2250</v>
      </c>
      <c r="I23" s="83">
        <f t="shared" ref="I23:I25" si="9">H23*G23</f>
        <v>5.2325581395348832</v>
      </c>
      <c r="L23" s="3">
        <f t="shared" si="2"/>
        <v>0</v>
      </c>
    </row>
    <row r="24" spans="1:13" s="1" customFormat="1">
      <c r="A24" s="113"/>
      <c r="B24" s="5" t="s">
        <v>119</v>
      </c>
      <c r="C24" s="5" t="s">
        <v>17</v>
      </c>
      <c r="D24" s="5">
        <v>1</v>
      </c>
      <c r="E24" s="97">
        <f>247*8*(A23/1973)</f>
        <v>430.65382665990876</v>
      </c>
      <c r="F24" s="26">
        <f>E24/A23</f>
        <v>1.001520527116067</v>
      </c>
      <c r="G24" s="35">
        <f t="shared" si="8"/>
        <v>2.3255813953488372E-3</v>
      </c>
      <c r="H24" s="145">
        <f>(30000)*0.45</f>
        <v>13500</v>
      </c>
      <c r="I24" s="83">
        <f t="shared" si="9"/>
        <v>31.395348837209301</v>
      </c>
      <c r="L24" s="3">
        <f t="shared" si="2"/>
        <v>0</v>
      </c>
    </row>
    <row r="25" spans="1:13" s="1" customFormat="1">
      <c r="A25" s="113"/>
      <c r="B25" s="5" t="s">
        <v>61</v>
      </c>
      <c r="C25" s="5" t="s">
        <v>17</v>
      </c>
      <c r="D25" s="5">
        <v>1</v>
      </c>
      <c r="E25" s="97">
        <f>247*8*(A23/1973)</f>
        <v>430.65382665990876</v>
      </c>
      <c r="F25" s="26">
        <f>E25/A23</f>
        <v>1.001520527116067</v>
      </c>
      <c r="G25" s="35">
        <f t="shared" si="8"/>
        <v>2.3255813953488372E-3</v>
      </c>
      <c r="H25" s="145">
        <f>7650*0.45</f>
        <v>3442.5</v>
      </c>
      <c r="I25" s="83">
        <f t="shared" si="9"/>
        <v>8.0058139534883725</v>
      </c>
      <c r="L25" s="3">
        <f t="shared" si="2"/>
        <v>0</v>
      </c>
    </row>
    <row r="26" spans="1:13" s="1" customFormat="1" ht="15.75" thickBot="1">
      <c r="A26" s="108"/>
      <c r="B26" s="18"/>
      <c r="C26" s="18"/>
      <c r="D26" s="18"/>
      <c r="E26" s="95"/>
      <c r="F26" s="18"/>
      <c r="G26" s="20"/>
      <c r="H26" s="37"/>
      <c r="I26" s="87">
        <f>SUM(I22:I25)</f>
        <v>107.55</v>
      </c>
      <c r="J26" s="130">
        <f>(48970+7650+11150+35000)*0.45</f>
        <v>46246.5</v>
      </c>
      <c r="K26" s="121">
        <f>I26*A23</f>
        <v>46246.5</v>
      </c>
      <c r="L26" s="130">
        <f t="shared" si="2"/>
        <v>0</v>
      </c>
    </row>
    <row r="27" spans="1:13">
      <c r="A27" s="104" t="s">
        <v>70</v>
      </c>
      <c r="B27" s="11" t="s">
        <v>62</v>
      </c>
      <c r="C27" s="11" t="s">
        <v>17</v>
      </c>
      <c r="D27" s="13">
        <v>1</v>
      </c>
      <c r="E27" s="124">
        <f>247*8*(A28/1973)</f>
        <v>407.61885453623927</v>
      </c>
      <c r="F27" s="25">
        <f>E27/A28</f>
        <v>1.001520527116067</v>
      </c>
      <c r="G27" s="36">
        <f t="shared" ref="G27:G30" si="10">D27/E27*F27</f>
        <v>2.4570024570024569E-3</v>
      </c>
      <c r="H27" s="154">
        <f>(13800+47609.6)*0.42</f>
        <v>25792.031999999999</v>
      </c>
      <c r="I27" s="82">
        <f>H27*G27</f>
        <v>63.371085995085991</v>
      </c>
      <c r="J27" s="3"/>
      <c r="L27" s="3">
        <f t="shared" si="2"/>
        <v>0</v>
      </c>
    </row>
    <row r="28" spans="1:13" s="1" customFormat="1" ht="33" customHeight="1">
      <c r="A28" s="113">
        <f>ком.усл!A31</f>
        <v>407</v>
      </c>
      <c r="B28" s="31" t="s">
        <v>50</v>
      </c>
      <c r="C28" s="5" t="s">
        <v>17</v>
      </c>
      <c r="D28" s="5">
        <v>1</v>
      </c>
      <c r="E28" s="97">
        <f>247*8*(A28/1973)</f>
        <v>407.61885453623927</v>
      </c>
      <c r="F28" s="26">
        <f>E28/A28</f>
        <v>1.001520527116067</v>
      </c>
      <c r="G28" s="35">
        <f t="shared" si="10"/>
        <v>2.4570024570024569E-3</v>
      </c>
      <c r="H28" s="145">
        <f>5000*0.42</f>
        <v>2100</v>
      </c>
      <c r="I28" s="83">
        <f t="shared" ref="I28:I30" si="11">H28*G28</f>
        <v>5.15970515970516</v>
      </c>
      <c r="L28" s="3">
        <f t="shared" si="2"/>
        <v>0</v>
      </c>
    </row>
    <row r="29" spans="1:13" s="1" customFormat="1">
      <c r="A29" s="113"/>
      <c r="B29" s="5" t="s">
        <v>119</v>
      </c>
      <c r="C29" s="5" t="s">
        <v>17</v>
      </c>
      <c r="D29" s="5">
        <v>1</v>
      </c>
      <c r="E29" s="97">
        <f>247*8*(A28/1973)</f>
        <v>407.61885453623927</v>
      </c>
      <c r="F29" s="26">
        <f>E29/A28</f>
        <v>1.001520527116067</v>
      </c>
      <c r="G29" s="35">
        <f t="shared" si="10"/>
        <v>2.4570024570024569E-3</v>
      </c>
      <c r="H29" s="145">
        <f>30000*0.42</f>
        <v>12600</v>
      </c>
      <c r="I29" s="83">
        <f t="shared" si="11"/>
        <v>30.958230958230956</v>
      </c>
      <c r="L29" s="3">
        <f t="shared" si="2"/>
        <v>0</v>
      </c>
    </row>
    <row r="30" spans="1:13" s="1" customFormat="1">
      <c r="A30" s="113"/>
      <c r="B30" s="5" t="s">
        <v>61</v>
      </c>
      <c r="C30" s="5" t="s">
        <v>17</v>
      </c>
      <c r="D30" s="5">
        <v>1</v>
      </c>
      <c r="E30" s="97">
        <f>247*8*(A28/1973)</f>
        <v>407.61885453623927</v>
      </c>
      <c r="F30" s="26">
        <f>E30/A28</f>
        <v>1.001520527116067</v>
      </c>
      <c r="G30" s="35">
        <f t="shared" si="10"/>
        <v>2.4570024570024569E-3</v>
      </c>
      <c r="H30" s="145">
        <f>9000*0.42</f>
        <v>3780</v>
      </c>
      <c r="I30" s="83">
        <f t="shared" si="11"/>
        <v>9.2874692874692872</v>
      </c>
      <c r="L30" s="3">
        <f t="shared" si="2"/>
        <v>0</v>
      </c>
    </row>
    <row r="31" spans="1:13" s="1" customFormat="1" ht="15.75" thickBot="1">
      <c r="A31" s="108"/>
      <c r="B31" s="18"/>
      <c r="C31" s="18"/>
      <c r="D31" s="18"/>
      <c r="E31" s="95"/>
      <c r="F31" s="18"/>
      <c r="G31" s="20"/>
      <c r="H31" s="37"/>
      <c r="I31" s="87">
        <f>SUM(I27:I30)</f>
        <v>108.77649140049139</v>
      </c>
      <c r="J31" s="130">
        <f>(47609.6+9000+13800+35000)*0.42</f>
        <v>44272.031999999999</v>
      </c>
      <c r="K31" s="121">
        <f>I31*A28</f>
        <v>44272.031999999999</v>
      </c>
      <c r="L31" s="130">
        <f t="shared" si="2"/>
        <v>0</v>
      </c>
    </row>
    <row r="32" spans="1:13">
      <c r="A32" s="104" t="s">
        <v>71</v>
      </c>
      <c r="B32" s="11" t="s">
        <v>62</v>
      </c>
      <c r="C32" s="11" t="s">
        <v>17</v>
      </c>
      <c r="D32" s="13">
        <v>1</v>
      </c>
      <c r="E32" s="124">
        <f>247*8*(A33/1973)</f>
        <v>238.36188545362393</v>
      </c>
      <c r="F32" s="25">
        <f>E32/A33</f>
        <v>1.001520527116067</v>
      </c>
      <c r="G32" s="36">
        <f t="shared" ref="G32:G35" si="12">D32/E32*F32</f>
        <v>4.2016806722689082E-3</v>
      </c>
      <c r="H32" s="154">
        <f>(60926+17250)*0.41</f>
        <v>32052.16</v>
      </c>
      <c r="I32" s="82">
        <f>H32*G32</f>
        <v>134.6729411764706</v>
      </c>
      <c r="J32" s="3"/>
      <c r="L32" s="3">
        <f t="shared" si="2"/>
        <v>0</v>
      </c>
    </row>
    <row r="33" spans="1:12" s="1" customFormat="1" ht="33" customHeight="1">
      <c r="A33" s="113">
        <f>ком.усл!A36</f>
        <v>238</v>
      </c>
      <c r="B33" s="31" t="s">
        <v>50</v>
      </c>
      <c r="C33" s="5" t="s">
        <v>17</v>
      </c>
      <c r="D33" s="5">
        <v>1</v>
      </c>
      <c r="E33" s="97">
        <f>247*8*(A33/1973)</f>
        <v>238.36188545362393</v>
      </c>
      <c r="F33" s="26">
        <f>E33/A33</f>
        <v>1.001520527116067</v>
      </c>
      <c r="G33" s="35">
        <f t="shared" si="12"/>
        <v>4.2016806722689082E-3</v>
      </c>
      <c r="H33" s="145">
        <f>5000*0.41</f>
        <v>2050</v>
      </c>
      <c r="I33" s="83">
        <f t="shared" ref="I33:I35" si="13">H33*G33</f>
        <v>8.6134453781512619</v>
      </c>
      <c r="L33" s="3">
        <f t="shared" si="2"/>
        <v>0</v>
      </c>
    </row>
    <row r="34" spans="1:12" s="1" customFormat="1">
      <c r="A34" s="113"/>
      <c r="B34" s="5" t="s">
        <v>119</v>
      </c>
      <c r="C34" s="5" t="s">
        <v>17</v>
      </c>
      <c r="D34" s="5">
        <v>1</v>
      </c>
      <c r="E34" s="97">
        <f>247*8*(A33/1973)</f>
        <v>238.36188545362393</v>
      </c>
      <c r="F34" s="26">
        <f>E34/A33</f>
        <v>1.001520527116067</v>
      </c>
      <c r="G34" s="35">
        <f t="shared" si="12"/>
        <v>4.2016806722689082E-3</v>
      </c>
      <c r="H34" s="145">
        <f>30000*0.41</f>
        <v>12300</v>
      </c>
      <c r="I34" s="83">
        <f t="shared" si="13"/>
        <v>51.680672268907571</v>
      </c>
      <c r="L34" s="3">
        <f t="shared" si="2"/>
        <v>0</v>
      </c>
    </row>
    <row r="35" spans="1:12" s="1" customFormat="1">
      <c r="A35" s="113"/>
      <c r="B35" s="5" t="s">
        <v>61</v>
      </c>
      <c r="C35" s="5" t="s">
        <v>17</v>
      </c>
      <c r="D35" s="5">
        <v>1</v>
      </c>
      <c r="E35" s="97">
        <f>247*8*(A33/1973)</f>
        <v>238.36188545362393</v>
      </c>
      <c r="F35" s="26">
        <f>E35/A33</f>
        <v>1.001520527116067</v>
      </c>
      <c r="G35" s="35">
        <f t="shared" si="12"/>
        <v>4.2016806722689082E-3</v>
      </c>
      <c r="H35" s="145">
        <f>9000*0.41</f>
        <v>3690</v>
      </c>
      <c r="I35" s="83">
        <f t="shared" si="13"/>
        <v>15.504201680672271</v>
      </c>
      <c r="L35" s="3">
        <f t="shared" si="2"/>
        <v>0</v>
      </c>
    </row>
    <row r="36" spans="1:12" s="1" customFormat="1" ht="15.75" thickBot="1">
      <c r="A36" s="108"/>
      <c r="B36" s="18"/>
      <c r="C36" s="18"/>
      <c r="D36" s="18"/>
      <c r="E36" s="95"/>
      <c r="F36" s="18"/>
      <c r="G36" s="20"/>
      <c r="H36" s="37"/>
      <c r="I36" s="87">
        <f>SUM(I32:I35)</f>
        <v>210.47126050420172</v>
      </c>
      <c r="J36" s="130">
        <f>(60926+9000+17250+35000)*0.41</f>
        <v>50092.159999999996</v>
      </c>
      <c r="K36" s="121">
        <f>I36*A33</f>
        <v>50092.160000000011</v>
      </c>
      <c r="L36" s="130">
        <f t="shared" si="2"/>
        <v>0</v>
      </c>
    </row>
    <row r="37" spans="1:12">
      <c r="A37" s="104" t="s">
        <v>94</v>
      </c>
      <c r="B37" s="11" t="s">
        <v>62</v>
      </c>
      <c r="C37" s="11" t="s">
        <v>17</v>
      </c>
      <c r="D37" s="13">
        <v>1</v>
      </c>
      <c r="E37" s="124">
        <f>247*8*(A38/1973)</f>
        <v>397.60364926507856</v>
      </c>
      <c r="F37" s="25">
        <f>E37/A38</f>
        <v>1.001520527116067</v>
      </c>
      <c r="G37" s="36">
        <f t="shared" ref="G37:G40" si="14">D37/E37*F37</f>
        <v>2.5188916876574311E-3</v>
      </c>
      <c r="H37" s="154">
        <f>(93176.2+17250)*0.4</f>
        <v>44170.48</v>
      </c>
      <c r="I37" s="82">
        <f>H37*G37</f>
        <v>111.26065491183881</v>
      </c>
      <c r="J37" s="3"/>
      <c r="L37" s="3">
        <f t="shared" si="2"/>
        <v>0</v>
      </c>
    </row>
    <row r="38" spans="1:12" s="1" customFormat="1" ht="33" customHeight="1">
      <c r="A38" s="113">
        <f>ком.усл!A41</f>
        <v>397</v>
      </c>
      <c r="B38" s="31" t="s">
        <v>50</v>
      </c>
      <c r="C38" s="5" t="s">
        <v>17</v>
      </c>
      <c r="D38" s="5">
        <v>1</v>
      </c>
      <c r="E38" s="97">
        <f>247*8*(A38/1973)</f>
        <v>397.60364926507856</v>
      </c>
      <c r="F38" s="26">
        <f>E38/A38</f>
        <v>1.001520527116067</v>
      </c>
      <c r="G38" s="35">
        <f t="shared" si="14"/>
        <v>2.5188916876574311E-3</v>
      </c>
      <c r="H38" s="145">
        <f>10000*0.4</f>
        <v>4000</v>
      </c>
      <c r="I38" s="83">
        <f t="shared" ref="I38:I40" si="15">H38*G38</f>
        <v>10.075566750629724</v>
      </c>
      <c r="L38" s="3">
        <f t="shared" si="2"/>
        <v>0</v>
      </c>
    </row>
    <row r="39" spans="1:12" s="1" customFormat="1">
      <c r="A39" s="113"/>
      <c r="B39" s="5" t="s">
        <v>119</v>
      </c>
      <c r="C39" s="5" t="s">
        <v>17</v>
      </c>
      <c r="D39" s="5">
        <v>1</v>
      </c>
      <c r="E39" s="97">
        <f>247*8*(A38/1973)</f>
        <v>397.60364926507856</v>
      </c>
      <c r="F39" s="26">
        <f>E39/A38</f>
        <v>1.001520527116067</v>
      </c>
      <c r="G39" s="35">
        <f t="shared" si="14"/>
        <v>2.5188916876574311E-3</v>
      </c>
      <c r="H39" s="145">
        <f>(54000)*0.4</f>
        <v>21600</v>
      </c>
      <c r="I39" s="83">
        <f t="shared" si="15"/>
        <v>54.408060453400509</v>
      </c>
      <c r="L39" s="3">
        <f t="shared" si="2"/>
        <v>0</v>
      </c>
    </row>
    <row r="40" spans="1:12" s="1" customFormat="1">
      <c r="A40" s="113"/>
      <c r="B40" s="5" t="s">
        <v>61</v>
      </c>
      <c r="C40" s="5" t="s">
        <v>17</v>
      </c>
      <c r="D40" s="5">
        <v>1</v>
      </c>
      <c r="E40" s="97">
        <f>247*8*(A38/1973)</f>
        <v>397.60364926507856</v>
      </c>
      <c r="F40" s="26">
        <f>E40/A38</f>
        <v>1.001520527116067</v>
      </c>
      <c r="G40" s="35">
        <f t="shared" si="14"/>
        <v>2.5188916876574311E-3</v>
      </c>
      <c r="H40" s="145">
        <f>7650*0.4</f>
        <v>3060</v>
      </c>
      <c r="I40" s="83">
        <f t="shared" si="15"/>
        <v>7.7078085642317395</v>
      </c>
      <c r="L40" s="3">
        <f t="shared" si="2"/>
        <v>0</v>
      </c>
    </row>
    <row r="41" spans="1:12" s="1" customFormat="1" ht="15.75" thickBot="1">
      <c r="A41" s="108"/>
      <c r="B41" s="18"/>
      <c r="C41" s="18"/>
      <c r="D41" s="18"/>
      <c r="E41" s="95"/>
      <c r="F41" s="18"/>
      <c r="G41" s="20"/>
      <c r="H41" s="37"/>
      <c r="I41" s="87">
        <f>SUM(I37:I40)</f>
        <v>183.45209068010078</v>
      </c>
      <c r="J41" s="130">
        <f>(93176.2+17250+7650+64000)*0.4</f>
        <v>72830.48000000001</v>
      </c>
      <c r="K41" s="121">
        <f>I41*A38</f>
        <v>72830.48000000001</v>
      </c>
      <c r="L41" s="130">
        <f t="shared" si="2"/>
        <v>0</v>
      </c>
    </row>
    <row r="42" spans="1:12">
      <c r="A42" s="104" t="s">
        <v>73</v>
      </c>
      <c r="B42" s="11" t="s">
        <v>62</v>
      </c>
      <c r="C42" s="11" t="s">
        <v>17</v>
      </c>
      <c r="D42" s="13">
        <v>1</v>
      </c>
      <c r="E42" s="124">
        <f>247*8*(A43/1973)</f>
        <v>134.20375063355294</v>
      </c>
      <c r="F42" s="25">
        <f>E42/A43</f>
        <v>1.0015205271160668</v>
      </c>
      <c r="G42" s="36">
        <f t="shared" ref="G42:G45" si="16">D42/E42*F42</f>
        <v>7.4626865671641798E-3</v>
      </c>
      <c r="H42" s="154">
        <f>(29300+6900)*0.46</f>
        <v>16652</v>
      </c>
      <c r="I42" s="82">
        <f>H42*G42</f>
        <v>124.26865671641792</v>
      </c>
      <c r="J42" s="3"/>
      <c r="L42" s="3">
        <f t="shared" si="2"/>
        <v>0</v>
      </c>
    </row>
    <row r="43" spans="1:12" s="1" customFormat="1" ht="33" customHeight="1">
      <c r="A43" s="113">
        <f>ком.усл!A47</f>
        <v>134</v>
      </c>
      <c r="B43" s="31" t="s">
        <v>50</v>
      </c>
      <c r="C43" s="5" t="s">
        <v>17</v>
      </c>
      <c r="D43" s="5">
        <v>1</v>
      </c>
      <c r="E43" s="97">
        <f>247*8*(A43/1973)</f>
        <v>134.20375063355294</v>
      </c>
      <c r="F43" s="26">
        <f>E43/A43</f>
        <v>1.0015205271160668</v>
      </c>
      <c r="G43" s="35">
        <f t="shared" si="16"/>
        <v>7.4626865671641798E-3</v>
      </c>
      <c r="H43" s="145">
        <f>5000*0.46</f>
        <v>2300</v>
      </c>
      <c r="I43" s="83">
        <f t="shared" ref="I43:I45" si="17">H43*G43</f>
        <v>17.164179104477615</v>
      </c>
      <c r="L43" s="3">
        <f t="shared" si="2"/>
        <v>0</v>
      </c>
    </row>
    <row r="44" spans="1:12" s="1" customFormat="1">
      <c r="A44" s="113"/>
      <c r="B44" s="5" t="s">
        <v>119</v>
      </c>
      <c r="C44" s="5" t="s">
        <v>17</v>
      </c>
      <c r="D44" s="5">
        <v>1</v>
      </c>
      <c r="E44" s="97">
        <f>247*8*(A43/1973)</f>
        <v>134.20375063355294</v>
      </c>
      <c r="F44" s="26">
        <f>E44/A43</f>
        <v>1.0015205271160668</v>
      </c>
      <c r="G44" s="35">
        <f t="shared" si="16"/>
        <v>7.4626865671641798E-3</v>
      </c>
      <c r="H44" s="145">
        <f>(22000)*0.46</f>
        <v>10120</v>
      </c>
      <c r="I44" s="83">
        <f t="shared" si="17"/>
        <v>75.522388059701498</v>
      </c>
      <c r="L44" s="3">
        <f t="shared" si="2"/>
        <v>0</v>
      </c>
    </row>
    <row r="45" spans="1:12" s="1" customFormat="1">
      <c r="A45" s="113"/>
      <c r="B45" s="5" t="s">
        <v>61</v>
      </c>
      <c r="C45" s="5" t="s">
        <v>17</v>
      </c>
      <c r="D45" s="5">
        <v>1</v>
      </c>
      <c r="E45" s="97">
        <f>247*8*(A43/1973)</f>
        <v>134.20375063355294</v>
      </c>
      <c r="F45" s="26">
        <f>E45/A43</f>
        <v>1.0015205271160668</v>
      </c>
      <c r="G45" s="35">
        <f t="shared" si="16"/>
        <v>7.4626865671641798E-3</v>
      </c>
      <c r="H45" s="145">
        <f>5400*0.46</f>
        <v>2484</v>
      </c>
      <c r="I45" s="83">
        <f t="shared" si="17"/>
        <v>18.537313432835823</v>
      </c>
      <c r="L45" s="3">
        <f t="shared" si="2"/>
        <v>0</v>
      </c>
    </row>
    <row r="46" spans="1:12" s="1" customFormat="1" ht="15.75" thickBot="1">
      <c r="A46" s="108"/>
      <c r="B46" s="18"/>
      <c r="C46" s="18"/>
      <c r="D46" s="18"/>
      <c r="E46" s="95"/>
      <c r="F46" s="18"/>
      <c r="G46" s="20"/>
      <c r="H46" s="37"/>
      <c r="I46" s="87">
        <f>SUM(I42:I45)</f>
        <v>235.49253731343285</v>
      </c>
      <c r="J46" s="130">
        <f>(29300+5400+6900+12000+15000)*0.46</f>
        <v>31556</v>
      </c>
      <c r="K46" s="121">
        <f>I46*A43</f>
        <v>31556</v>
      </c>
      <c r="L46" s="130">
        <f t="shared" si="2"/>
        <v>0</v>
      </c>
    </row>
    <row r="47" spans="1:12">
      <c r="A47" s="104" t="s">
        <v>74</v>
      </c>
      <c r="B47" s="11" t="s">
        <v>62</v>
      </c>
      <c r="C47" s="11" t="s">
        <v>17</v>
      </c>
      <c r="D47" s="13">
        <v>1</v>
      </c>
      <c r="E47" s="124">
        <f>247*8*(A48/1973)</f>
        <v>125.19006588950838</v>
      </c>
      <c r="F47" s="25">
        <f>E47/A48</f>
        <v>1.001520527116067</v>
      </c>
      <c r="G47" s="36">
        <f t="shared" ref="G47:G50" si="18">D47/E47*F47</f>
        <v>7.9999999999999984E-3</v>
      </c>
      <c r="H47" s="154">
        <f>26676*0.49</f>
        <v>13071.24</v>
      </c>
      <c r="I47" s="82">
        <f>H47*G47</f>
        <v>104.56991999999998</v>
      </c>
      <c r="J47" s="3"/>
      <c r="L47" s="3">
        <f t="shared" si="2"/>
        <v>0</v>
      </c>
    </row>
    <row r="48" spans="1:12" s="1" customFormat="1" ht="33" customHeight="1">
      <c r="A48" s="113">
        <f>ком.усл!A52</f>
        <v>125</v>
      </c>
      <c r="B48" s="31" t="s">
        <v>50</v>
      </c>
      <c r="C48" s="5" t="s">
        <v>17</v>
      </c>
      <c r="D48" s="5">
        <v>1</v>
      </c>
      <c r="E48" s="97">
        <f>247*8*(A48/1973)</f>
        <v>125.19006588950838</v>
      </c>
      <c r="F48" s="26">
        <f>E48/A48</f>
        <v>1.001520527116067</v>
      </c>
      <c r="G48" s="35">
        <f t="shared" si="18"/>
        <v>7.9999999999999984E-3</v>
      </c>
      <c r="H48" s="145">
        <f>5000*0.49</f>
        <v>2450</v>
      </c>
      <c r="I48" s="83">
        <f t="shared" ref="I48:I50" si="19">H48*G48</f>
        <v>19.599999999999998</v>
      </c>
      <c r="L48" s="3">
        <f t="shared" si="2"/>
        <v>0</v>
      </c>
    </row>
    <row r="49" spans="1:20" s="1" customFormat="1">
      <c r="A49" s="113"/>
      <c r="B49" s="5" t="s">
        <v>119</v>
      </c>
      <c r="C49" s="5" t="s">
        <v>17</v>
      </c>
      <c r="D49" s="5">
        <v>1</v>
      </c>
      <c r="E49" s="97">
        <f>247*8*(A48/1973)</f>
        <v>125.19006588950838</v>
      </c>
      <c r="F49" s="26">
        <f>E49/A48</f>
        <v>1.001520527116067</v>
      </c>
      <c r="G49" s="35">
        <f t="shared" si="18"/>
        <v>7.9999999999999984E-3</v>
      </c>
      <c r="H49" s="145">
        <f>20000*0.49</f>
        <v>9800</v>
      </c>
      <c r="I49" s="83">
        <f t="shared" si="19"/>
        <v>78.399999999999991</v>
      </c>
      <c r="L49" s="3">
        <f t="shared" si="2"/>
        <v>0</v>
      </c>
    </row>
    <row r="50" spans="1:20" s="1" customFormat="1">
      <c r="A50" s="113"/>
      <c r="B50" s="5" t="s">
        <v>61</v>
      </c>
      <c r="C50" s="5" t="s">
        <v>17</v>
      </c>
      <c r="D50" s="5">
        <v>1</v>
      </c>
      <c r="E50" s="97">
        <f>247*8*(A48/1973)</f>
        <v>125.19006588950838</v>
      </c>
      <c r="F50" s="26">
        <f>E50/A48</f>
        <v>1.001520527116067</v>
      </c>
      <c r="G50" s="35">
        <f t="shared" si="18"/>
        <v>7.9999999999999984E-3</v>
      </c>
      <c r="H50" s="145">
        <f>4500*0.49</f>
        <v>2205</v>
      </c>
      <c r="I50" s="83">
        <f t="shared" si="19"/>
        <v>17.639999999999997</v>
      </c>
      <c r="L50" s="3">
        <f t="shared" si="2"/>
        <v>0</v>
      </c>
    </row>
    <row r="51" spans="1:20" s="1" customFormat="1" ht="15.75" thickBot="1">
      <c r="A51" s="108"/>
      <c r="B51" s="18"/>
      <c r="C51" s="18"/>
      <c r="D51" s="18"/>
      <c r="E51" s="95"/>
      <c r="F51" s="18"/>
      <c r="G51" s="20"/>
      <c r="H51" s="37"/>
      <c r="I51" s="87">
        <f>SUM(I47:I50)</f>
        <v>220.20991999999995</v>
      </c>
      <c r="J51" s="130">
        <f>(26676+4500+25000)*0.49</f>
        <v>27526.239999999998</v>
      </c>
      <c r="K51" s="121">
        <f>I51*A48</f>
        <v>27526.239999999994</v>
      </c>
      <c r="L51" s="130">
        <f t="shared" si="2"/>
        <v>0</v>
      </c>
    </row>
    <row r="52" spans="1:20">
      <c r="I52" s="72"/>
      <c r="L52" s="3">
        <f t="shared" si="2"/>
        <v>0</v>
      </c>
    </row>
    <row r="53" spans="1:20" ht="19.5" thickBot="1">
      <c r="A53" s="100" t="s">
        <v>76</v>
      </c>
      <c r="H53"/>
      <c r="I53" s="72"/>
      <c r="L53" s="3">
        <f t="shared" si="2"/>
        <v>0</v>
      </c>
      <c r="S53" s="1"/>
      <c r="T53" s="1"/>
    </row>
    <row r="54" spans="1:20" ht="79.5" customHeight="1">
      <c r="A54" s="102" t="s">
        <v>2</v>
      </c>
      <c r="B54" s="21" t="s">
        <v>48</v>
      </c>
      <c r="C54" s="21" t="s">
        <v>14</v>
      </c>
      <c r="D54" s="21" t="s">
        <v>16</v>
      </c>
      <c r="E54" s="153" t="s">
        <v>27</v>
      </c>
      <c r="F54" s="21" t="s">
        <v>28</v>
      </c>
      <c r="G54" s="21" t="s">
        <v>49</v>
      </c>
      <c r="H54" s="21" t="s">
        <v>51</v>
      </c>
      <c r="I54" s="79" t="s">
        <v>11</v>
      </c>
      <c r="J54" s="2" t="s">
        <v>34</v>
      </c>
      <c r="K54" s="2" t="s">
        <v>33</v>
      </c>
      <c r="L54" s="3" t="e">
        <f t="shared" si="2"/>
        <v>#VALUE!</v>
      </c>
    </row>
    <row r="55" spans="1:20" ht="15.75" thickBot="1">
      <c r="A55" s="111">
        <v>1</v>
      </c>
      <c r="B55" s="23">
        <v>2</v>
      </c>
      <c r="C55" s="23">
        <v>3</v>
      </c>
      <c r="D55" s="10">
        <v>4</v>
      </c>
      <c r="E55" s="118">
        <v>5</v>
      </c>
      <c r="F55" s="10">
        <v>6</v>
      </c>
      <c r="G55" s="10" t="s">
        <v>31</v>
      </c>
      <c r="H55" s="9">
        <v>8</v>
      </c>
      <c r="I55" s="80" t="s">
        <v>32</v>
      </c>
      <c r="L55" s="3">
        <f t="shared" si="2"/>
        <v>0</v>
      </c>
    </row>
    <row r="56" spans="1:20">
      <c r="A56" s="104" t="s">
        <v>64</v>
      </c>
      <c r="B56" s="11" t="s">
        <v>62</v>
      </c>
      <c r="C56" s="11" t="s">
        <v>17</v>
      </c>
      <c r="D56" s="13">
        <v>1</v>
      </c>
      <c r="E56" s="124">
        <f>247*8*(A57/1973)</f>
        <v>224.34059807399899</v>
      </c>
      <c r="F56" s="25">
        <f>E56/A57</f>
        <v>1.001520527116067</v>
      </c>
      <c r="G56" s="36">
        <f t="shared" ref="G56:G59" si="20">D56/E56*F56</f>
        <v>4.464285714285714E-3</v>
      </c>
      <c r="H56" s="154">
        <f>(36201+12650)*0.5</f>
        <v>24425.5</v>
      </c>
      <c r="I56" s="82">
        <f>H56*G56</f>
        <v>109.04241071428571</v>
      </c>
      <c r="J56" s="3"/>
      <c r="L56" s="3">
        <f t="shared" si="2"/>
        <v>0</v>
      </c>
      <c r="M56" s="1">
        <f>J56/A57/G56</f>
        <v>0</v>
      </c>
    </row>
    <row r="57" spans="1:20" s="1" customFormat="1" ht="33" customHeight="1">
      <c r="A57" s="113">
        <f>ком.усл!A62</f>
        <v>224</v>
      </c>
      <c r="B57" s="31" t="s">
        <v>50</v>
      </c>
      <c r="C57" s="5" t="s">
        <v>17</v>
      </c>
      <c r="D57" s="5">
        <v>1</v>
      </c>
      <c r="E57" s="97">
        <f>247*8*(A57/1973)</f>
        <v>224.34059807399899</v>
      </c>
      <c r="F57" s="26">
        <f>E57/A57</f>
        <v>1.001520527116067</v>
      </c>
      <c r="G57" s="35">
        <f t="shared" si="20"/>
        <v>4.464285714285714E-3</v>
      </c>
      <c r="H57" s="145">
        <f>5000*0.5</f>
        <v>2500</v>
      </c>
      <c r="I57" s="83">
        <f t="shared" ref="I57:I59" si="21">H57*G57</f>
        <v>11.160714285714285</v>
      </c>
      <c r="L57" s="3">
        <f t="shared" si="2"/>
        <v>0</v>
      </c>
    </row>
    <row r="58" spans="1:20" s="1" customFormat="1">
      <c r="A58" s="113"/>
      <c r="B58" s="5" t="s">
        <v>119</v>
      </c>
      <c r="C58" s="5" t="s">
        <v>17</v>
      </c>
      <c r="D58" s="5">
        <v>1</v>
      </c>
      <c r="E58" s="97">
        <f>247*8*(A57/1973)</f>
        <v>224.34059807399899</v>
      </c>
      <c r="F58" s="26">
        <f>E58/A57</f>
        <v>1.001520527116067</v>
      </c>
      <c r="G58" s="35">
        <f t="shared" si="20"/>
        <v>4.464285714285714E-3</v>
      </c>
      <c r="H58" s="145">
        <f>(27000)*0.5</f>
        <v>13500</v>
      </c>
      <c r="I58" s="83">
        <f t="shared" si="21"/>
        <v>60.267857142857139</v>
      </c>
      <c r="L58" s="3">
        <f t="shared" si="2"/>
        <v>0</v>
      </c>
    </row>
    <row r="59" spans="1:20" s="1" customFormat="1">
      <c r="A59" s="113"/>
      <c r="B59" s="5" t="s">
        <v>61</v>
      </c>
      <c r="C59" s="5" t="s">
        <v>17</v>
      </c>
      <c r="D59" s="5">
        <v>1</v>
      </c>
      <c r="E59" s="97">
        <f>247*8*(A57/1973)</f>
        <v>224.34059807399899</v>
      </c>
      <c r="F59" s="26">
        <f>E59/A57</f>
        <v>1.001520527116067</v>
      </c>
      <c r="G59" s="35">
        <f t="shared" si="20"/>
        <v>4.464285714285714E-3</v>
      </c>
      <c r="H59" s="145">
        <f>4950*0.5</f>
        <v>2475</v>
      </c>
      <c r="I59" s="83">
        <f t="shared" si="21"/>
        <v>11.049107142857142</v>
      </c>
      <c r="L59" s="3">
        <f t="shared" si="2"/>
        <v>0</v>
      </c>
    </row>
    <row r="60" spans="1:20" s="1" customFormat="1" ht="15.75" thickBot="1">
      <c r="A60" s="108"/>
      <c r="B60" s="18"/>
      <c r="C60" s="18"/>
      <c r="D60" s="18"/>
      <c r="E60" s="95"/>
      <c r="F60" s="18"/>
      <c r="G60" s="20"/>
      <c r="H60" s="37"/>
      <c r="I60" s="87">
        <f>SUM(I56:I59)</f>
        <v>191.52008928571428</v>
      </c>
      <c r="J60" s="130">
        <f>(36201+4950+12650+5000+27000)*0.5</f>
        <v>42900.5</v>
      </c>
      <c r="K60" s="121">
        <f>I60*A57</f>
        <v>42900.5</v>
      </c>
      <c r="L60" s="3">
        <f t="shared" si="2"/>
        <v>0</v>
      </c>
    </row>
    <row r="61" spans="1:20">
      <c r="A61" s="104" t="s">
        <v>67</v>
      </c>
      <c r="B61" s="11" t="s">
        <v>62</v>
      </c>
      <c r="C61" s="11" t="s">
        <v>17</v>
      </c>
      <c r="D61" s="13">
        <v>1</v>
      </c>
      <c r="E61" s="124">
        <f>247*8*(A62/1973)</f>
        <v>330.50177394830206</v>
      </c>
      <c r="F61" s="25">
        <f>E61/A62</f>
        <v>1.0015205271160668</v>
      </c>
      <c r="G61" s="36">
        <f t="shared" ref="G61:G64" si="22">D61/E61*F61</f>
        <v>3.0303030303030299E-3</v>
      </c>
      <c r="H61" s="154">
        <f>(80921.13+11500)*0.49</f>
        <v>45286.3537</v>
      </c>
      <c r="I61" s="82">
        <f>H61*G61</f>
        <v>137.23137484848482</v>
      </c>
      <c r="J61" s="3"/>
      <c r="L61" s="3">
        <f t="shared" si="2"/>
        <v>0</v>
      </c>
      <c r="M61" s="1">
        <f>J61/A62/G61</f>
        <v>0</v>
      </c>
    </row>
    <row r="62" spans="1:20" s="1" customFormat="1" ht="33" customHeight="1">
      <c r="A62" s="113">
        <f>ком.усл!A67</f>
        <v>330</v>
      </c>
      <c r="B62" s="31" t="s">
        <v>50</v>
      </c>
      <c r="C62" s="5" t="s">
        <v>17</v>
      </c>
      <c r="D62" s="5">
        <v>1</v>
      </c>
      <c r="E62" s="97">
        <f>247*8*(A62/1973)</f>
        <v>330.50177394830206</v>
      </c>
      <c r="F62" s="26">
        <f>E62/A62</f>
        <v>1.0015205271160668</v>
      </c>
      <c r="G62" s="35">
        <f t="shared" si="22"/>
        <v>3.0303030303030299E-3</v>
      </c>
      <c r="H62" s="145">
        <f>5000*0.49</f>
        <v>2450</v>
      </c>
      <c r="I62" s="83">
        <f t="shared" ref="I62:I64" si="23">H62*G62</f>
        <v>7.424242424242423</v>
      </c>
      <c r="L62" s="3">
        <f t="shared" si="2"/>
        <v>0</v>
      </c>
    </row>
    <row r="63" spans="1:20" s="1" customFormat="1">
      <c r="A63" s="113"/>
      <c r="B63" s="5" t="s">
        <v>119</v>
      </c>
      <c r="C63" s="5" t="s">
        <v>17</v>
      </c>
      <c r="D63" s="5">
        <v>1</v>
      </c>
      <c r="E63" s="97">
        <f>247*8*(A62/1973)</f>
        <v>330.50177394830206</v>
      </c>
      <c r="F63" s="26">
        <f>E63/A62</f>
        <v>1.0015205271160668</v>
      </c>
      <c r="G63" s="35">
        <f t="shared" si="22"/>
        <v>3.0303030303030299E-3</v>
      </c>
      <c r="H63" s="145">
        <f>20000*0.49</f>
        <v>9800</v>
      </c>
      <c r="I63" s="83">
        <f t="shared" si="23"/>
        <v>29.696969696969692</v>
      </c>
      <c r="L63" s="3">
        <f t="shared" si="2"/>
        <v>0</v>
      </c>
    </row>
    <row r="64" spans="1:20" s="1" customFormat="1">
      <c r="A64" s="113"/>
      <c r="B64" s="5" t="s">
        <v>61</v>
      </c>
      <c r="C64" s="5" t="s">
        <v>17</v>
      </c>
      <c r="D64" s="5">
        <v>1</v>
      </c>
      <c r="E64" s="97">
        <f>247*8*(A62/1973)</f>
        <v>330.50177394830206</v>
      </c>
      <c r="F64" s="26">
        <f>E64/A62</f>
        <v>1.0015205271160668</v>
      </c>
      <c r="G64" s="35">
        <f t="shared" si="22"/>
        <v>3.0303030303030299E-3</v>
      </c>
      <c r="H64" s="145">
        <f>5850*0.49</f>
        <v>2866.5</v>
      </c>
      <c r="I64" s="83">
        <f t="shared" si="23"/>
        <v>8.6863636363636356</v>
      </c>
      <c r="L64" s="3">
        <f t="shared" si="2"/>
        <v>0</v>
      </c>
    </row>
    <row r="65" spans="1:13" s="1" customFormat="1" ht="15.75" thickBot="1">
      <c r="A65" s="108"/>
      <c r="B65" s="18"/>
      <c r="C65" s="18"/>
      <c r="D65" s="18"/>
      <c r="E65" s="95"/>
      <c r="F65" s="18"/>
      <c r="G65" s="20"/>
      <c r="H65" s="37"/>
      <c r="I65" s="87">
        <f>SUM(I61:I64)</f>
        <v>183.03895060606058</v>
      </c>
      <c r="J65" s="130">
        <f>(80921.13+5850+11500+5000+20000)*0.49</f>
        <v>60402.8537</v>
      </c>
      <c r="K65" s="121">
        <f>I65*A62</f>
        <v>60402.853699999992</v>
      </c>
      <c r="L65" s="3">
        <f t="shared" si="2"/>
        <v>0</v>
      </c>
    </row>
    <row r="66" spans="1:13">
      <c r="A66" s="104" t="s">
        <v>68</v>
      </c>
      <c r="B66" s="11" t="s">
        <v>62</v>
      </c>
      <c r="C66" s="11" t="s">
        <v>17</v>
      </c>
      <c r="D66" s="13">
        <v>1</v>
      </c>
      <c r="E66" s="124">
        <f>247*8*(A67/1973)</f>
        <v>267.4059807399899</v>
      </c>
      <c r="F66" s="25">
        <f>E66/A67</f>
        <v>1.001520527116067</v>
      </c>
      <c r="G66" s="36">
        <f t="shared" ref="G66:G69" si="24">D66/E66*F66</f>
        <v>3.7453183520599251E-3</v>
      </c>
      <c r="H66" s="154">
        <f>(112512.84+18400)*0.45</f>
        <v>58910.777999999998</v>
      </c>
      <c r="I66" s="82">
        <f>H66*G66</f>
        <v>220.63961797752808</v>
      </c>
      <c r="J66" s="3"/>
      <c r="L66" s="3">
        <f t="shared" si="2"/>
        <v>0</v>
      </c>
      <c r="M66" s="1">
        <f>J66/A67/G66</f>
        <v>0</v>
      </c>
    </row>
    <row r="67" spans="1:13" s="1" customFormat="1" ht="33" customHeight="1">
      <c r="A67" s="113">
        <f>ком.усл!A72</f>
        <v>267</v>
      </c>
      <c r="B67" s="31" t="s">
        <v>50</v>
      </c>
      <c r="C67" s="5" t="s">
        <v>17</v>
      </c>
      <c r="D67" s="5">
        <v>1</v>
      </c>
      <c r="E67" s="97">
        <f>247*8*(A67/1973)</f>
        <v>267.4059807399899</v>
      </c>
      <c r="F67" s="26">
        <f>E67/A67</f>
        <v>1.001520527116067</v>
      </c>
      <c r="G67" s="35">
        <f t="shared" si="24"/>
        <v>3.7453183520599251E-3</v>
      </c>
      <c r="H67" s="145">
        <f>10000*0.45</f>
        <v>4500</v>
      </c>
      <c r="I67" s="83">
        <f t="shared" ref="I67:I69" si="25">H67*G67</f>
        <v>16.853932584269664</v>
      </c>
      <c r="L67" s="3">
        <f t="shared" si="2"/>
        <v>0</v>
      </c>
    </row>
    <row r="68" spans="1:13" s="1" customFormat="1">
      <c r="A68" s="113"/>
      <c r="B68" s="5" t="s">
        <v>119</v>
      </c>
      <c r="C68" s="5" t="s">
        <v>17</v>
      </c>
      <c r="D68" s="5">
        <v>1</v>
      </c>
      <c r="E68" s="97">
        <f>247*8*(A67/1973)</f>
        <v>267.4059807399899</v>
      </c>
      <c r="F68" s="26">
        <f>E68/A67</f>
        <v>1.001520527116067</v>
      </c>
      <c r="G68" s="35">
        <f t="shared" si="24"/>
        <v>3.7453183520599251E-3</v>
      </c>
      <c r="H68" s="145">
        <f>(21000+54900)*0.45</f>
        <v>34155</v>
      </c>
      <c r="I68" s="83">
        <f t="shared" si="25"/>
        <v>127.92134831460675</v>
      </c>
      <c r="L68" s="3">
        <f t="shared" si="2"/>
        <v>0</v>
      </c>
    </row>
    <row r="69" spans="1:13" s="1" customFormat="1">
      <c r="A69" s="113"/>
      <c r="B69" s="5" t="s">
        <v>61</v>
      </c>
      <c r="C69" s="5" t="s">
        <v>17</v>
      </c>
      <c r="D69" s="5">
        <v>1</v>
      </c>
      <c r="E69" s="97">
        <f>247*8*(A67/1973)</f>
        <v>267.4059807399899</v>
      </c>
      <c r="F69" s="26">
        <f>E69/A67</f>
        <v>1.001520527116067</v>
      </c>
      <c r="G69" s="35">
        <f t="shared" si="24"/>
        <v>3.7453183520599251E-3</v>
      </c>
      <c r="H69" s="145">
        <f>12600*0.45</f>
        <v>5670</v>
      </c>
      <c r="I69" s="83">
        <f t="shared" si="25"/>
        <v>21.235955056179776</v>
      </c>
      <c r="L69" s="3">
        <f t="shared" si="2"/>
        <v>0</v>
      </c>
    </row>
    <row r="70" spans="1:13" s="1" customFormat="1" ht="15.75" thickBot="1">
      <c r="A70" s="108"/>
      <c r="B70" s="18"/>
      <c r="C70" s="18"/>
      <c r="D70" s="18"/>
      <c r="E70" s="95"/>
      <c r="F70" s="18"/>
      <c r="G70" s="20"/>
      <c r="H70" s="37"/>
      <c r="I70" s="87">
        <f>SUM(I66:I69)</f>
        <v>386.65085393258425</v>
      </c>
      <c r="J70" s="130">
        <f>(112512.84+12600+18400+10000+21000+54900)*0.45</f>
        <v>103235.77800000001</v>
      </c>
      <c r="K70" s="121">
        <f>I70*A67</f>
        <v>103235.77799999999</v>
      </c>
      <c r="L70" s="3">
        <f t="shared" si="2"/>
        <v>0</v>
      </c>
    </row>
    <row r="71" spans="1:13">
      <c r="A71" s="104" t="s">
        <v>69</v>
      </c>
      <c r="B71" s="11" t="s">
        <v>62</v>
      </c>
      <c r="C71" s="11" t="s">
        <v>17</v>
      </c>
      <c r="D71" s="13">
        <v>1</v>
      </c>
      <c r="E71" s="124">
        <f>247*8*(A72/1973)</f>
        <v>446.67815509376584</v>
      </c>
      <c r="F71" s="25">
        <f>E71/A72</f>
        <v>1.001520527116067</v>
      </c>
      <c r="G71" s="36">
        <f t="shared" ref="G71:G74" si="26">D71/E71*F71</f>
        <v>2.2421524663677134E-3</v>
      </c>
      <c r="H71" s="154">
        <f>(48970+11150)*0.47</f>
        <v>28256.399999999998</v>
      </c>
      <c r="I71" s="82">
        <f>H71*G71</f>
        <v>63.355156950672651</v>
      </c>
      <c r="J71" s="3"/>
      <c r="L71" s="3">
        <f t="shared" ref="L71:L100" si="27">J71-K71</f>
        <v>0</v>
      </c>
      <c r="M71" s="1">
        <f>J71/A72/G71</f>
        <v>0</v>
      </c>
    </row>
    <row r="72" spans="1:13" s="1" customFormat="1" ht="33" customHeight="1">
      <c r="A72" s="113">
        <f>ком.усл!A77</f>
        <v>446</v>
      </c>
      <c r="B72" s="31" t="s">
        <v>50</v>
      </c>
      <c r="C72" s="5" t="s">
        <v>17</v>
      </c>
      <c r="D72" s="5">
        <v>1</v>
      </c>
      <c r="E72" s="97">
        <f>247*8*(A72/1973)</f>
        <v>446.67815509376584</v>
      </c>
      <c r="F72" s="26">
        <f>E72/A72</f>
        <v>1.001520527116067</v>
      </c>
      <c r="G72" s="35">
        <f t="shared" si="26"/>
        <v>2.2421524663677134E-3</v>
      </c>
      <c r="H72" s="145">
        <f>5000*0.47</f>
        <v>2350</v>
      </c>
      <c r="I72" s="83">
        <f t="shared" ref="I72:I74" si="28">H72*G72</f>
        <v>5.2690582959641263</v>
      </c>
      <c r="L72" s="3">
        <f t="shared" si="27"/>
        <v>0</v>
      </c>
    </row>
    <row r="73" spans="1:13" s="1" customFormat="1">
      <c r="A73" s="113"/>
      <c r="B73" s="5" t="s">
        <v>119</v>
      </c>
      <c r="C73" s="5" t="s">
        <v>17</v>
      </c>
      <c r="D73" s="5">
        <v>1</v>
      </c>
      <c r="E73" s="97">
        <f>247*8*(A72/1973)</f>
        <v>446.67815509376584</v>
      </c>
      <c r="F73" s="26">
        <f>E73/A72</f>
        <v>1.001520527116067</v>
      </c>
      <c r="G73" s="35">
        <f t="shared" si="26"/>
        <v>2.2421524663677134E-3</v>
      </c>
      <c r="H73" s="145">
        <f>(30000)*0.47</f>
        <v>14100</v>
      </c>
      <c r="I73" s="83">
        <f t="shared" si="28"/>
        <v>31.61434977578476</v>
      </c>
      <c r="L73" s="3">
        <f t="shared" si="27"/>
        <v>0</v>
      </c>
    </row>
    <row r="74" spans="1:13" s="1" customFormat="1">
      <c r="A74" s="113"/>
      <c r="B74" s="5" t="s">
        <v>61</v>
      </c>
      <c r="C74" s="5" t="s">
        <v>17</v>
      </c>
      <c r="D74" s="5">
        <v>1</v>
      </c>
      <c r="E74" s="97">
        <f>247*8*(A72/1973)</f>
        <v>446.67815509376584</v>
      </c>
      <c r="F74" s="26">
        <f>E74/A72</f>
        <v>1.001520527116067</v>
      </c>
      <c r="G74" s="35">
        <f t="shared" si="26"/>
        <v>2.2421524663677134E-3</v>
      </c>
      <c r="H74" s="145">
        <f>7650*0.47</f>
        <v>3595.5</v>
      </c>
      <c r="I74" s="83">
        <f t="shared" si="28"/>
        <v>8.0616591928251129</v>
      </c>
      <c r="L74" s="3">
        <f t="shared" si="27"/>
        <v>0</v>
      </c>
    </row>
    <row r="75" spans="1:13" s="1" customFormat="1" ht="15.75" thickBot="1">
      <c r="A75" s="108"/>
      <c r="B75" s="18"/>
      <c r="C75" s="18"/>
      <c r="D75" s="18"/>
      <c r="E75" s="95"/>
      <c r="F75" s="18"/>
      <c r="G75" s="20"/>
      <c r="H75" s="37"/>
      <c r="I75" s="87">
        <f>SUM(I71:I74)</f>
        <v>108.30022421524666</v>
      </c>
      <c r="J75" s="130">
        <f>(48970+7650+11150+35000)*0.47</f>
        <v>48301.899999999994</v>
      </c>
      <c r="K75" s="121">
        <f>I75*A72</f>
        <v>48301.900000000009</v>
      </c>
      <c r="L75" s="130">
        <f t="shared" si="27"/>
        <v>0</v>
      </c>
    </row>
    <row r="76" spans="1:13">
      <c r="A76" s="104" t="s">
        <v>70</v>
      </c>
      <c r="B76" s="11" t="s">
        <v>62</v>
      </c>
      <c r="C76" s="11" t="s">
        <v>17</v>
      </c>
      <c r="D76" s="13">
        <v>1</v>
      </c>
      <c r="E76" s="124">
        <f>247*8*(A77/1973)</f>
        <v>466.70856563608714</v>
      </c>
      <c r="F76" s="25">
        <f>E76/A77</f>
        <v>1.0015205271160668</v>
      </c>
      <c r="G76" s="36">
        <f t="shared" ref="G76:G79" si="29">D76/E76*F76</f>
        <v>2.1459227467811159E-3</v>
      </c>
      <c r="H76" s="154">
        <f>(13800+47609.6)*0.48</f>
        <v>29476.607999999997</v>
      </c>
      <c r="I76" s="82">
        <f>H76*G76</f>
        <v>63.254523605150204</v>
      </c>
      <c r="J76" s="3"/>
      <c r="L76" s="3">
        <f t="shared" si="27"/>
        <v>0</v>
      </c>
      <c r="M76" s="1">
        <f>J76/A77/G76</f>
        <v>0</v>
      </c>
    </row>
    <row r="77" spans="1:13" s="1" customFormat="1" ht="33" customHeight="1">
      <c r="A77" s="113">
        <f>ком.усл!A82</f>
        <v>466</v>
      </c>
      <c r="B77" s="31" t="s">
        <v>50</v>
      </c>
      <c r="C77" s="5" t="s">
        <v>17</v>
      </c>
      <c r="D77" s="5">
        <v>1</v>
      </c>
      <c r="E77" s="97">
        <f>247*8*(A77/1973)</f>
        <v>466.70856563608714</v>
      </c>
      <c r="F77" s="26">
        <f>E77/A77</f>
        <v>1.0015205271160668</v>
      </c>
      <c r="G77" s="35">
        <f t="shared" si="29"/>
        <v>2.1459227467811159E-3</v>
      </c>
      <c r="H77" s="145">
        <f>5000*0.48</f>
        <v>2400</v>
      </c>
      <c r="I77" s="83">
        <f t="shared" ref="I77:I79" si="30">H77*G77</f>
        <v>5.1502145922746783</v>
      </c>
      <c r="L77" s="3">
        <f t="shared" si="27"/>
        <v>0</v>
      </c>
    </row>
    <row r="78" spans="1:13" s="1" customFormat="1">
      <c r="A78" s="113"/>
      <c r="B78" s="5" t="s">
        <v>119</v>
      </c>
      <c r="C78" s="5" t="s">
        <v>17</v>
      </c>
      <c r="D78" s="5">
        <v>1</v>
      </c>
      <c r="E78" s="97">
        <f>247*8*(A77/1973)</f>
        <v>466.70856563608714</v>
      </c>
      <c r="F78" s="26">
        <f>E78/A77</f>
        <v>1.0015205271160668</v>
      </c>
      <c r="G78" s="35">
        <f t="shared" si="29"/>
        <v>2.1459227467811159E-3</v>
      </c>
      <c r="H78" s="145">
        <f>30000*0.48</f>
        <v>14400</v>
      </c>
      <c r="I78" s="83">
        <f t="shared" si="30"/>
        <v>30.901287553648068</v>
      </c>
      <c r="L78" s="3">
        <f t="shared" si="27"/>
        <v>0</v>
      </c>
    </row>
    <row r="79" spans="1:13" s="1" customFormat="1">
      <c r="A79" s="113"/>
      <c r="B79" s="5" t="s">
        <v>61</v>
      </c>
      <c r="C79" s="5" t="s">
        <v>17</v>
      </c>
      <c r="D79" s="5">
        <v>1</v>
      </c>
      <c r="E79" s="97">
        <f>247*8*(A77/1973)</f>
        <v>466.70856563608714</v>
      </c>
      <c r="F79" s="26">
        <f>E79/A77</f>
        <v>1.0015205271160668</v>
      </c>
      <c r="G79" s="35">
        <f t="shared" si="29"/>
        <v>2.1459227467811159E-3</v>
      </c>
      <c r="H79" s="145">
        <f>9000*0.48</f>
        <v>4320</v>
      </c>
      <c r="I79" s="83">
        <f t="shared" si="30"/>
        <v>9.2703862660944214</v>
      </c>
      <c r="L79" s="3">
        <f t="shared" si="27"/>
        <v>0</v>
      </c>
    </row>
    <row r="80" spans="1:13" s="1" customFormat="1" ht="15.75" thickBot="1">
      <c r="A80" s="108"/>
      <c r="B80" s="18"/>
      <c r="C80" s="18"/>
      <c r="D80" s="18"/>
      <c r="E80" s="95"/>
      <c r="F80" s="18"/>
      <c r="G80" s="20"/>
      <c r="H80" s="37"/>
      <c r="I80" s="87">
        <f>SUM(I76:I79)</f>
        <v>108.57641201716737</v>
      </c>
      <c r="J80" s="130">
        <f>(47609.6+9000+13800+35000)*0.48</f>
        <v>50596.608</v>
      </c>
      <c r="K80" s="121">
        <f>I80*A77</f>
        <v>50596.607999999993</v>
      </c>
      <c r="L80" s="130">
        <f t="shared" si="27"/>
        <v>0</v>
      </c>
    </row>
    <row r="81" spans="1:13">
      <c r="A81" s="104" t="s">
        <v>71</v>
      </c>
      <c r="B81" s="11" t="s">
        <v>62</v>
      </c>
      <c r="C81" s="11" t="s">
        <v>17</v>
      </c>
      <c r="D81" s="13">
        <v>1</v>
      </c>
      <c r="E81" s="124">
        <f>247*8*(A82/1973)</f>
        <v>309.46984287886465</v>
      </c>
      <c r="F81" s="25">
        <f>E81/A82</f>
        <v>1.0015205271160668</v>
      </c>
      <c r="G81" s="36">
        <f t="shared" ref="G81:G84" si="31">D81/E81*F81</f>
        <v>3.2362459546925564E-3</v>
      </c>
      <c r="H81" s="154">
        <f>(60926+17250)*0.53</f>
        <v>41433.279999999999</v>
      </c>
      <c r="I81" s="82">
        <f>H81*G81</f>
        <v>134.08828478964401</v>
      </c>
      <c r="J81" s="3"/>
      <c r="L81" s="3">
        <f t="shared" si="27"/>
        <v>0</v>
      </c>
      <c r="M81" s="1">
        <f>J81/A82/G81</f>
        <v>0</v>
      </c>
    </row>
    <row r="82" spans="1:13" s="1" customFormat="1" ht="33" customHeight="1">
      <c r="A82" s="113">
        <f>ком.усл!A87</f>
        <v>309</v>
      </c>
      <c r="B82" s="31" t="s">
        <v>50</v>
      </c>
      <c r="C82" s="5" t="s">
        <v>17</v>
      </c>
      <c r="D82" s="5">
        <v>1</v>
      </c>
      <c r="E82" s="97">
        <f>247*8*(A82/1973)</f>
        <v>309.46984287886465</v>
      </c>
      <c r="F82" s="26">
        <f>E82/A82</f>
        <v>1.0015205271160668</v>
      </c>
      <c r="G82" s="35">
        <f t="shared" si="31"/>
        <v>3.2362459546925564E-3</v>
      </c>
      <c r="H82" s="145">
        <f>5000*0.53</f>
        <v>2650</v>
      </c>
      <c r="I82" s="83">
        <f t="shared" ref="I82:I84" si="32">H82*G82</f>
        <v>8.5760517799352751</v>
      </c>
      <c r="L82" s="3">
        <f t="shared" si="27"/>
        <v>0</v>
      </c>
    </row>
    <row r="83" spans="1:13" s="1" customFormat="1">
      <c r="A83" s="113"/>
      <c r="B83" s="5" t="s">
        <v>119</v>
      </c>
      <c r="C83" s="5" t="s">
        <v>17</v>
      </c>
      <c r="D83" s="5">
        <v>1</v>
      </c>
      <c r="E83" s="97">
        <f>247*8*(A82/1973)</f>
        <v>309.46984287886465</v>
      </c>
      <c r="F83" s="26">
        <f>E83/A82</f>
        <v>1.0015205271160668</v>
      </c>
      <c r="G83" s="35">
        <f t="shared" si="31"/>
        <v>3.2362459546925564E-3</v>
      </c>
      <c r="H83" s="145">
        <f>30000*0.53</f>
        <v>15900</v>
      </c>
      <c r="I83" s="83">
        <f t="shared" si="32"/>
        <v>51.456310679611647</v>
      </c>
      <c r="L83" s="3">
        <f t="shared" si="27"/>
        <v>0</v>
      </c>
    </row>
    <row r="84" spans="1:13" s="1" customFormat="1">
      <c r="A84" s="113"/>
      <c r="B84" s="5" t="s">
        <v>61</v>
      </c>
      <c r="C84" s="5" t="s">
        <v>17</v>
      </c>
      <c r="D84" s="5">
        <v>1</v>
      </c>
      <c r="E84" s="97">
        <f>247*8*(A82/1973)</f>
        <v>309.46984287886465</v>
      </c>
      <c r="F84" s="26">
        <f>E84/A82</f>
        <v>1.0015205271160668</v>
      </c>
      <c r="G84" s="35">
        <f t="shared" si="31"/>
        <v>3.2362459546925564E-3</v>
      </c>
      <c r="H84" s="145">
        <f>9000*0.53</f>
        <v>4770</v>
      </c>
      <c r="I84" s="83">
        <f t="shared" si="32"/>
        <v>15.436893203883495</v>
      </c>
      <c r="L84" s="3">
        <f t="shared" si="27"/>
        <v>0</v>
      </c>
    </row>
    <row r="85" spans="1:13" s="1" customFormat="1" ht="15.75" thickBot="1">
      <c r="A85" s="108"/>
      <c r="B85" s="18"/>
      <c r="C85" s="18"/>
      <c r="D85" s="18"/>
      <c r="E85" s="95"/>
      <c r="F85" s="18"/>
      <c r="G85" s="20"/>
      <c r="H85" s="37"/>
      <c r="I85" s="87">
        <f>SUM(I81:I84)</f>
        <v>209.55754045307444</v>
      </c>
      <c r="J85" s="130">
        <f>(60926+9000+17250+35000)*0.53</f>
        <v>64753.280000000006</v>
      </c>
      <c r="K85" s="121">
        <f>I85*A82</f>
        <v>64753.279999999999</v>
      </c>
      <c r="L85" s="130">
        <f t="shared" si="27"/>
        <v>0</v>
      </c>
    </row>
    <row r="86" spans="1:13">
      <c r="A86" s="104" t="s">
        <v>94</v>
      </c>
      <c r="B86" s="11" t="s">
        <v>62</v>
      </c>
      <c r="C86" s="11" t="s">
        <v>17</v>
      </c>
      <c r="D86" s="13">
        <v>1</v>
      </c>
      <c r="E86" s="124">
        <f>247*8*(A87/1973)</f>
        <v>490.74505828687273</v>
      </c>
      <c r="F86" s="25">
        <f>E86/A87</f>
        <v>1.0015205271160668</v>
      </c>
      <c r="G86" s="36">
        <f t="shared" ref="G86:G89" si="33">D86/E86*F86</f>
        <v>2.040816326530612E-3</v>
      </c>
      <c r="H86" s="154">
        <f>(93176.2+17250)*0.49</f>
        <v>54108.837999999996</v>
      </c>
      <c r="I86" s="82">
        <f>H86*G86</f>
        <v>110.42619999999998</v>
      </c>
      <c r="J86" s="3"/>
      <c r="L86" s="3">
        <f t="shared" si="27"/>
        <v>0</v>
      </c>
      <c r="M86" s="1">
        <f>J86/A87/G86</f>
        <v>0</v>
      </c>
    </row>
    <row r="87" spans="1:13" s="1" customFormat="1" ht="33" customHeight="1">
      <c r="A87" s="113">
        <f>ком.усл!A92</f>
        <v>490</v>
      </c>
      <c r="B87" s="31" t="s">
        <v>50</v>
      </c>
      <c r="C87" s="5" t="s">
        <v>17</v>
      </c>
      <c r="D87" s="5">
        <v>1</v>
      </c>
      <c r="E87" s="97">
        <f>247*8*(A87/1973)</f>
        <v>490.74505828687273</v>
      </c>
      <c r="F87" s="26">
        <f>E87/A87</f>
        <v>1.0015205271160668</v>
      </c>
      <c r="G87" s="35">
        <f t="shared" si="33"/>
        <v>2.040816326530612E-3</v>
      </c>
      <c r="H87" s="145">
        <f>10000*0.49</f>
        <v>4900</v>
      </c>
      <c r="I87" s="83">
        <f t="shared" ref="I87:I89" si="34">H87*G87</f>
        <v>9.9999999999999982</v>
      </c>
      <c r="L87" s="3">
        <f t="shared" si="27"/>
        <v>0</v>
      </c>
    </row>
    <row r="88" spans="1:13" s="1" customFormat="1">
      <c r="A88" s="113"/>
      <c r="B88" s="5" t="s">
        <v>119</v>
      </c>
      <c r="C88" s="5" t="s">
        <v>17</v>
      </c>
      <c r="D88" s="5">
        <v>1</v>
      </c>
      <c r="E88" s="97">
        <f>247*8*(A87/1973)</f>
        <v>490.74505828687273</v>
      </c>
      <c r="F88" s="26">
        <f>E88/A87</f>
        <v>1.0015205271160668</v>
      </c>
      <c r="G88" s="35">
        <f t="shared" si="33"/>
        <v>2.040816326530612E-3</v>
      </c>
      <c r="H88" s="145">
        <f>(54000)*0.49</f>
        <v>26460</v>
      </c>
      <c r="I88" s="83">
        <f t="shared" si="34"/>
        <v>53.999999999999993</v>
      </c>
      <c r="L88" s="3">
        <f t="shared" si="27"/>
        <v>0</v>
      </c>
    </row>
    <row r="89" spans="1:13" s="1" customFormat="1">
      <c r="A89" s="113"/>
      <c r="B89" s="5" t="s">
        <v>61</v>
      </c>
      <c r="C89" s="5" t="s">
        <v>17</v>
      </c>
      <c r="D89" s="5">
        <v>1</v>
      </c>
      <c r="E89" s="97">
        <f>247*8*(A87/1973)</f>
        <v>490.74505828687273</v>
      </c>
      <c r="F89" s="26">
        <f>E89/A87</f>
        <v>1.0015205271160668</v>
      </c>
      <c r="G89" s="35">
        <f t="shared" si="33"/>
        <v>2.040816326530612E-3</v>
      </c>
      <c r="H89" s="145">
        <f>7650*0.49</f>
        <v>3748.5</v>
      </c>
      <c r="I89" s="83">
        <f t="shared" si="34"/>
        <v>7.6499999999999995</v>
      </c>
      <c r="L89" s="3">
        <f t="shared" si="27"/>
        <v>0</v>
      </c>
    </row>
    <row r="90" spans="1:13" s="1" customFormat="1" ht="15.75" thickBot="1">
      <c r="A90" s="108"/>
      <c r="B90" s="18"/>
      <c r="C90" s="18"/>
      <c r="D90" s="18"/>
      <c r="E90" s="95"/>
      <c r="F90" s="18"/>
      <c r="G90" s="20"/>
      <c r="H90" s="37"/>
      <c r="I90" s="87">
        <f>SUM(I86:I89)</f>
        <v>182.07619999999997</v>
      </c>
      <c r="J90" s="130">
        <f>(93176.2+17250+7650+64000)*0.49</f>
        <v>89217.338000000003</v>
      </c>
      <c r="K90" s="121">
        <f>I90*A87</f>
        <v>89217.337999999989</v>
      </c>
      <c r="L90" s="130">
        <f t="shared" si="27"/>
        <v>0</v>
      </c>
    </row>
    <row r="91" spans="1:13">
      <c r="A91" s="104" t="s">
        <v>73</v>
      </c>
      <c r="B91" s="11" t="s">
        <v>62</v>
      </c>
      <c r="C91" s="11" t="s">
        <v>17</v>
      </c>
      <c r="D91" s="13">
        <v>1</v>
      </c>
      <c r="E91" s="124">
        <f>247*8*(A92/1973)</f>
        <v>125.19006588950838</v>
      </c>
      <c r="F91" s="25">
        <f>E91/A92</f>
        <v>1.001520527116067</v>
      </c>
      <c r="G91" s="36">
        <f t="shared" ref="G91:G94" si="35">D91/E91*F91</f>
        <v>7.9999999999999984E-3</v>
      </c>
      <c r="H91" s="154">
        <f>(29300+6900)*0.43</f>
        <v>15566</v>
      </c>
      <c r="I91" s="82">
        <f>H91*G91</f>
        <v>124.52799999999998</v>
      </c>
      <c r="J91" s="3"/>
      <c r="L91" s="3">
        <f t="shared" si="27"/>
        <v>0</v>
      </c>
      <c r="M91" s="1">
        <f>J91/A92/G91</f>
        <v>0</v>
      </c>
    </row>
    <row r="92" spans="1:13" s="1" customFormat="1" ht="33" customHeight="1">
      <c r="A92" s="113">
        <f>ком.усл!A98</f>
        <v>125</v>
      </c>
      <c r="B92" s="31" t="s">
        <v>50</v>
      </c>
      <c r="C92" s="5" t="s">
        <v>17</v>
      </c>
      <c r="D92" s="5">
        <v>1</v>
      </c>
      <c r="E92" s="97">
        <f>247*8*(A92/1973)</f>
        <v>125.19006588950838</v>
      </c>
      <c r="F92" s="26">
        <f>E92/A92</f>
        <v>1.001520527116067</v>
      </c>
      <c r="G92" s="35">
        <f t="shared" si="35"/>
        <v>7.9999999999999984E-3</v>
      </c>
      <c r="H92" s="145">
        <f>5000*0.43</f>
        <v>2150</v>
      </c>
      <c r="I92" s="83">
        <f t="shared" ref="I92:I94" si="36">H92*G92</f>
        <v>17.199999999999996</v>
      </c>
      <c r="L92" s="3">
        <f t="shared" si="27"/>
        <v>0</v>
      </c>
    </row>
    <row r="93" spans="1:13" s="1" customFormat="1">
      <c r="A93" s="113"/>
      <c r="B93" s="5" t="s">
        <v>119</v>
      </c>
      <c r="C93" s="5" t="s">
        <v>17</v>
      </c>
      <c r="D93" s="5">
        <v>1</v>
      </c>
      <c r="E93" s="97">
        <f>247*8*(A92/1973)</f>
        <v>125.19006588950838</v>
      </c>
      <c r="F93" s="26">
        <f>E93/A92</f>
        <v>1.001520527116067</v>
      </c>
      <c r="G93" s="35">
        <f t="shared" si="35"/>
        <v>7.9999999999999984E-3</v>
      </c>
      <c r="H93" s="145">
        <f>(22000)*0.43</f>
        <v>9460</v>
      </c>
      <c r="I93" s="83">
        <f t="shared" si="36"/>
        <v>75.679999999999978</v>
      </c>
      <c r="L93" s="3">
        <f t="shared" si="27"/>
        <v>0</v>
      </c>
    </row>
    <row r="94" spans="1:13" s="1" customFormat="1">
      <c r="A94" s="113"/>
      <c r="B94" s="5" t="s">
        <v>61</v>
      </c>
      <c r="C94" s="5" t="s">
        <v>17</v>
      </c>
      <c r="D94" s="5">
        <v>1</v>
      </c>
      <c r="E94" s="97">
        <f>247*8*(A92/1973)</f>
        <v>125.19006588950838</v>
      </c>
      <c r="F94" s="26">
        <f>E94/A92</f>
        <v>1.001520527116067</v>
      </c>
      <c r="G94" s="35">
        <f t="shared" si="35"/>
        <v>7.9999999999999984E-3</v>
      </c>
      <c r="H94" s="145">
        <f>5400*0.43</f>
        <v>2322</v>
      </c>
      <c r="I94" s="83">
        <f t="shared" si="36"/>
        <v>18.575999999999997</v>
      </c>
      <c r="L94" s="3">
        <f t="shared" si="27"/>
        <v>0</v>
      </c>
    </row>
    <row r="95" spans="1:13" s="1" customFormat="1" ht="15.75" thickBot="1">
      <c r="A95" s="108"/>
      <c r="B95" s="18"/>
      <c r="C95" s="18"/>
      <c r="D95" s="18"/>
      <c r="E95" s="95"/>
      <c r="F95" s="18"/>
      <c r="G95" s="20"/>
      <c r="H95" s="37"/>
      <c r="I95" s="87">
        <f>SUM(I91:I94)</f>
        <v>235.98399999999995</v>
      </c>
      <c r="J95" s="130">
        <f>(29300+5400+6900+12000+15000)*0.43</f>
        <v>29498</v>
      </c>
      <c r="K95" s="121">
        <f>I95*A92</f>
        <v>29497.999999999993</v>
      </c>
      <c r="L95" s="130">
        <f t="shared" si="27"/>
        <v>0</v>
      </c>
    </row>
    <row r="96" spans="1:13">
      <c r="A96" s="104" t="s">
        <v>74</v>
      </c>
      <c r="B96" s="11" t="s">
        <v>62</v>
      </c>
      <c r="C96" s="11" t="s">
        <v>17</v>
      </c>
      <c r="D96" s="13">
        <v>1</v>
      </c>
      <c r="E96" s="124">
        <f>247*8*(A97/1973)</f>
        <v>131.19918905220476</v>
      </c>
      <c r="F96" s="25">
        <f>E96/A97</f>
        <v>1.0015205271160668</v>
      </c>
      <c r="G96" s="36">
        <f t="shared" ref="G96:G99" si="37">D96/E96*F96</f>
        <v>7.6335877862595417E-3</v>
      </c>
      <c r="H96" s="154">
        <f>26676*0.51</f>
        <v>13604.76</v>
      </c>
      <c r="I96" s="82">
        <f>H96*G96</f>
        <v>103.85312977099237</v>
      </c>
      <c r="J96" s="3"/>
      <c r="L96" s="3">
        <f t="shared" si="27"/>
        <v>0</v>
      </c>
      <c r="M96" s="1">
        <f>J96/A97/G96</f>
        <v>0</v>
      </c>
    </row>
    <row r="97" spans="1:20" s="1" customFormat="1" ht="33" customHeight="1">
      <c r="A97" s="113">
        <f>ком.усл!A103</f>
        <v>131</v>
      </c>
      <c r="B97" s="31" t="s">
        <v>50</v>
      </c>
      <c r="C97" s="5" t="s">
        <v>17</v>
      </c>
      <c r="D97" s="5">
        <v>1</v>
      </c>
      <c r="E97" s="97">
        <f>247*8*(A97/1973)</f>
        <v>131.19918905220476</v>
      </c>
      <c r="F97" s="26">
        <f>E97/A97</f>
        <v>1.0015205271160668</v>
      </c>
      <c r="G97" s="35">
        <f t="shared" si="37"/>
        <v>7.6335877862595417E-3</v>
      </c>
      <c r="H97" s="145">
        <f>5000*0.51</f>
        <v>2550</v>
      </c>
      <c r="I97" s="83">
        <f t="shared" ref="I97:I99" si="38">H97*G97</f>
        <v>19.465648854961831</v>
      </c>
      <c r="L97" s="3">
        <f t="shared" si="27"/>
        <v>0</v>
      </c>
    </row>
    <row r="98" spans="1:20" s="1" customFormat="1">
      <c r="A98" s="113"/>
      <c r="B98" s="5" t="s">
        <v>119</v>
      </c>
      <c r="C98" s="5" t="s">
        <v>17</v>
      </c>
      <c r="D98" s="5">
        <v>1</v>
      </c>
      <c r="E98" s="97">
        <f>247*8*(A97/1973)</f>
        <v>131.19918905220476</v>
      </c>
      <c r="F98" s="26">
        <f>E98/A97</f>
        <v>1.0015205271160668</v>
      </c>
      <c r="G98" s="35">
        <f t="shared" si="37"/>
        <v>7.6335877862595417E-3</v>
      </c>
      <c r="H98" s="145">
        <f>20000*0.51</f>
        <v>10200</v>
      </c>
      <c r="I98" s="83">
        <f t="shared" si="38"/>
        <v>77.862595419847324</v>
      </c>
      <c r="L98" s="3">
        <f t="shared" si="27"/>
        <v>0</v>
      </c>
    </row>
    <row r="99" spans="1:20" s="1" customFormat="1">
      <c r="A99" s="113"/>
      <c r="B99" s="5" t="s">
        <v>61</v>
      </c>
      <c r="C99" s="5" t="s">
        <v>17</v>
      </c>
      <c r="D99" s="5">
        <v>1</v>
      </c>
      <c r="E99" s="97">
        <f>247*8*(A97/1973)</f>
        <v>131.19918905220476</v>
      </c>
      <c r="F99" s="26">
        <f>E99/A97</f>
        <v>1.0015205271160668</v>
      </c>
      <c r="G99" s="35">
        <f t="shared" si="37"/>
        <v>7.6335877862595417E-3</v>
      </c>
      <c r="H99" s="145">
        <f>4500*0.51</f>
        <v>2295</v>
      </c>
      <c r="I99" s="83">
        <f t="shared" si="38"/>
        <v>17.519083969465647</v>
      </c>
      <c r="L99" s="3">
        <f t="shared" si="27"/>
        <v>0</v>
      </c>
    </row>
    <row r="100" spans="1:20" s="1" customFormat="1" ht="15.75" thickBot="1">
      <c r="A100" s="108"/>
      <c r="B100" s="18"/>
      <c r="C100" s="18"/>
      <c r="D100" s="18"/>
      <c r="E100" s="95"/>
      <c r="F100" s="18"/>
      <c r="G100" s="20"/>
      <c r="H100" s="37"/>
      <c r="I100" s="87">
        <f>SUM(I96:I99)</f>
        <v>218.70045801526717</v>
      </c>
      <c r="J100" s="130">
        <f>(26676+4500+25000)*0.51</f>
        <v>28649.760000000002</v>
      </c>
      <c r="K100" s="121">
        <f>I100*A97</f>
        <v>28649.759999999998</v>
      </c>
      <c r="L100" s="130">
        <f t="shared" si="27"/>
        <v>0</v>
      </c>
    </row>
    <row r="101" spans="1:20">
      <c r="L101" s="3">
        <f t="shared" ref="L101:L135" si="39">J101-K101</f>
        <v>0</v>
      </c>
    </row>
    <row r="102" spans="1:20" ht="19.5" thickBot="1">
      <c r="A102" s="100" t="s">
        <v>77</v>
      </c>
      <c r="H102"/>
      <c r="L102" s="3">
        <f t="shared" si="39"/>
        <v>0</v>
      </c>
      <c r="S102" s="1"/>
      <c r="T102" s="1"/>
    </row>
    <row r="103" spans="1:20" ht="79.5" customHeight="1">
      <c r="A103" s="102" t="s">
        <v>2</v>
      </c>
      <c r="B103" s="21" t="s">
        <v>48</v>
      </c>
      <c r="C103" s="21" t="s">
        <v>14</v>
      </c>
      <c r="D103" s="21" t="s">
        <v>16</v>
      </c>
      <c r="E103" s="153" t="s">
        <v>27</v>
      </c>
      <c r="F103" s="21" t="s">
        <v>28</v>
      </c>
      <c r="G103" s="21" t="s">
        <v>49</v>
      </c>
      <c r="H103" s="21" t="s">
        <v>51</v>
      </c>
      <c r="I103" s="21" t="s">
        <v>11</v>
      </c>
      <c r="J103" s="2" t="s">
        <v>34</v>
      </c>
      <c r="K103" s="2" t="s">
        <v>33</v>
      </c>
      <c r="L103" s="3" t="e">
        <f t="shared" si="39"/>
        <v>#VALUE!</v>
      </c>
    </row>
    <row r="104" spans="1:20" ht="15.75" thickBot="1">
      <c r="A104" s="111">
        <v>1</v>
      </c>
      <c r="B104" s="23">
        <v>2</v>
      </c>
      <c r="C104" s="23">
        <v>3</v>
      </c>
      <c r="D104" s="10">
        <v>4</v>
      </c>
      <c r="E104" s="118">
        <v>5</v>
      </c>
      <c r="F104" s="10">
        <v>6</v>
      </c>
      <c r="G104" s="10" t="s">
        <v>31</v>
      </c>
      <c r="H104" s="9">
        <v>8</v>
      </c>
      <c r="I104" s="34" t="s">
        <v>32</v>
      </c>
      <c r="L104" s="3">
        <f t="shared" si="39"/>
        <v>0</v>
      </c>
    </row>
    <row r="105" spans="1:20">
      <c r="A105" s="104" t="s">
        <v>64</v>
      </c>
      <c r="B105" s="11" t="s">
        <v>62</v>
      </c>
      <c r="C105" s="11" t="s">
        <v>17</v>
      </c>
      <c r="D105" s="13">
        <v>1</v>
      </c>
      <c r="E105" s="124">
        <f>247*8*(A106/1973)</f>
        <v>52.079067410035478</v>
      </c>
      <c r="F105" s="25">
        <f>E105/A106</f>
        <v>1.001520527116067</v>
      </c>
      <c r="G105" s="36">
        <f t="shared" ref="G105:G108" si="40">D105/E105*F105</f>
        <v>1.9230769230769232E-2</v>
      </c>
      <c r="H105" s="154">
        <f>(36201+12650)*0.12</f>
        <v>5862.12</v>
      </c>
      <c r="I105" s="82">
        <f>H105*G105</f>
        <v>112.73307692307692</v>
      </c>
      <c r="J105" s="3"/>
      <c r="L105" s="3">
        <f t="shared" si="39"/>
        <v>0</v>
      </c>
      <c r="M105" s="1">
        <f>J105/A106/G105</f>
        <v>0</v>
      </c>
    </row>
    <row r="106" spans="1:20" s="1" customFormat="1" ht="33" customHeight="1">
      <c r="A106" s="113">
        <f>ком.усл!A113</f>
        <v>52</v>
      </c>
      <c r="B106" s="31" t="s">
        <v>50</v>
      </c>
      <c r="C106" s="5" t="s">
        <v>17</v>
      </c>
      <c r="D106" s="5">
        <v>1</v>
      </c>
      <c r="E106" s="97">
        <f>247*8*(A106/1973)</f>
        <v>52.079067410035478</v>
      </c>
      <c r="F106" s="26">
        <f>E106/A106</f>
        <v>1.001520527116067</v>
      </c>
      <c r="G106" s="35">
        <f t="shared" si="40"/>
        <v>1.9230769230769232E-2</v>
      </c>
      <c r="H106" s="145">
        <f>5000*0.12</f>
        <v>600</v>
      </c>
      <c r="I106" s="83">
        <f t="shared" ref="I106:I108" si="41">H106*G106</f>
        <v>11.538461538461538</v>
      </c>
      <c r="L106" s="3">
        <f t="shared" si="39"/>
        <v>0</v>
      </c>
    </row>
    <row r="107" spans="1:20" s="1" customFormat="1">
      <c r="A107" s="113"/>
      <c r="B107" s="5" t="s">
        <v>119</v>
      </c>
      <c r="C107" s="5" t="s">
        <v>17</v>
      </c>
      <c r="D107" s="5">
        <v>1</v>
      </c>
      <c r="E107" s="97">
        <f>247*8*(A106/1973)</f>
        <v>52.079067410035478</v>
      </c>
      <c r="F107" s="26">
        <f>E107/A106</f>
        <v>1.001520527116067</v>
      </c>
      <c r="G107" s="35">
        <f t="shared" si="40"/>
        <v>1.9230769230769232E-2</v>
      </c>
      <c r="H107" s="145">
        <f>(27000)*0.12</f>
        <v>3240</v>
      </c>
      <c r="I107" s="83">
        <f t="shared" si="41"/>
        <v>62.307692307692314</v>
      </c>
      <c r="L107" s="3">
        <f t="shared" si="39"/>
        <v>0</v>
      </c>
    </row>
    <row r="108" spans="1:20" s="1" customFormat="1">
      <c r="A108" s="113"/>
      <c r="B108" s="5" t="s">
        <v>61</v>
      </c>
      <c r="C108" s="5" t="s">
        <v>17</v>
      </c>
      <c r="D108" s="5">
        <v>1</v>
      </c>
      <c r="E108" s="97">
        <f>247*8*(A106/1973)</f>
        <v>52.079067410035478</v>
      </c>
      <c r="F108" s="26">
        <f>E108/A106</f>
        <v>1.001520527116067</v>
      </c>
      <c r="G108" s="35">
        <f t="shared" si="40"/>
        <v>1.9230769230769232E-2</v>
      </c>
      <c r="H108" s="145">
        <f>4950*0.12</f>
        <v>594</v>
      </c>
      <c r="I108" s="83">
        <f t="shared" si="41"/>
        <v>11.423076923076923</v>
      </c>
      <c r="L108" s="3">
        <f t="shared" si="39"/>
        <v>0</v>
      </c>
    </row>
    <row r="109" spans="1:20" s="1" customFormat="1">
      <c r="A109" s="113"/>
      <c r="B109" s="5" t="s">
        <v>92</v>
      </c>
      <c r="C109" s="5" t="s">
        <v>17</v>
      </c>
      <c r="D109" s="5">
        <v>1</v>
      </c>
      <c r="E109" s="97">
        <f>247*8*(A106/1973)</f>
        <v>52.079067410035478</v>
      </c>
      <c r="F109" s="26">
        <f>E109/A106</f>
        <v>1.001520527116067</v>
      </c>
      <c r="G109" s="35">
        <f t="shared" ref="G109" si="42">D109/E109*F109</f>
        <v>1.9230769230769232E-2</v>
      </c>
      <c r="H109" s="145">
        <v>8100</v>
      </c>
      <c r="I109" s="83">
        <f t="shared" ref="I109" si="43">H109*G109</f>
        <v>155.76923076923077</v>
      </c>
      <c r="L109" s="3">
        <f t="shared" si="39"/>
        <v>0</v>
      </c>
    </row>
    <row r="110" spans="1:20" s="1" customFormat="1" ht="15.75" thickBot="1">
      <c r="A110" s="108"/>
      <c r="B110" s="18"/>
      <c r="C110" s="18"/>
      <c r="D110" s="18"/>
      <c r="E110" s="95"/>
      <c r="F110" s="18"/>
      <c r="G110" s="20"/>
      <c r="H110" s="37"/>
      <c r="I110" s="87">
        <f>SUM(I105:I109)</f>
        <v>353.77153846153851</v>
      </c>
      <c r="J110" s="130">
        <f>(36201+4950+12650+5000+27000)*0.12+8100</f>
        <v>18396.12</v>
      </c>
      <c r="K110" s="121">
        <f>I110*A106</f>
        <v>18396.120000000003</v>
      </c>
      <c r="L110" s="3">
        <f t="shared" si="39"/>
        <v>0</v>
      </c>
    </row>
    <row r="111" spans="1:20">
      <c r="A111" s="104" t="s">
        <v>67</v>
      </c>
      <c r="B111" s="11" t="s">
        <v>62</v>
      </c>
      <c r="C111" s="11" t="s">
        <v>17</v>
      </c>
      <c r="D111" s="13">
        <v>1</v>
      </c>
      <c r="E111" s="124">
        <f>247*8*(A112/1973)</f>
        <v>44.066903193106945</v>
      </c>
      <c r="F111" s="25">
        <f>E111/A112</f>
        <v>1.001520527116067</v>
      </c>
      <c r="G111" s="36">
        <f t="shared" ref="G111:G115" si="44">D111/E111*F111</f>
        <v>2.2727272727272728E-2</v>
      </c>
      <c r="H111" s="154">
        <f>(80921.13+11500)*0.06</f>
        <v>5545.2677999999996</v>
      </c>
      <c r="I111" s="82">
        <f>H111*G111</f>
        <v>126.02881363636364</v>
      </c>
      <c r="J111" s="3"/>
      <c r="L111" s="3">
        <f t="shared" si="39"/>
        <v>0</v>
      </c>
      <c r="M111" s="1">
        <f>J111/A112/G111</f>
        <v>0</v>
      </c>
    </row>
    <row r="112" spans="1:20" s="1" customFormat="1" ht="33" customHeight="1">
      <c r="A112" s="113">
        <f>ком.усл!A118</f>
        <v>44</v>
      </c>
      <c r="B112" s="31" t="s">
        <v>50</v>
      </c>
      <c r="C112" s="5" t="s">
        <v>17</v>
      </c>
      <c r="D112" s="5">
        <v>1</v>
      </c>
      <c r="E112" s="97">
        <f>247*8*(A112/1973)</f>
        <v>44.066903193106945</v>
      </c>
      <c r="F112" s="26">
        <f>E112/A112</f>
        <v>1.001520527116067</v>
      </c>
      <c r="G112" s="35">
        <f t="shared" si="44"/>
        <v>2.2727272727272728E-2</v>
      </c>
      <c r="H112" s="145">
        <f>5000*0.06</f>
        <v>300</v>
      </c>
      <c r="I112" s="83">
        <f t="shared" ref="I112:I115" si="45">H112*G112</f>
        <v>6.8181818181818183</v>
      </c>
      <c r="L112" s="3">
        <f t="shared" si="39"/>
        <v>0</v>
      </c>
    </row>
    <row r="113" spans="1:13" s="1" customFormat="1">
      <c r="A113" s="113"/>
      <c r="B113" s="5" t="s">
        <v>119</v>
      </c>
      <c r="C113" s="5" t="s">
        <v>17</v>
      </c>
      <c r="D113" s="5">
        <v>1</v>
      </c>
      <c r="E113" s="97">
        <f>247*8*(A112/1973)</f>
        <v>44.066903193106945</v>
      </c>
      <c r="F113" s="26">
        <f>E113/A112</f>
        <v>1.001520527116067</v>
      </c>
      <c r="G113" s="35">
        <f t="shared" si="44"/>
        <v>2.2727272727272728E-2</v>
      </c>
      <c r="H113" s="145">
        <f>20000*0.06</f>
        <v>1200</v>
      </c>
      <c r="I113" s="83">
        <f t="shared" si="45"/>
        <v>27.272727272727273</v>
      </c>
      <c r="L113" s="3">
        <f t="shared" si="39"/>
        <v>0</v>
      </c>
    </row>
    <row r="114" spans="1:13" s="1" customFormat="1">
      <c r="A114" s="113"/>
      <c r="B114" s="5" t="s">
        <v>61</v>
      </c>
      <c r="C114" s="5" t="s">
        <v>17</v>
      </c>
      <c r="D114" s="5">
        <v>1</v>
      </c>
      <c r="E114" s="97">
        <f>247*8*(A112/1973)</f>
        <v>44.066903193106945</v>
      </c>
      <c r="F114" s="26">
        <f>E114/A112</f>
        <v>1.001520527116067</v>
      </c>
      <c r="G114" s="35">
        <f t="shared" si="44"/>
        <v>2.2727272727272728E-2</v>
      </c>
      <c r="H114" s="145">
        <f>5850*0.06</f>
        <v>351</v>
      </c>
      <c r="I114" s="83">
        <f>H114*G114</f>
        <v>7.9772727272727275</v>
      </c>
      <c r="L114" s="3">
        <f t="shared" si="39"/>
        <v>0</v>
      </c>
    </row>
    <row r="115" spans="1:13" s="1" customFormat="1">
      <c r="A115" s="113"/>
      <c r="B115" s="5" t="s">
        <v>92</v>
      </c>
      <c r="C115" s="5" t="s">
        <v>17</v>
      </c>
      <c r="D115" s="5">
        <v>1</v>
      </c>
      <c r="E115" s="97">
        <f>247*8*(A112/1973)</f>
        <v>44.066903193106945</v>
      </c>
      <c r="F115" s="26">
        <f>E115/A112</f>
        <v>1.001520527116067</v>
      </c>
      <c r="G115" s="35">
        <f t="shared" si="44"/>
        <v>2.2727272727272728E-2</v>
      </c>
      <c r="H115" s="145">
        <v>8100</v>
      </c>
      <c r="I115" s="83">
        <f t="shared" si="45"/>
        <v>184.09090909090909</v>
      </c>
      <c r="L115" s="3">
        <f t="shared" si="39"/>
        <v>0</v>
      </c>
    </row>
    <row r="116" spans="1:13" s="1" customFormat="1" ht="15.75" thickBot="1">
      <c r="A116" s="108"/>
      <c r="B116" s="18"/>
      <c r="C116" s="18"/>
      <c r="D116" s="18"/>
      <c r="E116" s="95"/>
      <c r="F116" s="18"/>
      <c r="G116" s="20"/>
      <c r="H116" s="37"/>
      <c r="I116" s="87">
        <f>SUM(I111:I115)</f>
        <v>352.18790454545456</v>
      </c>
      <c r="J116" s="130">
        <f>(80921.13+5850+11500+5000+20000)*0.06+8100</f>
        <v>15496.2678</v>
      </c>
      <c r="K116" s="121">
        <f>I116*A112</f>
        <v>15496.267800000001</v>
      </c>
      <c r="L116" s="3">
        <f t="shared" si="39"/>
        <v>0</v>
      </c>
    </row>
    <row r="117" spans="1:13">
      <c r="A117" s="104" t="s">
        <v>68</v>
      </c>
      <c r="B117" s="11" t="s">
        <v>62</v>
      </c>
      <c r="C117" s="11" t="s">
        <v>17</v>
      </c>
      <c r="D117" s="13">
        <v>1</v>
      </c>
      <c r="E117" s="124">
        <f>247*8*(A118/1973)</f>
        <v>37.05625950329447</v>
      </c>
      <c r="F117" s="25">
        <f>E117/A118</f>
        <v>1.0015205271160668</v>
      </c>
      <c r="G117" s="36">
        <f t="shared" ref="G117:G121" si="46">D117/E117*F117</f>
        <v>2.7027027027027029E-2</v>
      </c>
      <c r="H117" s="154">
        <f>(112512.84+18400)*0.06</f>
        <v>7854.7703999999994</v>
      </c>
      <c r="I117" s="82">
        <f>H117*G117</f>
        <v>212.29109189189188</v>
      </c>
      <c r="J117" s="3"/>
      <c r="L117" s="3">
        <f t="shared" si="39"/>
        <v>0</v>
      </c>
      <c r="M117" s="1">
        <f>J117/A118/G117</f>
        <v>0</v>
      </c>
    </row>
    <row r="118" spans="1:13" s="1" customFormat="1" ht="33" customHeight="1">
      <c r="A118" s="113">
        <f>ком.усл!A123</f>
        <v>37</v>
      </c>
      <c r="B118" s="31" t="s">
        <v>50</v>
      </c>
      <c r="C118" s="5" t="s">
        <v>17</v>
      </c>
      <c r="D118" s="5">
        <v>1</v>
      </c>
      <c r="E118" s="97">
        <f>247*8*(A118/1973)</f>
        <v>37.05625950329447</v>
      </c>
      <c r="F118" s="26">
        <f>E118/A118</f>
        <v>1.0015205271160668</v>
      </c>
      <c r="G118" s="35">
        <f t="shared" si="46"/>
        <v>2.7027027027027029E-2</v>
      </c>
      <c r="H118" s="145">
        <f>10000*0.06</f>
        <v>600</v>
      </c>
      <c r="I118" s="83">
        <f t="shared" ref="I118:I121" si="47">H118*G118</f>
        <v>16.216216216216218</v>
      </c>
      <c r="L118" s="3">
        <f t="shared" si="39"/>
        <v>0</v>
      </c>
    </row>
    <row r="119" spans="1:13" s="1" customFormat="1" ht="14.25" customHeight="1">
      <c r="A119" s="113"/>
      <c r="B119" s="5" t="s">
        <v>119</v>
      </c>
      <c r="C119" s="5" t="s">
        <v>17</v>
      </c>
      <c r="D119" s="5">
        <v>1</v>
      </c>
      <c r="E119" s="97">
        <f>247*8*(A118/1973)</f>
        <v>37.05625950329447</v>
      </c>
      <c r="F119" s="26">
        <f>E119/A118</f>
        <v>1.0015205271160668</v>
      </c>
      <c r="G119" s="35">
        <f t="shared" si="46"/>
        <v>2.7027027027027029E-2</v>
      </c>
      <c r="H119" s="145">
        <f>(21000+54900)*0.06</f>
        <v>4554</v>
      </c>
      <c r="I119" s="83">
        <f t="shared" ref="I119" si="48">H119*G119</f>
        <v>123.08108108108109</v>
      </c>
      <c r="L119" s="3">
        <f t="shared" si="39"/>
        <v>0</v>
      </c>
    </row>
    <row r="120" spans="1:13" s="1" customFormat="1">
      <c r="A120" s="113"/>
      <c r="B120" s="5" t="s">
        <v>61</v>
      </c>
      <c r="C120" s="5" t="s">
        <v>17</v>
      </c>
      <c r="D120" s="5">
        <v>1</v>
      </c>
      <c r="E120" s="97">
        <f>247*8*(A118/1973)</f>
        <v>37.05625950329447</v>
      </c>
      <c r="F120" s="26">
        <f>E120/A118</f>
        <v>1.0015205271160668</v>
      </c>
      <c r="G120" s="35">
        <f t="shared" si="46"/>
        <v>2.7027027027027029E-2</v>
      </c>
      <c r="H120" s="145">
        <f>12600*0.06</f>
        <v>756</v>
      </c>
      <c r="I120" s="83">
        <f t="shared" si="47"/>
        <v>20.432432432432435</v>
      </c>
      <c r="L120" s="3">
        <f t="shared" si="39"/>
        <v>0</v>
      </c>
    </row>
    <row r="121" spans="1:13" s="1" customFormat="1">
      <c r="A121" s="113"/>
      <c r="B121" s="5" t="s">
        <v>92</v>
      </c>
      <c r="C121" s="5" t="s">
        <v>17</v>
      </c>
      <c r="D121" s="5">
        <v>1</v>
      </c>
      <c r="E121" s="97">
        <f>247*8*(A118/1973)</f>
        <v>37.05625950329447</v>
      </c>
      <c r="F121" s="26">
        <f>E121/A118</f>
        <v>1.0015205271160668</v>
      </c>
      <c r="G121" s="35">
        <f t="shared" si="46"/>
        <v>2.7027027027027029E-2</v>
      </c>
      <c r="H121" s="145">
        <v>8100</v>
      </c>
      <c r="I121" s="83">
        <f t="shared" si="47"/>
        <v>218.91891891891893</v>
      </c>
      <c r="L121" s="3">
        <f t="shared" si="39"/>
        <v>0</v>
      </c>
    </row>
    <row r="122" spans="1:13" s="1" customFormat="1" ht="15.75" thickBot="1">
      <c r="A122" s="108"/>
      <c r="B122" s="18"/>
      <c r="C122" s="18"/>
      <c r="D122" s="18"/>
      <c r="E122" s="95"/>
      <c r="F122" s="18"/>
      <c r="G122" s="20"/>
      <c r="H122" s="37"/>
      <c r="I122" s="87">
        <f>SUM(I117:I121)</f>
        <v>590.93974054054058</v>
      </c>
      <c r="J122" s="130">
        <f>(112512.84+12600+18400+10000+21000+54900)*0.06+8100</f>
        <v>21864.770400000001</v>
      </c>
      <c r="K122" s="121">
        <f>I122*A118</f>
        <v>21864.770400000001</v>
      </c>
      <c r="L122" s="3">
        <f t="shared" si="39"/>
        <v>0</v>
      </c>
    </row>
    <row r="123" spans="1:13">
      <c r="A123" s="104" t="s">
        <v>69</v>
      </c>
      <c r="B123" s="11" t="s">
        <v>62</v>
      </c>
      <c r="C123" s="11" t="s">
        <v>17</v>
      </c>
      <c r="D123" s="13">
        <v>1</v>
      </c>
      <c r="E123" s="124">
        <f>247*8*(A124/1973)</f>
        <v>75.114039533705011</v>
      </c>
      <c r="F123" s="25">
        <f>E123/A124</f>
        <v>1.0015205271160668</v>
      </c>
      <c r="G123" s="36">
        <f t="shared" ref="G123:G126" si="49">D123/E123*F123</f>
        <v>1.3333333333333332E-2</v>
      </c>
      <c r="H123" s="154">
        <f>(48970+11150)*0.08</f>
        <v>4809.6000000000004</v>
      </c>
      <c r="I123" s="82">
        <f>H123*G123</f>
        <v>64.128</v>
      </c>
      <c r="J123" s="3"/>
      <c r="L123" s="3">
        <f t="shared" si="39"/>
        <v>0</v>
      </c>
      <c r="M123" s="1">
        <f>J123/A124/G123</f>
        <v>0</v>
      </c>
    </row>
    <row r="124" spans="1:13" s="1" customFormat="1" ht="33" customHeight="1">
      <c r="A124" s="113">
        <f>ком.усл!A128</f>
        <v>75</v>
      </c>
      <c r="B124" s="31" t="s">
        <v>50</v>
      </c>
      <c r="C124" s="5" t="s">
        <v>17</v>
      </c>
      <c r="D124" s="5">
        <v>1</v>
      </c>
      <c r="E124" s="97">
        <f>247*8*(A124/1973)</f>
        <v>75.114039533705011</v>
      </c>
      <c r="F124" s="26">
        <f>E124/A124</f>
        <v>1.0015205271160668</v>
      </c>
      <c r="G124" s="35">
        <f t="shared" si="49"/>
        <v>1.3333333333333332E-2</v>
      </c>
      <c r="H124" s="145">
        <f>5000*0.08</f>
        <v>400</v>
      </c>
      <c r="I124" s="83">
        <f t="shared" ref="I124:I127" si="50">H124*G124</f>
        <v>5.333333333333333</v>
      </c>
      <c r="L124" s="3">
        <f t="shared" si="39"/>
        <v>0</v>
      </c>
    </row>
    <row r="125" spans="1:13" s="1" customFormat="1">
      <c r="A125" s="113"/>
      <c r="B125" s="5" t="s">
        <v>119</v>
      </c>
      <c r="C125" s="5" t="s">
        <v>17</v>
      </c>
      <c r="D125" s="5">
        <v>1</v>
      </c>
      <c r="E125" s="97">
        <f>247*8*(A124/1973)</f>
        <v>75.114039533705011</v>
      </c>
      <c r="F125" s="26">
        <f>E125/A124</f>
        <v>1.0015205271160668</v>
      </c>
      <c r="G125" s="35">
        <f t="shared" si="49"/>
        <v>1.3333333333333332E-2</v>
      </c>
      <c r="H125" s="145">
        <f>(30000)*0.08</f>
        <v>2400</v>
      </c>
      <c r="I125" s="83">
        <f t="shared" si="50"/>
        <v>31.999999999999996</v>
      </c>
      <c r="L125" s="3">
        <f t="shared" si="39"/>
        <v>0</v>
      </c>
    </row>
    <row r="126" spans="1:13" s="1" customFormat="1">
      <c r="A126" s="113"/>
      <c r="B126" s="5" t="s">
        <v>61</v>
      </c>
      <c r="C126" s="5" t="s">
        <v>17</v>
      </c>
      <c r="D126" s="5">
        <v>1</v>
      </c>
      <c r="E126" s="97">
        <f>247*8*(A124/1973)</f>
        <v>75.114039533705011</v>
      </c>
      <c r="F126" s="26">
        <f>E126/A124</f>
        <v>1.0015205271160668</v>
      </c>
      <c r="G126" s="35">
        <f t="shared" si="49"/>
        <v>1.3333333333333332E-2</v>
      </c>
      <c r="H126" s="145">
        <f>7650*0.08</f>
        <v>612</v>
      </c>
      <c r="I126" s="83">
        <f t="shared" si="50"/>
        <v>8.16</v>
      </c>
      <c r="L126" s="3">
        <f t="shared" si="39"/>
        <v>0</v>
      </c>
    </row>
    <row r="127" spans="1:13" s="1" customFormat="1">
      <c r="A127" s="113"/>
      <c r="B127" s="5" t="s">
        <v>92</v>
      </c>
      <c r="C127" s="5" t="s">
        <v>17</v>
      </c>
      <c r="D127" s="5">
        <v>1</v>
      </c>
      <c r="E127" s="97">
        <f>247*8*(A124/1973)</f>
        <v>75.114039533705011</v>
      </c>
      <c r="F127" s="26">
        <f>E127/A124</f>
        <v>1.0015205271160668</v>
      </c>
      <c r="G127" s="35">
        <f t="shared" ref="G127" si="51">D127/E127*F127</f>
        <v>1.3333333333333332E-2</v>
      </c>
      <c r="H127" s="145">
        <v>11340</v>
      </c>
      <c r="I127" s="83">
        <f t="shared" si="50"/>
        <v>151.19999999999999</v>
      </c>
      <c r="L127" s="3">
        <f t="shared" si="39"/>
        <v>0</v>
      </c>
    </row>
    <row r="128" spans="1:13" s="1" customFormat="1" ht="15.75" thickBot="1">
      <c r="A128" s="108"/>
      <c r="B128" s="18"/>
      <c r="C128" s="18"/>
      <c r="D128" s="18"/>
      <c r="E128" s="95"/>
      <c r="F128" s="18"/>
      <c r="G128" s="20"/>
      <c r="H128" s="37"/>
      <c r="I128" s="87">
        <f>SUM(I123:I127)</f>
        <v>260.82133333333331</v>
      </c>
      <c r="J128" s="130">
        <f>(48970+7650+11150+35000)*0.08+11340</f>
        <v>19561.599999999999</v>
      </c>
      <c r="K128" s="121">
        <f>I128*A124</f>
        <v>19561.599999999999</v>
      </c>
      <c r="L128" s="3">
        <f t="shared" si="39"/>
        <v>0</v>
      </c>
    </row>
    <row r="129" spans="1:13">
      <c r="A129" s="104" t="s">
        <v>70</v>
      </c>
      <c r="B129" s="11" t="s">
        <v>62</v>
      </c>
      <c r="C129" s="11" t="s">
        <v>17</v>
      </c>
      <c r="D129" s="13">
        <v>1</v>
      </c>
      <c r="E129" s="124">
        <f>247*8*(A130/1973)</f>
        <v>97.147491130258487</v>
      </c>
      <c r="F129" s="25">
        <f>E129/A130</f>
        <v>1.001520527116067</v>
      </c>
      <c r="G129" s="36">
        <f t="shared" ref="G129:G133" si="52">D129/E129*F129</f>
        <v>1.0309278350515465E-2</v>
      </c>
      <c r="H129" s="154">
        <f>(13800+47609.6)*0.1</f>
        <v>6140.96</v>
      </c>
      <c r="I129" s="82">
        <f>H129*G129</f>
        <v>63.308865979381451</v>
      </c>
      <c r="J129" s="3"/>
      <c r="L129" s="3">
        <f t="shared" si="39"/>
        <v>0</v>
      </c>
      <c r="M129" s="1">
        <f>J129/A130/G129</f>
        <v>0</v>
      </c>
    </row>
    <row r="130" spans="1:13" s="1" customFormat="1" ht="33" customHeight="1">
      <c r="A130" s="113">
        <f>ком.усл!A133</f>
        <v>97</v>
      </c>
      <c r="B130" s="31" t="s">
        <v>50</v>
      </c>
      <c r="C130" s="5" t="s">
        <v>17</v>
      </c>
      <c r="D130" s="5">
        <v>1</v>
      </c>
      <c r="E130" s="97">
        <f>247*8*(A130/1973)</f>
        <v>97.147491130258487</v>
      </c>
      <c r="F130" s="26">
        <f>E130/A130</f>
        <v>1.001520527116067</v>
      </c>
      <c r="G130" s="35">
        <f t="shared" si="52"/>
        <v>1.0309278350515465E-2</v>
      </c>
      <c r="H130" s="145">
        <f>5000*0.1</f>
        <v>500</v>
      </c>
      <c r="I130" s="83">
        <f t="shared" ref="I130:I133" si="53">H130*G130</f>
        <v>5.1546391752577323</v>
      </c>
      <c r="L130" s="3">
        <f t="shared" si="39"/>
        <v>0</v>
      </c>
    </row>
    <row r="131" spans="1:13" s="1" customFormat="1">
      <c r="A131" s="113"/>
      <c r="B131" s="5" t="s">
        <v>119</v>
      </c>
      <c r="C131" s="5" t="s">
        <v>17</v>
      </c>
      <c r="D131" s="5">
        <v>1</v>
      </c>
      <c r="E131" s="97">
        <f>247*8*(A130/1973)</f>
        <v>97.147491130258487</v>
      </c>
      <c r="F131" s="26">
        <f>E131/A130</f>
        <v>1.001520527116067</v>
      </c>
      <c r="G131" s="35">
        <f t="shared" si="52"/>
        <v>1.0309278350515465E-2</v>
      </c>
      <c r="H131" s="145">
        <f>30000*0.1</f>
        <v>3000</v>
      </c>
      <c r="I131" s="83">
        <f t="shared" si="53"/>
        <v>30.927835051546396</v>
      </c>
      <c r="L131" s="3">
        <f t="shared" si="39"/>
        <v>0</v>
      </c>
    </row>
    <row r="132" spans="1:13" s="1" customFormat="1">
      <c r="A132" s="113"/>
      <c r="B132" s="5" t="s">
        <v>61</v>
      </c>
      <c r="C132" s="5" t="s">
        <v>17</v>
      </c>
      <c r="D132" s="5">
        <v>1</v>
      </c>
      <c r="E132" s="97">
        <f>247*8*(A130/1973)</f>
        <v>97.147491130258487</v>
      </c>
      <c r="F132" s="26">
        <f>E132/A130</f>
        <v>1.001520527116067</v>
      </c>
      <c r="G132" s="35">
        <f t="shared" si="52"/>
        <v>1.0309278350515465E-2</v>
      </c>
      <c r="H132" s="145">
        <f>9000*0.1</f>
        <v>900</v>
      </c>
      <c r="I132" s="83">
        <f t="shared" si="53"/>
        <v>9.2783505154639183</v>
      </c>
      <c r="L132" s="3">
        <f t="shared" si="39"/>
        <v>0</v>
      </c>
    </row>
    <row r="133" spans="1:13" s="1" customFormat="1">
      <c r="A133" s="113"/>
      <c r="B133" s="5" t="s">
        <v>92</v>
      </c>
      <c r="C133" s="5" t="s">
        <v>17</v>
      </c>
      <c r="D133" s="5">
        <v>1</v>
      </c>
      <c r="E133" s="97">
        <f>247*8*(A130/1973)</f>
        <v>97.147491130258487</v>
      </c>
      <c r="F133" s="26">
        <f>E133/A130</f>
        <v>1.001520527116067</v>
      </c>
      <c r="G133" s="35">
        <f t="shared" si="52"/>
        <v>1.0309278350515465E-2</v>
      </c>
      <c r="H133" s="145">
        <v>13770</v>
      </c>
      <c r="I133" s="83">
        <f t="shared" si="53"/>
        <v>141.95876288659795</v>
      </c>
      <c r="L133" s="3">
        <f t="shared" si="39"/>
        <v>0</v>
      </c>
    </row>
    <row r="134" spans="1:13" s="1" customFormat="1" ht="15.75" thickBot="1">
      <c r="A134" s="108"/>
      <c r="B134" s="18"/>
      <c r="C134" s="18"/>
      <c r="D134" s="18"/>
      <c r="E134" s="95"/>
      <c r="F134" s="18"/>
      <c r="G134" s="20"/>
      <c r="H134" s="37"/>
      <c r="I134" s="87">
        <f>SUM(I129:I133)</f>
        <v>250.62845360824744</v>
      </c>
      <c r="J134" s="130">
        <f>(47609.6+9000+13800+35000)*0.1+13770</f>
        <v>24310.959999999999</v>
      </c>
      <c r="K134" s="121">
        <f>I134*A130</f>
        <v>24310.960000000003</v>
      </c>
      <c r="L134" s="130">
        <f t="shared" si="39"/>
        <v>0</v>
      </c>
    </row>
    <row r="135" spans="1:13">
      <c r="A135" s="104" t="s">
        <v>71</v>
      </c>
      <c r="B135" s="11" t="s">
        <v>62</v>
      </c>
      <c r="C135" s="11" t="s">
        <v>17</v>
      </c>
      <c r="D135" s="13">
        <v>1</v>
      </c>
      <c r="E135" s="124">
        <f>247*8*(A136/1973)</f>
        <v>36.054738976178413</v>
      </c>
      <c r="F135" s="25">
        <f>E135/A136</f>
        <v>1.001520527116067</v>
      </c>
      <c r="G135" s="36">
        <f t="shared" ref="G135:G138" si="54">D135/E135*F135</f>
        <v>2.777777777777778E-2</v>
      </c>
      <c r="H135" s="154">
        <f>(60926+17250)*0.06</f>
        <v>4690.5599999999995</v>
      </c>
      <c r="I135" s="82">
        <f>H135*G135</f>
        <v>130.29333333333332</v>
      </c>
      <c r="J135" s="3"/>
      <c r="L135" s="3">
        <f t="shared" si="39"/>
        <v>0</v>
      </c>
      <c r="M135" s="1">
        <f>J135/A136/G135</f>
        <v>0</v>
      </c>
    </row>
    <row r="136" spans="1:13" s="1" customFormat="1" ht="33" customHeight="1">
      <c r="A136" s="113">
        <f>ком.усл!A138</f>
        <v>36</v>
      </c>
      <c r="B136" s="31" t="s">
        <v>50</v>
      </c>
      <c r="C136" s="5" t="s">
        <v>17</v>
      </c>
      <c r="D136" s="5">
        <v>1</v>
      </c>
      <c r="E136" s="97">
        <f>247*8*(A136/1973)</f>
        <v>36.054738976178413</v>
      </c>
      <c r="F136" s="26">
        <f>E136/A136</f>
        <v>1.001520527116067</v>
      </c>
      <c r="G136" s="35">
        <f t="shared" si="54"/>
        <v>2.777777777777778E-2</v>
      </c>
      <c r="H136" s="145">
        <f>5000*0.06</f>
        <v>300</v>
      </c>
      <c r="I136" s="83">
        <f t="shared" ref="I136:I139" si="55">H136*G136</f>
        <v>8.3333333333333339</v>
      </c>
      <c r="L136" s="3">
        <f t="shared" ref="L136:L157" si="56">J136-K136</f>
        <v>0</v>
      </c>
    </row>
    <row r="137" spans="1:13" s="1" customFormat="1">
      <c r="A137" s="113"/>
      <c r="B137" s="5" t="s">
        <v>119</v>
      </c>
      <c r="C137" s="5" t="s">
        <v>17</v>
      </c>
      <c r="D137" s="5">
        <v>1</v>
      </c>
      <c r="E137" s="97">
        <f>247*8*(A136/1973)</f>
        <v>36.054738976178413</v>
      </c>
      <c r="F137" s="26">
        <f>E137/A136</f>
        <v>1.001520527116067</v>
      </c>
      <c r="G137" s="35">
        <f t="shared" si="54"/>
        <v>2.777777777777778E-2</v>
      </c>
      <c r="H137" s="145">
        <f>30000*0.06</f>
        <v>1800</v>
      </c>
      <c r="I137" s="83">
        <f t="shared" si="55"/>
        <v>50</v>
      </c>
      <c r="L137" s="3">
        <f t="shared" si="56"/>
        <v>0</v>
      </c>
    </row>
    <row r="138" spans="1:13" s="1" customFormat="1">
      <c r="A138" s="113"/>
      <c r="B138" s="5" t="s">
        <v>61</v>
      </c>
      <c r="C138" s="5" t="s">
        <v>17</v>
      </c>
      <c r="D138" s="5">
        <v>1</v>
      </c>
      <c r="E138" s="97">
        <f>247*8*(A136/1973)</f>
        <v>36.054738976178413</v>
      </c>
      <c r="F138" s="26">
        <f>E138/A136</f>
        <v>1.001520527116067</v>
      </c>
      <c r="G138" s="35">
        <f t="shared" si="54"/>
        <v>2.777777777777778E-2</v>
      </c>
      <c r="H138" s="145">
        <f>9000*0.06</f>
        <v>540</v>
      </c>
      <c r="I138" s="83">
        <f t="shared" si="55"/>
        <v>15.000000000000002</v>
      </c>
      <c r="L138" s="3">
        <f t="shared" si="56"/>
        <v>0</v>
      </c>
    </row>
    <row r="139" spans="1:13" s="1" customFormat="1">
      <c r="A139" s="113"/>
      <c r="B139" s="5" t="s">
        <v>92</v>
      </c>
      <c r="C139" s="5" t="s">
        <v>17</v>
      </c>
      <c r="D139" s="5">
        <v>1</v>
      </c>
      <c r="E139" s="97">
        <f>247*8*(A136/1973)</f>
        <v>36.054738976178413</v>
      </c>
      <c r="F139" s="26">
        <f>E139/A136</f>
        <v>1.001520527116067</v>
      </c>
      <c r="G139" s="35">
        <f t="shared" ref="G139" si="57">D139/E139*F139</f>
        <v>2.777777777777778E-2</v>
      </c>
      <c r="H139" s="145">
        <v>5670</v>
      </c>
      <c r="I139" s="83">
        <f t="shared" si="55"/>
        <v>157.5</v>
      </c>
      <c r="L139" s="3">
        <f t="shared" si="56"/>
        <v>0</v>
      </c>
    </row>
    <row r="140" spans="1:13" s="1" customFormat="1" ht="15.75" thickBot="1">
      <c r="A140" s="108"/>
      <c r="B140" s="18"/>
      <c r="C140" s="18"/>
      <c r="D140" s="18"/>
      <c r="E140" s="95"/>
      <c r="F140" s="18"/>
      <c r="G140" s="20"/>
      <c r="H140" s="37"/>
      <c r="I140" s="87">
        <f>SUM(I135:I139)</f>
        <v>361.12666666666667</v>
      </c>
      <c r="J140" s="130">
        <f>(60926+9000+17250+35000)*0.06+5670</f>
        <v>13000.56</v>
      </c>
      <c r="K140" s="121">
        <f>I140*A136</f>
        <v>13000.56</v>
      </c>
      <c r="L140" s="130">
        <f t="shared" si="56"/>
        <v>0</v>
      </c>
    </row>
    <row r="141" spans="1:13">
      <c r="A141" s="104" t="s">
        <v>94</v>
      </c>
      <c r="B141" s="11" t="s">
        <v>62</v>
      </c>
      <c r="C141" s="11" t="s">
        <v>17</v>
      </c>
      <c r="D141" s="13">
        <v>1</v>
      </c>
      <c r="E141" s="124">
        <f>247*8*(A142/1973)</f>
        <v>107.16269640141917</v>
      </c>
      <c r="F141" s="25">
        <f>E141/A142</f>
        <v>1.001520527116067</v>
      </c>
      <c r="G141" s="36">
        <f t="shared" ref="G141:G144" si="58">D141/E141*F141</f>
        <v>9.3457943925233638E-3</v>
      </c>
      <c r="H141" s="154">
        <f>(93176.2+17250)*0.11</f>
        <v>12146.882</v>
      </c>
      <c r="I141" s="82">
        <f>H141*G141</f>
        <v>113.52226168224298</v>
      </c>
      <c r="J141" s="3"/>
      <c r="L141" s="3">
        <f t="shared" si="56"/>
        <v>0</v>
      </c>
      <c r="M141" s="1">
        <f>J141/A142/G141</f>
        <v>0</v>
      </c>
    </row>
    <row r="142" spans="1:13" s="1" customFormat="1" ht="33" customHeight="1">
      <c r="A142" s="113">
        <f>ком.усл!A143</f>
        <v>107</v>
      </c>
      <c r="B142" s="31" t="s">
        <v>50</v>
      </c>
      <c r="C142" s="5" t="s">
        <v>17</v>
      </c>
      <c r="D142" s="5">
        <v>1</v>
      </c>
      <c r="E142" s="97">
        <f>247*8*(A142/1973)</f>
        <v>107.16269640141917</v>
      </c>
      <c r="F142" s="26">
        <f>E142/A142</f>
        <v>1.001520527116067</v>
      </c>
      <c r="G142" s="35">
        <f t="shared" si="58"/>
        <v>9.3457943925233638E-3</v>
      </c>
      <c r="H142" s="145">
        <f>10000*0.11</f>
        <v>1100</v>
      </c>
      <c r="I142" s="83">
        <f t="shared" ref="I142:I145" si="59">H142*G142</f>
        <v>10.2803738317757</v>
      </c>
      <c r="L142" s="3">
        <f t="shared" si="56"/>
        <v>0</v>
      </c>
    </row>
    <row r="143" spans="1:13" s="1" customFormat="1">
      <c r="A143" s="113"/>
      <c r="B143" s="5" t="s">
        <v>119</v>
      </c>
      <c r="C143" s="5" t="s">
        <v>17</v>
      </c>
      <c r="D143" s="5">
        <v>1</v>
      </c>
      <c r="E143" s="97">
        <f>247*8*(A142/1973)</f>
        <v>107.16269640141917</v>
      </c>
      <c r="F143" s="26">
        <f>E143/A142</f>
        <v>1.001520527116067</v>
      </c>
      <c r="G143" s="35">
        <f t="shared" si="58"/>
        <v>9.3457943925233638E-3</v>
      </c>
      <c r="H143" s="145">
        <f>(54000)*0.11</f>
        <v>5940</v>
      </c>
      <c r="I143" s="83">
        <f t="shared" si="59"/>
        <v>55.514018691588781</v>
      </c>
      <c r="L143" s="3">
        <f t="shared" si="56"/>
        <v>0</v>
      </c>
    </row>
    <row r="144" spans="1:13" s="1" customFormat="1">
      <c r="A144" s="113"/>
      <c r="B144" s="5" t="s">
        <v>61</v>
      </c>
      <c r="C144" s="5" t="s">
        <v>17</v>
      </c>
      <c r="D144" s="5">
        <v>1</v>
      </c>
      <c r="E144" s="97">
        <f>247*8*(A142/1973)</f>
        <v>107.16269640141917</v>
      </c>
      <c r="F144" s="26">
        <f>E144/A142</f>
        <v>1.001520527116067</v>
      </c>
      <c r="G144" s="35">
        <f t="shared" si="58"/>
        <v>9.3457943925233638E-3</v>
      </c>
      <c r="H144" s="145">
        <f>7650*0.11</f>
        <v>841.5</v>
      </c>
      <c r="I144" s="83">
        <f t="shared" ref="I144" si="60">H144*G144</f>
        <v>7.8644859813084107</v>
      </c>
      <c r="L144" s="3">
        <f t="shared" si="56"/>
        <v>0</v>
      </c>
    </row>
    <row r="145" spans="1:20" s="1" customFormat="1">
      <c r="A145" s="113"/>
      <c r="B145" s="5" t="s">
        <v>92</v>
      </c>
      <c r="C145" s="5" t="s">
        <v>17</v>
      </c>
      <c r="D145" s="5">
        <v>1</v>
      </c>
      <c r="E145" s="97">
        <f>247*8*(A142/1973)</f>
        <v>107.16269640141917</v>
      </c>
      <c r="F145" s="26">
        <f>E145/A142</f>
        <v>1.001520527116067</v>
      </c>
      <c r="G145" s="35">
        <f t="shared" ref="G145" si="61">D145/E145*F145</f>
        <v>9.3457943925233638E-3</v>
      </c>
      <c r="H145" s="145">
        <v>18630</v>
      </c>
      <c r="I145" s="83">
        <f t="shared" si="59"/>
        <v>174.11214953271028</v>
      </c>
      <c r="L145" s="3">
        <f t="shared" si="56"/>
        <v>0</v>
      </c>
    </row>
    <row r="146" spans="1:20" s="1" customFormat="1" ht="15.75" thickBot="1">
      <c r="A146" s="108"/>
      <c r="B146" s="18"/>
      <c r="C146" s="18"/>
      <c r="D146" s="18"/>
      <c r="E146" s="95"/>
      <c r="F146" s="18"/>
      <c r="G146" s="20"/>
      <c r="H146" s="37"/>
      <c r="I146" s="87">
        <f>SUM(I141:I145)</f>
        <v>361.29328971962616</v>
      </c>
      <c r="J146" s="130">
        <f>(93176.2+17250+7650+64000)*0.11+18630</f>
        <v>38658.381999999998</v>
      </c>
      <c r="K146" s="121">
        <f>I146*A142</f>
        <v>38658.381999999998</v>
      </c>
      <c r="L146" s="3">
        <f t="shared" si="56"/>
        <v>0</v>
      </c>
    </row>
    <row r="147" spans="1:20">
      <c r="A147" s="104" t="s">
        <v>73</v>
      </c>
      <c r="B147" s="11" t="s">
        <v>62</v>
      </c>
      <c r="C147" s="11" t="s">
        <v>17</v>
      </c>
      <c r="D147" s="13">
        <v>1</v>
      </c>
      <c r="E147" s="124">
        <f>247*8*(A148/1973)</f>
        <v>30.045615813482005</v>
      </c>
      <c r="F147" s="25">
        <f>E147/A148</f>
        <v>1.0015205271160668</v>
      </c>
      <c r="G147" s="36">
        <f t="shared" ref="G147:G150" si="62">D147/E147*F147</f>
        <v>3.3333333333333326E-2</v>
      </c>
      <c r="H147" s="154">
        <f>(29300+6900)*0.11</f>
        <v>3982</v>
      </c>
      <c r="I147" s="82">
        <f>H147*G147</f>
        <v>132.73333333333329</v>
      </c>
      <c r="J147" s="3"/>
      <c r="L147" s="3">
        <f t="shared" si="56"/>
        <v>0</v>
      </c>
      <c r="M147" s="1">
        <f>J147/A148/G147</f>
        <v>0</v>
      </c>
    </row>
    <row r="148" spans="1:20" s="1" customFormat="1" ht="33" customHeight="1">
      <c r="A148" s="113">
        <f>ком.усл!A149</f>
        <v>30</v>
      </c>
      <c r="B148" s="31" t="s">
        <v>50</v>
      </c>
      <c r="C148" s="5" t="s">
        <v>17</v>
      </c>
      <c r="D148" s="5">
        <v>1</v>
      </c>
      <c r="E148" s="97">
        <f>247*8*(A148/1973)</f>
        <v>30.045615813482005</v>
      </c>
      <c r="F148" s="26">
        <f>E148/A148</f>
        <v>1.0015205271160668</v>
      </c>
      <c r="G148" s="35">
        <f t="shared" si="62"/>
        <v>3.3333333333333326E-2</v>
      </c>
      <c r="H148" s="145">
        <f>5000*0.11</f>
        <v>550</v>
      </c>
      <c r="I148" s="83">
        <f t="shared" ref="I148:I151" si="63">H148*G148</f>
        <v>18.333333333333329</v>
      </c>
      <c r="L148" s="3">
        <f t="shared" si="56"/>
        <v>0</v>
      </c>
    </row>
    <row r="149" spans="1:20" s="1" customFormat="1">
      <c r="A149" s="113"/>
      <c r="B149" s="5" t="s">
        <v>119</v>
      </c>
      <c r="C149" s="5" t="s">
        <v>17</v>
      </c>
      <c r="D149" s="5">
        <v>1</v>
      </c>
      <c r="E149" s="97">
        <f>247*8*(A148/1973)</f>
        <v>30.045615813482005</v>
      </c>
      <c r="F149" s="26">
        <f>E149/A148</f>
        <v>1.0015205271160668</v>
      </c>
      <c r="G149" s="35">
        <f t="shared" si="62"/>
        <v>3.3333333333333326E-2</v>
      </c>
      <c r="H149" s="145">
        <f>(22000)*0.11</f>
        <v>2420</v>
      </c>
      <c r="I149" s="83">
        <f t="shared" si="63"/>
        <v>80.666666666666643</v>
      </c>
      <c r="L149" s="3">
        <f t="shared" si="56"/>
        <v>0</v>
      </c>
    </row>
    <row r="150" spans="1:20" s="1" customFormat="1">
      <c r="A150" s="113"/>
      <c r="B150" s="5" t="s">
        <v>61</v>
      </c>
      <c r="C150" s="5" t="s">
        <v>17</v>
      </c>
      <c r="D150" s="5">
        <v>1</v>
      </c>
      <c r="E150" s="97">
        <f>247*8*(A148/1973)</f>
        <v>30.045615813482005</v>
      </c>
      <c r="F150" s="26">
        <f>E150/A148</f>
        <v>1.0015205271160668</v>
      </c>
      <c r="G150" s="35">
        <f t="shared" si="62"/>
        <v>3.3333333333333326E-2</v>
      </c>
      <c r="H150" s="145">
        <f>5400*0.11</f>
        <v>594</v>
      </c>
      <c r="I150" s="83">
        <f t="shared" ref="I150" si="64">H150*G150</f>
        <v>19.799999999999997</v>
      </c>
      <c r="L150" s="3">
        <f t="shared" si="56"/>
        <v>0</v>
      </c>
    </row>
    <row r="151" spans="1:20" s="1" customFormat="1">
      <c r="A151" s="113"/>
      <c r="B151" s="5" t="s">
        <v>92</v>
      </c>
      <c r="C151" s="5" t="s">
        <v>17</v>
      </c>
      <c r="D151" s="5">
        <v>1</v>
      </c>
      <c r="E151" s="97">
        <f>247*8*(A148/1973)</f>
        <v>30.045615813482005</v>
      </c>
      <c r="F151" s="26">
        <f>E151/A148</f>
        <v>1.0015205271160668</v>
      </c>
      <c r="G151" s="35">
        <f t="shared" ref="G151" si="65">D151/E151*F151</f>
        <v>3.3333333333333326E-2</v>
      </c>
      <c r="H151" s="145">
        <v>4860</v>
      </c>
      <c r="I151" s="83">
        <f t="shared" si="63"/>
        <v>161.99999999999997</v>
      </c>
      <c r="L151" s="3">
        <f t="shared" si="56"/>
        <v>0</v>
      </c>
    </row>
    <row r="152" spans="1:20" s="1" customFormat="1" ht="15.75" thickBot="1">
      <c r="A152" s="108"/>
      <c r="B152" s="18"/>
      <c r="C152" s="18"/>
      <c r="D152" s="18"/>
      <c r="E152" s="95"/>
      <c r="F152" s="18"/>
      <c r="G152" s="20"/>
      <c r="H152" s="37"/>
      <c r="I152" s="87">
        <f>SUM(I147:I151)</f>
        <v>413.53333333333319</v>
      </c>
      <c r="J152" s="130">
        <f>(29300+5400+6900+12000+15000)*0.11+4860</f>
        <v>12406</v>
      </c>
      <c r="K152" s="121">
        <f>I152*A148</f>
        <v>12405.999999999996</v>
      </c>
      <c r="L152" s="3">
        <f t="shared" si="56"/>
        <v>0</v>
      </c>
    </row>
    <row r="153" spans="1:20">
      <c r="A153" s="104" t="s">
        <v>74</v>
      </c>
      <c r="B153" s="11" t="s">
        <v>62</v>
      </c>
      <c r="C153" s="11" t="s">
        <v>17</v>
      </c>
      <c r="D153" s="13">
        <v>1</v>
      </c>
      <c r="E153" s="124">
        <f>248*8*(A154/1979)</f>
        <v>0</v>
      </c>
      <c r="F153" s="25" t="e">
        <f>E153/A154</f>
        <v>#DIV/0!</v>
      </c>
      <c r="G153" s="36" t="e">
        <f t="shared" ref="G153:G156" si="66">D153/E153*F153</f>
        <v>#DIV/0!</v>
      </c>
      <c r="H153" s="14"/>
      <c r="I153" s="82" t="e">
        <f>H153*G153</f>
        <v>#DIV/0!</v>
      </c>
      <c r="J153" s="3">
        <v>0</v>
      </c>
      <c r="K153" s="1">
        <v>0</v>
      </c>
      <c r="L153" s="3">
        <f t="shared" si="56"/>
        <v>0</v>
      </c>
      <c r="M153" s="1">
        <v>0</v>
      </c>
    </row>
    <row r="154" spans="1:20" s="1" customFormat="1" ht="33" customHeight="1">
      <c r="A154" s="113">
        <v>0</v>
      </c>
      <c r="B154" s="31" t="s">
        <v>50</v>
      </c>
      <c r="C154" s="5" t="s">
        <v>17</v>
      </c>
      <c r="D154" s="5">
        <v>1</v>
      </c>
      <c r="E154" s="97">
        <f>248*8*(A154/1979)</f>
        <v>0</v>
      </c>
      <c r="F154" s="26" t="e">
        <f>E154/A154</f>
        <v>#DIV/0!</v>
      </c>
      <c r="G154" s="35" t="e">
        <f t="shared" si="66"/>
        <v>#DIV/0!</v>
      </c>
      <c r="H154" s="6"/>
      <c r="I154" s="83" t="e">
        <f t="shared" ref="I154:I156" si="67">H154*G154</f>
        <v>#DIV/0!</v>
      </c>
      <c r="L154" s="3">
        <f t="shared" si="56"/>
        <v>0</v>
      </c>
    </row>
    <row r="155" spans="1:20" s="1" customFormat="1">
      <c r="A155" s="113"/>
      <c r="B155" s="5" t="s">
        <v>52</v>
      </c>
      <c r="C155" s="5" t="s">
        <v>17</v>
      </c>
      <c r="D155" s="5">
        <v>1</v>
      </c>
      <c r="E155" s="97">
        <f>248*8*(A154/1979)</f>
        <v>0</v>
      </c>
      <c r="F155" s="26" t="e">
        <f>E155/A154</f>
        <v>#DIV/0!</v>
      </c>
      <c r="G155" s="35" t="e">
        <f t="shared" si="66"/>
        <v>#DIV/0!</v>
      </c>
      <c r="H155" s="6"/>
      <c r="I155" s="83" t="e">
        <f t="shared" si="67"/>
        <v>#DIV/0!</v>
      </c>
      <c r="L155" s="3">
        <f t="shared" si="56"/>
        <v>0</v>
      </c>
    </row>
    <row r="156" spans="1:20" s="1" customFormat="1">
      <c r="A156" s="113"/>
      <c r="B156" s="5" t="s">
        <v>61</v>
      </c>
      <c r="C156" s="5" t="s">
        <v>17</v>
      </c>
      <c r="D156" s="5">
        <v>1</v>
      </c>
      <c r="E156" s="97">
        <f>248*8*(A154/1979)</f>
        <v>0</v>
      </c>
      <c r="F156" s="26" t="e">
        <f>E156/A154</f>
        <v>#DIV/0!</v>
      </c>
      <c r="G156" s="35" t="e">
        <f t="shared" si="66"/>
        <v>#DIV/0!</v>
      </c>
      <c r="H156" s="6"/>
      <c r="I156" s="83" t="e">
        <f t="shared" si="67"/>
        <v>#DIV/0!</v>
      </c>
      <c r="L156" s="3">
        <f t="shared" si="56"/>
        <v>0</v>
      </c>
    </row>
    <row r="157" spans="1:20" s="1" customFormat="1" ht="15.75" thickBot="1">
      <c r="A157" s="108"/>
      <c r="B157" s="18"/>
      <c r="C157" s="18"/>
      <c r="D157" s="18"/>
      <c r="E157" s="95"/>
      <c r="F157" s="18"/>
      <c r="G157" s="20"/>
      <c r="H157" s="37"/>
      <c r="I157" s="87" t="e">
        <f>SUM(I153:I156)</f>
        <v>#DIV/0!</v>
      </c>
      <c r="J157" s="3">
        <v>0</v>
      </c>
      <c r="K157" s="1">
        <v>0</v>
      </c>
      <c r="L157" s="3">
        <f t="shared" si="56"/>
        <v>0</v>
      </c>
    </row>
    <row r="158" spans="1:20">
      <c r="I158" s="72"/>
    </row>
    <row r="159" spans="1:20" ht="19.5" thickBot="1">
      <c r="A159" s="100" t="s">
        <v>97</v>
      </c>
      <c r="H159"/>
      <c r="I159" s="72"/>
      <c r="S159" s="1"/>
      <c r="T159" s="1"/>
    </row>
    <row r="160" spans="1:20" ht="67.5" customHeight="1">
      <c r="A160" s="102" t="s">
        <v>2</v>
      </c>
      <c r="B160" s="21" t="s">
        <v>48</v>
      </c>
      <c r="C160" s="58" t="s">
        <v>14</v>
      </c>
      <c r="D160" s="58" t="s">
        <v>16</v>
      </c>
      <c r="E160" s="153" t="s">
        <v>27</v>
      </c>
      <c r="F160" s="58" t="s">
        <v>28</v>
      </c>
      <c r="G160" s="58" t="s">
        <v>49</v>
      </c>
      <c r="H160" s="58" t="s">
        <v>104</v>
      </c>
      <c r="I160" s="81" t="s">
        <v>11</v>
      </c>
      <c r="J160" s="2" t="s">
        <v>34</v>
      </c>
      <c r="K160" s="2" t="s">
        <v>33</v>
      </c>
    </row>
    <row r="161" spans="1:13" ht="15.75" thickBot="1">
      <c r="A161" s="111">
        <v>1</v>
      </c>
      <c r="B161" s="10">
        <v>2</v>
      </c>
      <c r="C161" s="10">
        <v>3</v>
      </c>
      <c r="D161" s="10">
        <v>4</v>
      </c>
      <c r="E161" s="118">
        <v>5</v>
      </c>
      <c r="F161" s="10">
        <v>6</v>
      </c>
      <c r="G161" s="10" t="s">
        <v>31</v>
      </c>
      <c r="H161" s="9">
        <v>8</v>
      </c>
      <c r="I161" s="80" t="s">
        <v>32</v>
      </c>
    </row>
    <row r="162" spans="1:13">
      <c r="A162" s="104" t="s">
        <v>64</v>
      </c>
      <c r="B162" s="13" t="s">
        <v>103</v>
      </c>
      <c r="C162" s="13" t="s">
        <v>17</v>
      </c>
      <c r="D162" s="13">
        <v>1</v>
      </c>
      <c r="E162" s="124">
        <f>247*8*(A163/1973)</f>
        <v>1177.7881398884947</v>
      </c>
      <c r="F162" s="25">
        <f>E162/A163</f>
        <v>1.001520527116067</v>
      </c>
      <c r="G162" s="36">
        <f t="shared" ref="G162:G163" si="68">D162/E162*F162</f>
        <v>8.5034013605442185E-4</v>
      </c>
      <c r="H162" s="14">
        <v>16800</v>
      </c>
      <c r="I162" s="82">
        <f>H162*G162</f>
        <v>14.285714285714286</v>
      </c>
      <c r="J162" s="130"/>
      <c r="K162" s="121"/>
      <c r="L162" s="3">
        <f>J162-K162</f>
        <v>0</v>
      </c>
      <c r="M162" s="1">
        <f>J162/A163/G162</f>
        <v>0</v>
      </c>
    </row>
    <row r="163" spans="1:13" s="1" customFormat="1" ht="33" customHeight="1">
      <c r="A163" s="113">
        <v>1176</v>
      </c>
      <c r="B163" s="31" t="s">
        <v>105</v>
      </c>
      <c r="C163" s="5" t="s">
        <v>17</v>
      </c>
      <c r="D163" s="5">
        <v>1</v>
      </c>
      <c r="E163" s="97">
        <f>247*8*(A163/1973)</f>
        <v>1177.7881398884947</v>
      </c>
      <c r="F163" s="26">
        <f>E163/A163</f>
        <v>1.001520527116067</v>
      </c>
      <c r="G163" s="35">
        <f t="shared" si="68"/>
        <v>8.5034013605442185E-4</v>
      </c>
      <c r="H163" s="6"/>
      <c r="I163" s="83">
        <f t="shared" ref="I163" si="69">H163*G163</f>
        <v>0</v>
      </c>
      <c r="J163" s="121"/>
      <c r="K163" s="121"/>
    </row>
    <row r="164" spans="1:13" s="1" customFormat="1" ht="15.75" thickBot="1">
      <c r="A164" s="108"/>
      <c r="B164" s="18"/>
      <c r="C164" s="18"/>
      <c r="D164" s="18"/>
      <c r="E164" s="95"/>
      <c r="F164" s="18"/>
      <c r="G164" s="20"/>
      <c r="H164" s="37"/>
      <c r="I164" s="87">
        <f>SUM(I162:I163)</f>
        <v>14.285714285714286</v>
      </c>
      <c r="J164" s="130">
        <v>16380</v>
      </c>
      <c r="K164" s="121">
        <f>I164*A163</f>
        <v>16800</v>
      </c>
    </row>
    <row r="165" spans="1:13">
      <c r="A165" s="104" t="s">
        <v>69</v>
      </c>
      <c r="B165" s="13" t="s">
        <v>103</v>
      </c>
      <c r="C165" s="13" t="s">
        <v>17</v>
      </c>
      <c r="D165" s="13">
        <v>1</v>
      </c>
      <c r="E165" s="124">
        <f>247*8*(A166/1973)</f>
        <v>1281.9462747085656</v>
      </c>
      <c r="F165" s="25">
        <f>E165/A166</f>
        <v>1.001520527116067</v>
      </c>
      <c r="G165" s="36">
        <f t="shared" ref="G165:G166" si="70">D165/E165*F165</f>
        <v>7.8125000000000004E-4</v>
      </c>
      <c r="H165" s="14">
        <v>16800</v>
      </c>
      <c r="I165" s="82">
        <f>H165*G165</f>
        <v>13.125</v>
      </c>
      <c r="J165" s="130"/>
      <c r="K165" s="121"/>
      <c r="L165" s="3">
        <f>J165-K165</f>
        <v>0</v>
      </c>
      <c r="M165" s="1">
        <f>J165/A166/G165</f>
        <v>0</v>
      </c>
    </row>
    <row r="166" spans="1:13" s="1" customFormat="1" ht="33" customHeight="1">
      <c r="A166" s="113">
        <v>1280</v>
      </c>
      <c r="B166" s="31" t="s">
        <v>105</v>
      </c>
      <c r="C166" s="5" t="s">
        <v>17</v>
      </c>
      <c r="D166" s="5">
        <v>1</v>
      </c>
      <c r="E166" s="97">
        <f>247*8*(A166/1973)</f>
        <v>1281.9462747085656</v>
      </c>
      <c r="F166" s="26">
        <f>E166/A166</f>
        <v>1.001520527116067</v>
      </c>
      <c r="G166" s="35">
        <f t="shared" si="70"/>
        <v>7.8125000000000004E-4</v>
      </c>
      <c r="H166" s="6"/>
      <c r="I166" s="83">
        <f t="shared" ref="I166" si="71">H166*G166</f>
        <v>0</v>
      </c>
      <c r="J166" s="121"/>
      <c r="K166" s="121"/>
    </row>
    <row r="167" spans="1:13" s="1" customFormat="1" ht="15.75" thickBot="1">
      <c r="A167" s="108"/>
      <c r="B167" s="18"/>
      <c r="C167" s="18"/>
      <c r="D167" s="18"/>
      <c r="E167" s="95"/>
      <c r="F167" s="18"/>
      <c r="G167" s="20"/>
      <c r="H167" s="37"/>
      <c r="I167" s="87">
        <f>SUM(I165:I166)</f>
        <v>13.125</v>
      </c>
      <c r="J167" s="130">
        <v>16380</v>
      </c>
      <c r="K167" s="121">
        <f>I167*A166</f>
        <v>16800</v>
      </c>
    </row>
    <row r="168" spans="1:13">
      <c r="A168" s="104" t="s">
        <v>71</v>
      </c>
      <c r="B168" s="13" t="s">
        <v>103</v>
      </c>
      <c r="C168" s="13" t="s">
        <v>17</v>
      </c>
      <c r="D168" s="13">
        <v>1</v>
      </c>
      <c r="E168" s="124">
        <f>247*8*(A169/1973)</f>
        <v>370.56259503294478</v>
      </c>
      <c r="F168" s="25">
        <f>E168/A169</f>
        <v>1.001520527116067</v>
      </c>
      <c r="G168" s="36">
        <f t="shared" ref="G168:G169" si="72">D168/E168*F168</f>
        <v>2.7027027027027024E-3</v>
      </c>
      <c r="H168" s="14">
        <v>16800</v>
      </c>
      <c r="I168" s="82">
        <f>H168*G168</f>
        <v>45.405405405405403</v>
      </c>
      <c r="J168" s="130"/>
      <c r="K168" s="121"/>
      <c r="L168" s="3">
        <f>J168-K168</f>
        <v>0</v>
      </c>
      <c r="M168" s="1">
        <f>J168/A169/G168</f>
        <v>0</v>
      </c>
    </row>
    <row r="169" spans="1:13" s="1" customFormat="1" ht="33" customHeight="1">
      <c r="A169" s="113">
        <v>370</v>
      </c>
      <c r="B169" s="31" t="s">
        <v>105</v>
      </c>
      <c r="C169" s="5" t="s">
        <v>17</v>
      </c>
      <c r="D169" s="5">
        <v>1</v>
      </c>
      <c r="E169" s="97">
        <f>247*8*(A169/1973)</f>
        <v>370.56259503294478</v>
      </c>
      <c r="F169" s="26">
        <f>E169/A169</f>
        <v>1.001520527116067</v>
      </c>
      <c r="G169" s="35">
        <f t="shared" si="72"/>
        <v>2.7027027027027024E-3</v>
      </c>
      <c r="H169" s="6"/>
      <c r="I169" s="83">
        <f t="shared" ref="I169" si="73">H169*G169</f>
        <v>0</v>
      </c>
      <c r="J169" s="121"/>
      <c r="K169" s="121"/>
    </row>
    <row r="170" spans="1:13" s="1" customFormat="1" ht="15.75" thickBot="1">
      <c r="A170" s="108"/>
      <c r="B170" s="18"/>
      <c r="C170" s="18"/>
      <c r="D170" s="18"/>
      <c r="E170" s="95"/>
      <c r="F170" s="18"/>
      <c r="G170" s="20"/>
      <c r="H170" s="37"/>
      <c r="I170" s="87">
        <f>SUM(I168:I169)</f>
        <v>45.405405405405403</v>
      </c>
      <c r="J170" s="130">
        <v>15171</v>
      </c>
      <c r="K170" s="121">
        <f>I170*A169</f>
        <v>16800</v>
      </c>
    </row>
    <row r="172" spans="1:13">
      <c r="I172" s="121">
        <v>1</v>
      </c>
      <c r="J172" s="130">
        <f>8100+36201+4950+12650+5000+27000+16800</f>
        <v>110701</v>
      </c>
      <c r="K172" s="130">
        <f>K110+K60+K11+K164</f>
        <v>110701</v>
      </c>
      <c r="L172" s="130">
        <f>J172-K172</f>
        <v>0</v>
      </c>
    </row>
    <row r="173" spans="1:13">
      <c r="I173" s="121">
        <v>2</v>
      </c>
      <c r="J173" s="130">
        <f>80921.13+5850+8100+11500+25000</f>
        <v>131371.13</v>
      </c>
      <c r="K173" s="130">
        <f>K116+K65+K16</f>
        <v>131371.13</v>
      </c>
      <c r="L173" s="130">
        <f t="shared" ref="L173:L180" si="74">J173-K173</f>
        <v>0</v>
      </c>
    </row>
    <row r="174" spans="1:13">
      <c r="I174" s="121">
        <v>3</v>
      </c>
      <c r="J174" s="130">
        <f>112512.84+12600+8100+18400+10000+21000+54900</f>
        <v>237512.84</v>
      </c>
      <c r="K174" s="130">
        <f>K122+K70+K21</f>
        <v>237512.83999999997</v>
      </c>
      <c r="L174" s="130">
        <f t="shared" si="74"/>
        <v>0</v>
      </c>
    </row>
    <row r="175" spans="1:13">
      <c r="I175" s="121">
        <v>7</v>
      </c>
      <c r="J175" s="130">
        <f>48970+7650+11340+11150+35000+16800</f>
        <v>130910</v>
      </c>
      <c r="K175" s="130">
        <f>K128+K75+K26+K167</f>
        <v>130910</v>
      </c>
      <c r="L175" s="130">
        <f t="shared" si="74"/>
        <v>0</v>
      </c>
    </row>
    <row r="176" spans="1:13">
      <c r="I176" s="121">
        <v>9</v>
      </c>
      <c r="J176" s="130">
        <f>47609.6+9000+13770+13800+35000</f>
        <v>119179.6</v>
      </c>
      <c r="K176" s="130">
        <f>K134+K80+K31</f>
        <v>119179.6</v>
      </c>
      <c r="L176" s="130">
        <f t="shared" si="74"/>
        <v>0</v>
      </c>
    </row>
    <row r="177" spans="9:12">
      <c r="I177" s="121">
        <v>14</v>
      </c>
      <c r="J177" s="130">
        <f>60926+16800+9000+5670+17250+35000</f>
        <v>144646</v>
      </c>
      <c r="K177" s="130">
        <f>K140+K85+K36+K170</f>
        <v>144646</v>
      </c>
      <c r="L177" s="130">
        <f t="shared" si="74"/>
        <v>0</v>
      </c>
    </row>
    <row r="178" spans="9:12">
      <c r="I178" s="121">
        <v>8</v>
      </c>
      <c r="J178" s="130">
        <f>93176.2+17250+7650+18630+64000</f>
        <v>200706.2</v>
      </c>
      <c r="K178" s="130">
        <f>K146+K90+K41</f>
        <v>200706.2</v>
      </c>
      <c r="L178" s="130">
        <f t="shared" si="74"/>
        <v>0</v>
      </c>
    </row>
    <row r="179" spans="9:12">
      <c r="I179" s="121">
        <v>4</v>
      </c>
      <c r="J179" s="130">
        <f>29300+5400+4860+6900+12000+15000</f>
        <v>73460</v>
      </c>
      <c r="K179" s="130">
        <f>K152+K95+K46</f>
        <v>73459.999999999985</v>
      </c>
      <c r="L179" s="130">
        <f t="shared" si="74"/>
        <v>0</v>
      </c>
    </row>
    <row r="180" spans="9:12">
      <c r="I180" s="121">
        <v>11</v>
      </c>
      <c r="J180" s="130">
        <f>26676+4500+25000</f>
        <v>56176</v>
      </c>
      <c r="K180" s="130">
        <f>K157+K100+K51</f>
        <v>56175.999999999993</v>
      </c>
      <c r="L180" s="130">
        <f t="shared" si="74"/>
        <v>0</v>
      </c>
    </row>
  </sheetData>
  <mergeCells count="1">
    <mergeCell ref="A1:H1"/>
  </mergeCells>
  <pageMargins left="0.11811023622047245" right="0" top="0.15748031496062992" bottom="0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  <vt:lpstr>ком.усл!Область_печати</vt:lpstr>
      <vt:lpstr>сод.недв.им.!Область_печати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2021-12-07T06:55:40Z</dcterms:modified>
</cp:coreProperties>
</file>